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6352\Documents\ETF相關\部位監控\"/>
    </mc:Choice>
  </mc:AlternateContent>
  <bookViews>
    <workbookView xWindow="0" yWindow="0" windowWidth="21570" windowHeight="10185" activeTab="3"/>
  </bookViews>
  <sheets>
    <sheet name="DDE" sheetId="2" r:id="rId1"/>
    <sheet name="cmoney" sheetId="4" r:id="rId2"/>
    <sheet name="股期名單" sheetId="3" r:id="rId3"/>
    <sheet name="監控" sheetId="1" r:id="rId4"/>
  </sheets>
  <externalReferences>
    <externalReference r:id="rId5"/>
  </externalReferences>
  <definedNames>
    <definedName name="AUpdate">1</definedName>
    <definedName name="BUpdate">1</definedName>
    <definedName name="GUpdate">0</definedName>
    <definedName name="TUpdate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" l="1"/>
  <c r="V6" i="1"/>
  <c r="W6" i="1"/>
  <c r="X6" i="1"/>
  <c r="Y6" i="1" s="1"/>
  <c r="U7" i="1"/>
  <c r="V7" i="1"/>
  <c r="W7" i="1"/>
  <c r="X7" i="1"/>
  <c r="Y7" i="1"/>
  <c r="Z7" i="1"/>
  <c r="AM7" i="1"/>
  <c r="U8" i="1"/>
  <c r="V8" i="1"/>
  <c r="W8" i="1"/>
  <c r="X8" i="1"/>
  <c r="AM8" i="1" s="1"/>
  <c r="Z8" i="1"/>
  <c r="U9" i="1"/>
  <c r="V9" i="1"/>
  <c r="W9" i="1"/>
  <c r="X9" i="1"/>
  <c r="Y9" i="1"/>
  <c r="Z9" i="1"/>
  <c r="AM9" i="1"/>
  <c r="U10" i="1"/>
  <c r="V10" i="1"/>
  <c r="W10" i="1"/>
  <c r="X10" i="1"/>
  <c r="Y10" i="1" s="1"/>
  <c r="U11" i="1"/>
  <c r="V11" i="1"/>
  <c r="W11" i="1"/>
  <c r="X11" i="1"/>
  <c r="Y11" i="1"/>
  <c r="Z11" i="1"/>
  <c r="AM11" i="1"/>
  <c r="U12" i="1"/>
  <c r="V12" i="1"/>
  <c r="W12" i="1"/>
  <c r="X12" i="1"/>
  <c r="AM12" i="1" s="1"/>
  <c r="Z12" i="1"/>
  <c r="U13" i="1"/>
  <c r="V13" i="1"/>
  <c r="W13" i="1"/>
  <c r="X13" i="1"/>
  <c r="Y13" i="1"/>
  <c r="Z13" i="1"/>
  <c r="AM13" i="1"/>
  <c r="X5" i="1"/>
  <c r="AM5" i="1" s="1"/>
  <c r="W5" i="1"/>
  <c r="V5" i="1"/>
  <c r="U5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B74" i="1"/>
  <c r="AC74" i="1"/>
  <c r="AD74" i="1"/>
  <c r="AE74" i="1"/>
  <c r="AF74" i="1"/>
  <c r="AL74" i="1" s="1"/>
  <c r="AG74" i="1"/>
  <c r="AH74" i="1"/>
  <c r="AI74" i="1"/>
  <c r="AJ74" i="1"/>
  <c r="AK74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17" i="1"/>
  <c r="Z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17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17" i="1"/>
  <c r="S13" i="1"/>
  <c r="S12" i="1"/>
  <c r="S11" i="1"/>
  <c r="S10" i="1"/>
  <c r="S9" i="1"/>
  <c r="S8" i="1"/>
  <c r="S7" i="1"/>
  <c r="S6" i="1"/>
  <c r="S5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17" i="1"/>
  <c r="A13" i="1"/>
  <c r="A12" i="1"/>
  <c r="A11" i="1"/>
  <c r="A10" i="1"/>
  <c r="A9" i="1"/>
  <c r="A8" i="1"/>
  <c r="A7" i="1"/>
  <c r="A6" i="1"/>
  <c r="A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17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I223" i="1"/>
  <c r="F224" i="1"/>
  <c r="F225" i="1"/>
  <c r="F13" i="1"/>
  <c r="F12" i="1"/>
  <c r="F11" i="1"/>
  <c r="E11" i="1"/>
  <c r="E12" i="1"/>
  <c r="E13" i="1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AK13" i="1" s="1"/>
  <c r="N229" i="2"/>
  <c r="AJ13" i="1" s="1"/>
  <c r="M229" i="2"/>
  <c r="L229" i="2"/>
  <c r="AE13" i="1" s="1"/>
  <c r="K229" i="2"/>
  <c r="AD13" i="1" s="1"/>
  <c r="J229" i="2"/>
  <c r="AF13" i="1" s="1"/>
  <c r="I229" i="2"/>
  <c r="AI13" i="1" s="1"/>
  <c r="H229" i="2"/>
  <c r="AH13" i="1" s="1"/>
  <c r="G229" i="2"/>
  <c r="AG13" i="1" s="1"/>
  <c r="F229" i="2"/>
  <c r="E229" i="2"/>
  <c r="AB13" i="1" s="1"/>
  <c r="D229" i="2"/>
  <c r="AC13" i="1" s="1"/>
  <c r="C229" i="2"/>
  <c r="B229" i="2"/>
  <c r="A229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AK12" i="1" s="1"/>
  <c r="N228" i="2"/>
  <c r="AJ12" i="1" s="1"/>
  <c r="M228" i="2"/>
  <c r="L228" i="2"/>
  <c r="AE12" i="1" s="1"/>
  <c r="K228" i="2"/>
  <c r="AD12" i="1" s="1"/>
  <c r="J228" i="2"/>
  <c r="AF12" i="1" s="1"/>
  <c r="I228" i="2"/>
  <c r="AI12" i="1" s="1"/>
  <c r="H228" i="2"/>
  <c r="AH12" i="1" s="1"/>
  <c r="G228" i="2"/>
  <c r="AG12" i="1" s="1"/>
  <c r="F228" i="2"/>
  <c r="E228" i="2"/>
  <c r="AB12" i="1" s="1"/>
  <c r="D228" i="2"/>
  <c r="AC12" i="1" s="1"/>
  <c r="C228" i="2"/>
  <c r="B228" i="2"/>
  <c r="A228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AK11" i="1" s="1"/>
  <c r="N227" i="2"/>
  <c r="AJ11" i="1" s="1"/>
  <c r="M227" i="2"/>
  <c r="L227" i="2"/>
  <c r="AE11" i="1" s="1"/>
  <c r="K227" i="2"/>
  <c r="AD11" i="1" s="1"/>
  <c r="J227" i="2"/>
  <c r="AF11" i="1" s="1"/>
  <c r="I227" i="2"/>
  <c r="AI11" i="1" s="1"/>
  <c r="H227" i="2"/>
  <c r="AH11" i="1" s="1"/>
  <c r="G227" i="2"/>
  <c r="AG11" i="1" s="1"/>
  <c r="F227" i="2"/>
  <c r="E227" i="2"/>
  <c r="AB11" i="1" s="1"/>
  <c r="D227" i="2"/>
  <c r="AC11" i="1" s="1"/>
  <c r="C227" i="2"/>
  <c r="B227" i="2"/>
  <c r="A227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AK10" i="1" s="1"/>
  <c r="N226" i="2"/>
  <c r="AJ10" i="1" s="1"/>
  <c r="M226" i="2"/>
  <c r="L226" i="2"/>
  <c r="AE10" i="1" s="1"/>
  <c r="K226" i="2"/>
  <c r="AD10" i="1" s="1"/>
  <c r="J226" i="2"/>
  <c r="AF10" i="1" s="1"/>
  <c r="I226" i="2"/>
  <c r="AI10" i="1" s="1"/>
  <c r="H226" i="2"/>
  <c r="AH10" i="1" s="1"/>
  <c r="G226" i="2"/>
  <c r="AG10" i="1" s="1"/>
  <c r="F226" i="2"/>
  <c r="E226" i="2"/>
  <c r="AB10" i="1" s="1"/>
  <c r="D226" i="2"/>
  <c r="AC10" i="1" s="1"/>
  <c r="C226" i="2"/>
  <c r="B226" i="2"/>
  <c r="A226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AK9" i="1" s="1"/>
  <c r="N225" i="2"/>
  <c r="AJ9" i="1" s="1"/>
  <c r="M225" i="2"/>
  <c r="L225" i="2"/>
  <c r="AE9" i="1" s="1"/>
  <c r="K225" i="2"/>
  <c r="AD9" i="1" s="1"/>
  <c r="J225" i="2"/>
  <c r="AF9" i="1" s="1"/>
  <c r="I225" i="2"/>
  <c r="AI9" i="1" s="1"/>
  <c r="H225" i="2"/>
  <c r="AH9" i="1" s="1"/>
  <c r="G225" i="2"/>
  <c r="AG9" i="1" s="1"/>
  <c r="F225" i="2"/>
  <c r="E225" i="2"/>
  <c r="AB9" i="1" s="1"/>
  <c r="D225" i="2"/>
  <c r="AC9" i="1" s="1"/>
  <c r="C225" i="2"/>
  <c r="B225" i="2"/>
  <c r="A225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AK8" i="1" s="1"/>
  <c r="N224" i="2"/>
  <c r="AJ8" i="1" s="1"/>
  <c r="M224" i="2"/>
  <c r="L224" i="2"/>
  <c r="AE8" i="1" s="1"/>
  <c r="K224" i="2"/>
  <c r="AD8" i="1" s="1"/>
  <c r="J224" i="2"/>
  <c r="AF8" i="1" s="1"/>
  <c r="I224" i="2"/>
  <c r="AI8" i="1" s="1"/>
  <c r="H224" i="2"/>
  <c r="AH8" i="1" s="1"/>
  <c r="G224" i="2"/>
  <c r="AG8" i="1" s="1"/>
  <c r="F224" i="2"/>
  <c r="E224" i="2"/>
  <c r="AB8" i="1" s="1"/>
  <c r="D224" i="2"/>
  <c r="AC8" i="1" s="1"/>
  <c r="C224" i="2"/>
  <c r="B224" i="2"/>
  <c r="A224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AK7" i="1" s="1"/>
  <c r="N223" i="2"/>
  <c r="AJ7" i="1" s="1"/>
  <c r="M223" i="2"/>
  <c r="L223" i="2"/>
  <c r="AE7" i="1" s="1"/>
  <c r="K223" i="2"/>
  <c r="AD7" i="1" s="1"/>
  <c r="J223" i="2"/>
  <c r="AF7" i="1" s="1"/>
  <c r="I223" i="2"/>
  <c r="AI7" i="1" s="1"/>
  <c r="H223" i="2"/>
  <c r="AH7" i="1" s="1"/>
  <c r="G223" i="2"/>
  <c r="AG7" i="1" s="1"/>
  <c r="F223" i="2"/>
  <c r="E223" i="2"/>
  <c r="AB7" i="1" s="1"/>
  <c r="D223" i="2"/>
  <c r="AC7" i="1" s="1"/>
  <c r="C223" i="2"/>
  <c r="B223" i="2"/>
  <c r="A223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AK6" i="1" s="1"/>
  <c r="N222" i="2"/>
  <c r="AJ6" i="1" s="1"/>
  <c r="M222" i="2"/>
  <c r="L222" i="2"/>
  <c r="AE6" i="1" s="1"/>
  <c r="K222" i="2"/>
  <c r="AD6" i="1" s="1"/>
  <c r="J222" i="2"/>
  <c r="AF6" i="1" s="1"/>
  <c r="I222" i="2"/>
  <c r="AI6" i="1" s="1"/>
  <c r="H222" i="2"/>
  <c r="AH6" i="1" s="1"/>
  <c r="G222" i="2"/>
  <c r="AG6" i="1" s="1"/>
  <c r="F222" i="2"/>
  <c r="E222" i="2"/>
  <c r="AB6" i="1" s="1"/>
  <c r="D222" i="2"/>
  <c r="AC6" i="1" s="1"/>
  <c r="C222" i="2"/>
  <c r="B222" i="2"/>
  <c r="A222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AK5" i="1" s="1"/>
  <c r="N221" i="2"/>
  <c r="AJ5" i="1" s="1"/>
  <c r="M221" i="2"/>
  <c r="L221" i="2"/>
  <c r="AE5" i="1" s="1"/>
  <c r="K221" i="2"/>
  <c r="AD5" i="1" s="1"/>
  <c r="J221" i="2"/>
  <c r="AF5" i="1" s="1"/>
  <c r="I221" i="2"/>
  <c r="AI5" i="1" s="1"/>
  <c r="H221" i="2"/>
  <c r="AH5" i="1" s="1"/>
  <c r="G221" i="2"/>
  <c r="AG5" i="1" s="1"/>
  <c r="F221" i="2"/>
  <c r="E221" i="2"/>
  <c r="AB5" i="1" s="1"/>
  <c r="D221" i="2"/>
  <c r="AC5" i="1" s="1"/>
  <c r="C221" i="2"/>
  <c r="B221" i="2"/>
  <c r="A221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AK220" i="1" s="1"/>
  <c r="N220" i="2"/>
  <c r="AJ220" i="1" s="1"/>
  <c r="M220" i="2"/>
  <c r="L220" i="2"/>
  <c r="AE220" i="1" s="1"/>
  <c r="K220" i="2"/>
  <c r="AD220" i="1" s="1"/>
  <c r="J220" i="2"/>
  <c r="AF220" i="1" s="1"/>
  <c r="I220" i="2"/>
  <c r="AI220" i="1" s="1"/>
  <c r="H220" i="2"/>
  <c r="AH220" i="1" s="1"/>
  <c r="G220" i="2"/>
  <c r="AG220" i="1" s="1"/>
  <c r="F220" i="2"/>
  <c r="E220" i="2"/>
  <c r="AB220" i="1" s="1"/>
  <c r="D220" i="2"/>
  <c r="AC220" i="1" s="1"/>
  <c r="C220" i="2"/>
  <c r="B220" i="2"/>
  <c r="A220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Q219" i="1" s="1"/>
  <c r="N219" i="2"/>
  <c r="AJ219" i="1" s="1"/>
  <c r="M219" i="2"/>
  <c r="L219" i="2"/>
  <c r="AE219" i="1" s="1"/>
  <c r="K219" i="2"/>
  <c r="AD219" i="1" s="1"/>
  <c r="J219" i="2"/>
  <c r="AF219" i="1" s="1"/>
  <c r="I219" i="2"/>
  <c r="AI219" i="1" s="1"/>
  <c r="H219" i="2"/>
  <c r="AH219" i="1" s="1"/>
  <c r="G219" i="2"/>
  <c r="M219" i="1" s="1"/>
  <c r="F219" i="2"/>
  <c r="E219" i="2"/>
  <c r="AB219" i="1" s="1"/>
  <c r="D219" i="2"/>
  <c r="AC219" i="1" s="1"/>
  <c r="C219" i="2"/>
  <c r="B219" i="2"/>
  <c r="A219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AK218" i="1" s="1"/>
  <c r="N218" i="2"/>
  <c r="AJ218" i="1" s="1"/>
  <c r="M218" i="2"/>
  <c r="L218" i="2"/>
  <c r="AE218" i="1" s="1"/>
  <c r="K218" i="2"/>
  <c r="AD218" i="1" s="1"/>
  <c r="J218" i="2"/>
  <c r="AF218" i="1" s="1"/>
  <c r="I218" i="2"/>
  <c r="AI218" i="1" s="1"/>
  <c r="H218" i="2"/>
  <c r="N218" i="1" s="1"/>
  <c r="G218" i="2"/>
  <c r="AG218" i="1" s="1"/>
  <c r="F218" i="2"/>
  <c r="E218" i="2"/>
  <c r="AB218" i="1" s="1"/>
  <c r="D218" i="2"/>
  <c r="AC218" i="1" s="1"/>
  <c r="C218" i="2"/>
  <c r="B218" i="2"/>
  <c r="A218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AK217" i="1" s="1"/>
  <c r="N217" i="2"/>
  <c r="AJ217" i="1" s="1"/>
  <c r="M217" i="2"/>
  <c r="L217" i="2"/>
  <c r="AE217" i="1" s="1"/>
  <c r="K217" i="2"/>
  <c r="AD217" i="1" s="1"/>
  <c r="J217" i="2"/>
  <c r="AF217" i="1" s="1"/>
  <c r="I217" i="2"/>
  <c r="AI217" i="1" s="1"/>
  <c r="H217" i="2"/>
  <c r="AH217" i="1" s="1"/>
  <c r="G217" i="2"/>
  <c r="AG217" i="1" s="1"/>
  <c r="F217" i="2"/>
  <c r="E217" i="2"/>
  <c r="AB217" i="1" s="1"/>
  <c r="D217" i="2"/>
  <c r="AC217" i="1" s="1"/>
  <c r="C217" i="2"/>
  <c r="B217" i="2"/>
  <c r="A217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AK215" i="1" s="1"/>
  <c r="N216" i="2"/>
  <c r="AJ215" i="1" s="1"/>
  <c r="M216" i="2"/>
  <c r="L216" i="2"/>
  <c r="AE215" i="1" s="1"/>
  <c r="K216" i="2"/>
  <c r="AD215" i="1" s="1"/>
  <c r="J216" i="2"/>
  <c r="AF215" i="1" s="1"/>
  <c r="I216" i="2"/>
  <c r="AI215" i="1" s="1"/>
  <c r="H216" i="2"/>
  <c r="AH215" i="1" s="1"/>
  <c r="G216" i="2"/>
  <c r="AG215" i="1" s="1"/>
  <c r="F216" i="2"/>
  <c r="E216" i="2"/>
  <c r="AB215" i="1" s="1"/>
  <c r="D216" i="2"/>
  <c r="AC215" i="1" s="1"/>
  <c r="C216" i="2"/>
  <c r="B216" i="2"/>
  <c r="A216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AK214" i="1" s="1"/>
  <c r="N215" i="2"/>
  <c r="AJ214" i="1" s="1"/>
  <c r="M215" i="2"/>
  <c r="L215" i="2"/>
  <c r="AE214" i="1" s="1"/>
  <c r="K215" i="2"/>
  <c r="AD214" i="1" s="1"/>
  <c r="J215" i="2"/>
  <c r="AF214" i="1" s="1"/>
  <c r="I215" i="2"/>
  <c r="AI214" i="1" s="1"/>
  <c r="H215" i="2"/>
  <c r="AH214" i="1" s="1"/>
  <c r="G215" i="2"/>
  <c r="AG214" i="1" s="1"/>
  <c r="F215" i="2"/>
  <c r="E215" i="2"/>
  <c r="AB214" i="1" s="1"/>
  <c r="D215" i="2"/>
  <c r="AC214" i="1" s="1"/>
  <c r="C215" i="2"/>
  <c r="B215" i="2"/>
  <c r="A215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AK212" i="1" s="1"/>
  <c r="N214" i="2"/>
  <c r="AJ212" i="1" s="1"/>
  <c r="M214" i="2"/>
  <c r="L214" i="2"/>
  <c r="AE212" i="1" s="1"/>
  <c r="K214" i="2"/>
  <c r="AD212" i="1" s="1"/>
  <c r="J214" i="2"/>
  <c r="AF212" i="1" s="1"/>
  <c r="I214" i="2"/>
  <c r="AI212" i="1" s="1"/>
  <c r="H214" i="2"/>
  <c r="AH212" i="1" s="1"/>
  <c r="G214" i="2"/>
  <c r="AG212" i="1" s="1"/>
  <c r="F214" i="2"/>
  <c r="E214" i="2"/>
  <c r="AB212" i="1" s="1"/>
  <c r="D214" i="2"/>
  <c r="AC212" i="1" s="1"/>
  <c r="C214" i="2"/>
  <c r="B214" i="2"/>
  <c r="A214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AK207" i="1" s="1"/>
  <c r="N213" i="2"/>
  <c r="AJ207" i="1" s="1"/>
  <c r="M213" i="2"/>
  <c r="L213" i="2"/>
  <c r="AE207" i="1" s="1"/>
  <c r="K213" i="2"/>
  <c r="AD207" i="1" s="1"/>
  <c r="J213" i="2"/>
  <c r="AF207" i="1" s="1"/>
  <c r="I213" i="2"/>
  <c r="AI207" i="1" s="1"/>
  <c r="H213" i="2"/>
  <c r="AH207" i="1" s="1"/>
  <c r="G213" i="2"/>
  <c r="AG207" i="1" s="1"/>
  <c r="F213" i="2"/>
  <c r="E213" i="2"/>
  <c r="AB207" i="1" s="1"/>
  <c r="D213" i="2"/>
  <c r="AC207" i="1" s="1"/>
  <c r="C213" i="2"/>
  <c r="B213" i="2"/>
  <c r="A213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AK208" i="1" s="1"/>
  <c r="N212" i="2"/>
  <c r="AJ208" i="1" s="1"/>
  <c r="M212" i="2"/>
  <c r="L212" i="2"/>
  <c r="AE208" i="1" s="1"/>
  <c r="K212" i="2"/>
  <c r="AD208" i="1" s="1"/>
  <c r="J212" i="2"/>
  <c r="AF208" i="1" s="1"/>
  <c r="I212" i="2"/>
  <c r="AI208" i="1" s="1"/>
  <c r="H212" i="2"/>
  <c r="AH208" i="1" s="1"/>
  <c r="G212" i="2"/>
  <c r="AG208" i="1" s="1"/>
  <c r="F212" i="2"/>
  <c r="E212" i="2"/>
  <c r="AB208" i="1" s="1"/>
  <c r="D212" i="2"/>
  <c r="AC208" i="1" s="1"/>
  <c r="C212" i="2"/>
  <c r="B212" i="2"/>
  <c r="A212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AK206" i="1" s="1"/>
  <c r="N211" i="2"/>
  <c r="AJ206" i="1" s="1"/>
  <c r="M211" i="2"/>
  <c r="L211" i="2"/>
  <c r="AE206" i="1" s="1"/>
  <c r="K211" i="2"/>
  <c r="AD206" i="1" s="1"/>
  <c r="J211" i="2"/>
  <c r="AF206" i="1" s="1"/>
  <c r="I211" i="2"/>
  <c r="AI206" i="1" s="1"/>
  <c r="H211" i="2"/>
  <c r="AH206" i="1" s="1"/>
  <c r="G211" i="2"/>
  <c r="AG206" i="1" s="1"/>
  <c r="F211" i="2"/>
  <c r="E211" i="2"/>
  <c r="AB206" i="1" s="1"/>
  <c r="D211" i="2"/>
  <c r="AC206" i="1" s="1"/>
  <c r="C211" i="2"/>
  <c r="B211" i="2"/>
  <c r="A211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AK205" i="1" s="1"/>
  <c r="N210" i="2"/>
  <c r="AJ205" i="1" s="1"/>
  <c r="M210" i="2"/>
  <c r="L210" i="2"/>
  <c r="AE205" i="1" s="1"/>
  <c r="K210" i="2"/>
  <c r="AD205" i="1" s="1"/>
  <c r="J210" i="2"/>
  <c r="AF205" i="1" s="1"/>
  <c r="I210" i="2"/>
  <c r="AI205" i="1" s="1"/>
  <c r="H210" i="2"/>
  <c r="AH205" i="1" s="1"/>
  <c r="G210" i="2"/>
  <c r="AG205" i="1" s="1"/>
  <c r="F210" i="2"/>
  <c r="E210" i="2"/>
  <c r="AB205" i="1" s="1"/>
  <c r="D210" i="2"/>
  <c r="AC205" i="1" s="1"/>
  <c r="C210" i="2"/>
  <c r="B210" i="2"/>
  <c r="A210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AK204" i="1" s="1"/>
  <c r="N209" i="2"/>
  <c r="AJ204" i="1" s="1"/>
  <c r="M209" i="2"/>
  <c r="L209" i="2"/>
  <c r="AE204" i="1" s="1"/>
  <c r="K209" i="2"/>
  <c r="AD204" i="1" s="1"/>
  <c r="J209" i="2"/>
  <c r="AF204" i="1" s="1"/>
  <c r="I209" i="2"/>
  <c r="AI204" i="1" s="1"/>
  <c r="H209" i="2"/>
  <c r="AH204" i="1" s="1"/>
  <c r="G209" i="2"/>
  <c r="AG204" i="1" s="1"/>
  <c r="F209" i="2"/>
  <c r="E209" i="2"/>
  <c r="AB204" i="1" s="1"/>
  <c r="D209" i="2"/>
  <c r="AC204" i="1" s="1"/>
  <c r="C209" i="2"/>
  <c r="B209" i="2"/>
  <c r="A209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AK200" i="1" s="1"/>
  <c r="N208" i="2"/>
  <c r="AJ200" i="1" s="1"/>
  <c r="M208" i="2"/>
  <c r="L208" i="2"/>
  <c r="AE200" i="1" s="1"/>
  <c r="K208" i="2"/>
  <c r="AD200" i="1" s="1"/>
  <c r="J208" i="2"/>
  <c r="AF200" i="1" s="1"/>
  <c r="I208" i="2"/>
  <c r="AI200" i="1" s="1"/>
  <c r="H208" i="2"/>
  <c r="AH200" i="1" s="1"/>
  <c r="G208" i="2"/>
  <c r="AG200" i="1" s="1"/>
  <c r="F208" i="2"/>
  <c r="E208" i="2"/>
  <c r="AB200" i="1" s="1"/>
  <c r="D208" i="2"/>
  <c r="AC200" i="1" s="1"/>
  <c r="C208" i="2"/>
  <c r="B208" i="2"/>
  <c r="A208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AK198" i="1" s="1"/>
  <c r="N207" i="2"/>
  <c r="AJ198" i="1" s="1"/>
  <c r="M207" i="2"/>
  <c r="L207" i="2"/>
  <c r="AE198" i="1" s="1"/>
  <c r="K207" i="2"/>
  <c r="AD198" i="1" s="1"/>
  <c r="J207" i="2"/>
  <c r="AF198" i="1" s="1"/>
  <c r="I207" i="2"/>
  <c r="AI198" i="1" s="1"/>
  <c r="H207" i="2"/>
  <c r="AH198" i="1" s="1"/>
  <c r="G207" i="2"/>
  <c r="AG198" i="1" s="1"/>
  <c r="F207" i="2"/>
  <c r="E207" i="2"/>
  <c r="AB198" i="1" s="1"/>
  <c r="D207" i="2"/>
  <c r="AC198" i="1" s="1"/>
  <c r="C207" i="2"/>
  <c r="B207" i="2"/>
  <c r="A207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AK191" i="1" s="1"/>
  <c r="N206" i="2"/>
  <c r="AJ191" i="1" s="1"/>
  <c r="M206" i="2"/>
  <c r="L206" i="2"/>
  <c r="AE191" i="1" s="1"/>
  <c r="K206" i="2"/>
  <c r="AD191" i="1" s="1"/>
  <c r="J206" i="2"/>
  <c r="AF191" i="1" s="1"/>
  <c r="I206" i="2"/>
  <c r="AI191" i="1" s="1"/>
  <c r="H206" i="2"/>
  <c r="AH191" i="1" s="1"/>
  <c r="G206" i="2"/>
  <c r="AG191" i="1" s="1"/>
  <c r="F206" i="2"/>
  <c r="E206" i="2"/>
  <c r="AB191" i="1" s="1"/>
  <c r="D206" i="2"/>
  <c r="AC191" i="1" s="1"/>
  <c r="C206" i="2"/>
  <c r="B206" i="2"/>
  <c r="A206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AK189" i="1" s="1"/>
  <c r="N205" i="2"/>
  <c r="AJ189" i="1" s="1"/>
  <c r="M205" i="2"/>
  <c r="L205" i="2"/>
  <c r="AE189" i="1" s="1"/>
  <c r="K205" i="2"/>
  <c r="AD189" i="1" s="1"/>
  <c r="J205" i="2"/>
  <c r="AF189" i="1" s="1"/>
  <c r="I205" i="2"/>
  <c r="AI189" i="1" s="1"/>
  <c r="H205" i="2"/>
  <c r="AH189" i="1" s="1"/>
  <c r="G205" i="2"/>
  <c r="AG189" i="1" s="1"/>
  <c r="F205" i="2"/>
  <c r="E205" i="2"/>
  <c r="AB189" i="1" s="1"/>
  <c r="D205" i="2"/>
  <c r="AC189" i="1" s="1"/>
  <c r="C205" i="2"/>
  <c r="B205" i="2"/>
  <c r="A205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AK187" i="1" s="1"/>
  <c r="N204" i="2"/>
  <c r="AJ187" i="1" s="1"/>
  <c r="M204" i="2"/>
  <c r="L204" i="2"/>
  <c r="AE187" i="1" s="1"/>
  <c r="K204" i="2"/>
  <c r="AD187" i="1" s="1"/>
  <c r="J204" i="2"/>
  <c r="AF187" i="1" s="1"/>
  <c r="I204" i="2"/>
  <c r="AI187" i="1" s="1"/>
  <c r="H204" i="2"/>
  <c r="AH187" i="1" s="1"/>
  <c r="G204" i="2"/>
  <c r="AG187" i="1" s="1"/>
  <c r="F204" i="2"/>
  <c r="E204" i="2"/>
  <c r="AB187" i="1" s="1"/>
  <c r="D204" i="2"/>
  <c r="AC187" i="1" s="1"/>
  <c r="C204" i="2"/>
  <c r="B204" i="2"/>
  <c r="A204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AK186" i="1" s="1"/>
  <c r="N203" i="2"/>
  <c r="AJ186" i="1" s="1"/>
  <c r="M203" i="2"/>
  <c r="L203" i="2"/>
  <c r="AE186" i="1" s="1"/>
  <c r="K203" i="2"/>
  <c r="AD186" i="1" s="1"/>
  <c r="J203" i="2"/>
  <c r="AF186" i="1" s="1"/>
  <c r="I203" i="2"/>
  <c r="AI186" i="1" s="1"/>
  <c r="H203" i="2"/>
  <c r="AH186" i="1" s="1"/>
  <c r="G203" i="2"/>
  <c r="AG186" i="1" s="1"/>
  <c r="F203" i="2"/>
  <c r="E203" i="2"/>
  <c r="AB186" i="1" s="1"/>
  <c r="D203" i="2"/>
  <c r="AC186" i="1" s="1"/>
  <c r="C203" i="2"/>
  <c r="B203" i="2"/>
  <c r="A203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AK181" i="1" s="1"/>
  <c r="N202" i="2"/>
  <c r="AJ181" i="1" s="1"/>
  <c r="M202" i="2"/>
  <c r="L202" i="2"/>
  <c r="AE181" i="1" s="1"/>
  <c r="K202" i="2"/>
  <c r="AD181" i="1" s="1"/>
  <c r="J202" i="2"/>
  <c r="AF181" i="1" s="1"/>
  <c r="I202" i="2"/>
  <c r="AI181" i="1" s="1"/>
  <c r="H202" i="2"/>
  <c r="AH181" i="1" s="1"/>
  <c r="G202" i="2"/>
  <c r="AG181" i="1" s="1"/>
  <c r="F202" i="2"/>
  <c r="E202" i="2"/>
  <c r="AB181" i="1" s="1"/>
  <c r="D202" i="2"/>
  <c r="AC181" i="1" s="1"/>
  <c r="C202" i="2"/>
  <c r="B202" i="2"/>
  <c r="A202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AK180" i="1" s="1"/>
  <c r="N201" i="2"/>
  <c r="AJ180" i="1" s="1"/>
  <c r="M201" i="2"/>
  <c r="L201" i="2"/>
  <c r="AE180" i="1" s="1"/>
  <c r="K201" i="2"/>
  <c r="AD180" i="1" s="1"/>
  <c r="J201" i="2"/>
  <c r="AF180" i="1" s="1"/>
  <c r="I201" i="2"/>
  <c r="AI180" i="1" s="1"/>
  <c r="H201" i="2"/>
  <c r="AH180" i="1" s="1"/>
  <c r="G201" i="2"/>
  <c r="AG180" i="1" s="1"/>
  <c r="F201" i="2"/>
  <c r="E201" i="2"/>
  <c r="AB180" i="1" s="1"/>
  <c r="D201" i="2"/>
  <c r="AC180" i="1" s="1"/>
  <c r="C201" i="2"/>
  <c r="B201" i="2"/>
  <c r="A201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AK179" i="1" s="1"/>
  <c r="N200" i="2"/>
  <c r="AJ179" i="1" s="1"/>
  <c r="M200" i="2"/>
  <c r="L200" i="2"/>
  <c r="AE179" i="1" s="1"/>
  <c r="K200" i="2"/>
  <c r="AD179" i="1" s="1"/>
  <c r="J200" i="2"/>
  <c r="AF179" i="1" s="1"/>
  <c r="I200" i="2"/>
  <c r="AI179" i="1" s="1"/>
  <c r="H200" i="2"/>
  <c r="AH179" i="1" s="1"/>
  <c r="G200" i="2"/>
  <c r="AG179" i="1" s="1"/>
  <c r="F200" i="2"/>
  <c r="E200" i="2"/>
  <c r="AB179" i="1" s="1"/>
  <c r="D200" i="2"/>
  <c r="AC179" i="1" s="1"/>
  <c r="C200" i="2"/>
  <c r="B200" i="2"/>
  <c r="A200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AK178" i="1" s="1"/>
  <c r="N199" i="2"/>
  <c r="AJ178" i="1" s="1"/>
  <c r="M199" i="2"/>
  <c r="L199" i="2"/>
  <c r="AE178" i="1" s="1"/>
  <c r="K199" i="2"/>
  <c r="AD178" i="1" s="1"/>
  <c r="J199" i="2"/>
  <c r="AF178" i="1" s="1"/>
  <c r="I199" i="2"/>
  <c r="AI178" i="1" s="1"/>
  <c r="H199" i="2"/>
  <c r="AH178" i="1" s="1"/>
  <c r="G199" i="2"/>
  <c r="AG178" i="1" s="1"/>
  <c r="F199" i="2"/>
  <c r="E199" i="2"/>
  <c r="AB178" i="1" s="1"/>
  <c r="D199" i="2"/>
  <c r="AC178" i="1" s="1"/>
  <c r="C199" i="2"/>
  <c r="B199" i="2"/>
  <c r="A199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AK177" i="1" s="1"/>
  <c r="N198" i="2"/>
  <c r="AJ177" i="1" s="1"/>
  <c r="M198" i="2"/>
  <c r="L198" i="2"/>
  <c r="AE177" i="1" s="1"/>
  <c r="K198" i="2"/>
  <c r="AD177" i="1" s="1"/>
  <c r="J198" i="2"/>
  <c r="AF177" i="1" s="1"/>
  <c r="I198" i="2"/>
  <c r="AI177" i="1" s="1"/>
  <c r="H198" i="2"/>
  <c r="AH177" i="1" s="1"/>
  <c r="G198" i="2"/>
  <c r="AG177" i="1" s="1"/>
  <c r="F198" i="2"/>
  <c r="E198" i="2"/>
  <c r="AB177" i="1" s="1"/>
  <c r="D198" i="2"/>
  <c r="AC177" i="1" s="1"/>
  <c r="C198" i="2"/>
  <c r="B198" i="2"/>
  <c r="A198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AK175" i="1" s="1"/>
  <c r="N197" i="2"/>
  <c r="AJ175" i="1" s="1"/>
  <c r="M197" i="2"/>
  <c r="L197" i="2"/>
  <c r="AE175" i="1" s="1"/>
  <c r="K197" i="2"/>
  <c r="AD175" i="1" s="1"/>
  <c r="J197" i="2"/>
  <c r="AF175" i="1" s="1"/>
  <c r="I197" i="2"/>
  <c r="AI175" i="1" s="1"/>
  <c r="H197" i="2"/>
  <c r="AH175" i="1" s="1"/>
  <c r="G197" i="2"/>
  <c r="AG175" i="1" s="1"/>
  <c r="F197" i="2"/>
  <c r="E197" i="2"/>
  <c r="AB175" i="1" s="1"/>
  <c r="D197" i="2"/>
  <c r="AC175" i="1" s="1"/>
  <c r="C197" i="2"/>
  <c r="B197" i="2"/>
  <c r="A197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AK176" i="1" s="1"/>
  <c r="N196" i="2"/>
  <c r="AJ176" i="1" s="1"/>
  <c r="M196" i="2"/>
  <c r="L196" i="2"/>
  <c r="AE176" i="1" s="1"/>
  <c r="K196" i="2"/>
  <c r="AD176" i="1" s="1"/>
  <c r="J196" i="2"/>
  <c r="AF176" i="1" s="1"/>
  <c r="I196" i="2"/>
  <c r="AI176" i="1" s="1"/>
  <c r="H196" i="2"/>
  <c r="AH176" i="1" s="1"/>
  <c r="G196" i="2"/>
  <c r="AG176" i="1" s="1"/>
  <c r="F196" i="2"/>
  <c r="E196" i="2"/>
  <c r="AB176" i="1" s="1"/>
  <c r="D196" i="2"/>
  <c r="AC176" i="1" s="1"/>
  <c r="C196" i="2"/>
  <c r="B196" i="2"/>
  <c r="A196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AK172" i="1" s="1"/>
  <c r="N195" i="2"/>
  <c r="AJ172" i="1" s="1"/>
  <c r="M195" i="2"/>
  <c r="L195" i="2"/>
  <c r="AE172" i="1" s="1"/>
  <c r="K195" i="2"/>
  <c r="AD172" i="1" s="1"/>
  <c r="J195" i="2"/>
  <c r="AF172" i="1" s="1"/>
  <c r="I195" i="2"/>
  <c r="AI172" i="1" s="1"/>
  <c r="H195" i="2"/>
  <c r="AH172" i="1" s="1"/>
  <c r="G195" i="2"/>
  <c r="AG172" i="1" s="1"/>
  <c r="F195" i="2"/>
  <c r="E195" i="2"/>
  <c r="AB172" i="1" s="1"/>
  <c r="D195" i="2"/>
  <c r="AC172" i="1" s="1"/>
  <c r="C195" i="2"/>
  <c r="B195" i="2"/>
  <c r="A195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AK168" i="1" s="1"/>
  <c r="N194" i="2"/>
  <c r="AJ168" i="1" s="1"/>
  <c r="M194" i="2"/>
  <c r="L194" i="2"/>
  <c r="AE168" i="1" s="1"/>
  <c r="K194" i="2"/>
  <c r="AD168" i="1" s="1"/>
  <c r="J194" i="2"/>
  <c r="AF168" i="1" s="1"/>
  <c r="I194" i="2"/>
  <c r="AI168" i="1" s="1"/>
  <c r="H194" i="2"/>
  <c r="AH168" i="1" s="1"/>
  <c r="G194" i="2"/>
  <c r="AG168" i="1" s="1"/>
  <c r="F194" i="2"/>
  <c r="E194" i="2"/>
  <c r="AB168" i="1" s="1"/>
  <c r="D194" i="2"/>
  <c r="AC168" i="1" s="1"/>
  <c r="C194" i="2"/>
  <c r="B194" i="2"/>
  <c r="A194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AK167" i="1" s="1"/>
  <c r="N193" i="2"/>
  <c r="AJ167" i="1" s="1"/>
  <c r="M193" i="2"/>
  <c r="L193" i="2"/>
  <c r="AE167" i="1" s="1"/>
  <c r="K193" i="2"/>
  <c r="AD167" i="1" s="1"/>
  <c r="J193" i="2"/>
  <c r="AF167" i="1" s="1"/>
  <c r="I193" i="2"/>
  <c r="AI167" i="1" s="1"/>
  <c r="H193" i="2"/>
  <c r="AH167" i="1" s="1"/>
  <c r="G193" i="2"/>
  <c r="AG167" i="1" s="1"/>
  <c r="F193" i="2"/>
  <c r="E193" i="2"/>
  <c r="AB167" i="1" s="1"/>
  <c r="D193" i="2"/>
  <c r="AC167" i="1" s="1"/>
  <c r="C193" i="2"/>
  <c r="B193" i="2"/>
  <c r="A193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AK166" i="1" s="1"/>
  <c r="N192" i="2"/>
  <c r="AJ166" i="1" s="1"/>
  <c r="M192" i="2"/>
  <c r="L192" i="2"/>
  <c r="AE166" i="1" s="1"/>
  <c r="K192" i="2"/>
  <c r="AD166" i="1" s="1"/>
  <c r="J192" i="2"/>
  <c r="AF166" i="1" s="1"/>
  <c r="I192" i="2"/>
  <c r="AI166" i="1" s="1"/>
  <c r="H192" i="2"/>
  <c r="AH166" i="1" s="1"/>
  <c r="G192" i="2"/>
  <c r="AG166" i="1" s="1"/>
  <c r="F192" i="2"/>
  <c r="E192" i="2"/>
  <c r="AB166" i="1" s="1"/>
  <c r="D192" i="2"/>
  <c r="AC166" i="1" s="1"/>
  <c r="C192" i="2"/>
  <c r="B192" i="2"/>
  <c r="A192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AK161" i="1" s="1"/>
  <c r="N191" i="2"/>
  <c r="AJ161" i="1" s="1"/>
  <c r="M191" i="2"/>
  <c r="L191" i="2"/>
  <c r="AE161" i="1" s="1"/>
  <c r="K191" i="2"/>
  <c r="AD161" i="1" s="1"/>
  <c r="J191" i="2"/>
  <c r="AF161" i="1" s="1"/>
  <c r="I191" i="2"/>
  <c r="AI161" i="1" s="1"/>
  <c r="H191" i="2"/>
  <c r="AH161" i="1" s="1"/>
  <c r="G191" i="2"/>
  <c r="AG161" i="1" s="1"/>
  <c r="F191" i="2"/>
  <c r="E191" i="2"/>
  <c r="AB161" i="1" s="1"/>
  <c r="D191" i="2"/>
  <c r="AC161" i="1" s="1"/>
  <c r="C191" i="2"/>
  <c r="B191" i="2"/>
  <c r="A191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AK158" i="1" s="1"/>
  <c r="N190" i="2"/>
  <c r="AJ158" i="1" s="1"/>
  <c r="M190" i="2"/>
  <c r="L190" i="2"/>
  <c r="AE158" i="1" s="1"/>
  <c r="K190" i="2"/>
  <c r="AD158" i="1" s="1"/>
  <c r="J190" i="2"/>
  <c r="AF158" i="1" s="1"/>
  <c r="I190" i="2"/>
  <c r="AI158" i="1" s="1"/>
  <c r="H190" i="2"/>
  <c r="AH158" i="1" s="1"/>
  <c r="G190" i="2"/>
  <c r="AG158" i="1" s="1"/>
  <c r="F190" i="2"/>
  <c r="E190" i="2"/>
  <c r="AB158" i="1" s="1"/>
  <c r="D190" i="2"/>
  <c r="AC158" i="1" s="1"/>
  <c r="C190" i="2"/>
  <c r="B190" i="2"/>
  <c r="A190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AK155" i="1" s="1"/>
  <c r="N189" i="2"/>
  <c r="AJ155" i="1" s="1"/>
  <c r="M189" i="2"/>
  <c r="L189" i="2"/>
  <c r="AE155" i="1" s="1"/>
  <c r="K189" i="2"/>
  <c r="AD155" i="1" s="1"/>
  <c r="J189" i="2"/>
  <c r="AF155" i="1" s="1"/>
  <c r="I189" i="2"/>
  <c r="AI155" i="1" s="1"/>
  <c r="H189" i="2"/>
  <c r="AH155" i="1" s="1"/>
  <c r="G189" i="2"/>
  <c r="AG155" i="1" s="1"/>
  <c r="F189" i="2"/>
  <c r="E189" i="2"/>
  <c r="AB155" i="1" s="1"/>
  <c r="D189" i="2"/>
  <c r="AC155" i="1" s="1"/>
  <c r="C189" i="2"/>
  <c r="B189" i="2"/>
  <c r="A189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AK148" i="1" s="1"/>
  <c r="N188" i="2"/>
  <c r="AJ148" i="1" s="1"/>
  <c r="M188" i="2"/>
  <c r="L188" i="2"/>
  <c r="AE148" i="1" s="1"/>
  <c r="K188" i="2"/>
  <c r="AD148" i="1" s="1"/>
  <c r="J188" i="2"/>
  <c r="AF148" i="1" s="1"/>
  <c r="I188" i="2"/>
  <c r="AI148" i="1" s="1"/>
  <c r="H188" i="2"/>
  <c r="AH148" i="1" s="1"/>
  <c r="G188" i="2"/>
  <c r="AG148" i="1" s="1"/>
  <c r="F188" i="2"/>
  <c r="E188" i="2"/>
  <c r="AB148" i="1" s="1"/>
  <c r="D188" i="2"/>
  <c r="AC148" i="1" s="1"/>
  <c r="C188" i="2"/>
  <c r="B188" i="2"/>
  <c r="A188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AK147" i="1" s="1"/>
  <c r="N187" i="2"/>
  <c r="AJ147" i="1" s="1"/>
  <c r="M187" i="2"/>
  <c r="L187" i="2"/>
  <c r="AE147" i="1" s="1"/>
  <c r="K187" i="2"/>
  <c r="AD147" i="1" s="1"/>
  <c r="J187" i="2"/>
  <c r="AF147" i="1" s="1"/>
  <c r="I187" i="2"/>
  <c r="AI147" i="1" s="1"/>
  <c r="H187" i="2"/>
  <c r="AH147" i="1" s="1"/>
  <c r="G187" i="2"/>
  <c r="AG147" i="1" s="1"/>
  <c r="F187" i="2"/>
  <c r="E187" i="2"/>
  <c r="AB147" i="1" s="1"/>
  <c r="D187" i="2"/>
  <c r="AC147" i="1" s="1"/>
  <c r="C187" i="2"/>
  <c r="B187" i="2"/>
  <c r="A187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AK146" i="1" s="1"/>
  <c r="N186" i="2"/>
  <c r="AJ146" i="1" s="1"/>
  <c r="M186" i="2"/>
  <c r="L186" i="2"/>
  <c r="AE146" i="1" s="1"/>
  <c r="K186" i="2"/>
  <c r="AD146" i="1" s="1"/>
  <c r="J186" i="2"/>
  <c r="AF146" i="1" s="1"/>
  <c r="I186" i="2"/>
  <c r="AI146" i="1" s="1"/>
  <c r="H186" i="2"/>
  <c r="AH146" i="1" s="1"/>
  <c r="G186" i="2"/>
  <c r="AG146" i="1" s="1"/>
  <c r="F186" i="2"/>
  <c r="E186" i="2"/>
  <c r="AB146" i="1" s="1"/>
  <c r="D186" i="2"/>
  <c r="AC146" i="1" s="1"/>
  <c r="C186" i="2"/>
  <c r="B186" i="2"/>
  <c r="A186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AK145" i="1" s="1"/>
  <c r="N185" i="2"/>
  <c r="AJ145" i="1" s="1"/>
  <c r="M185" i="2"/>
  <c r="L185" i="2"/>
  <c r="AE145" i="1" s="1"/>
  <c r="K185" i="2"/>
  <c r="AD145" i="1" s="1"/>
  <c r="J185" i="2"/>
  <c r="AF145" i="1" s="1"/>
  <c r="I185" i="2"/>
  <c r="AI145" i="1" s="1"/>
  <c r="H185" i="2"/>
  <c r="AH145" i="1" s="1"/>
  <c r="G185" i="2"/>
  <c r="AG145" i="1" s="1"/>
  <c r="F185" i="2"/>
  <c r="E185" i="2"/>
  <c r="AB145" i="1" s="1"/>
  <c r="D185" i="2"/>
  <c r="AC145" i="1" s="1"/>
  <c r="C185" i="2"/>
  <c r="B185" i="2"/>
  <c r="A185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AK144" i="1" s="1"/>
  <c r="N184" i="2"/>
  <c r="AJ144" i="1" s="1"/>
  <c r="M184" i="2"/>
  <c r="L184" i="2"/>
  <c r="AE144" i="1" s="1"/>
  <c r="K184" i="2"/>
  <c r="AD144" i="1" s="1"/>
  <c r="J184" i="2"/>
  <c r="AF144" i="1" s="1"/>
  <c r="I184" i="2"/>
  <c r="AI144" i="1" s="1"/>
  <c r="H184" i="2"/>
  <c r="AH144" i="1" s="1"/>
  <c r="G184" i="2"/>
  <c r="AG144" i="1" s="1"/>
  <c r="F184" i="2"/>
  <c r="E184" i="2"/>
  <c r="AB144" i="1" s="1"/>
  <c r="D184" i="2"/>
  <c r="AC144" i="1" s="1"/>
  <c r="C184" i="2"/>
  <c r="B184" i="2"/>
  <c r="A184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AK142" i="1" s="1"/>
  <c r="N183" i="2"/>
  <c r="AJ142" i="1" s="1"/>
  <c r="M183" i="2"/>
  <c r="L183" i="2"/>
  <c r="AE142" i="1" s="1"/>
  <c r="K183" i="2"/>
  <c r="AD142" i="1" s="1"/>
  <c r="J183" i="2"/>
  <c r="AF142" i="1" s="1"/>
  <c r="I183" i="2"/>
  <c r="AI142" i="1" s="1"/>
  <c r="H183" i="2"/>
  <c r="AH142" i="1" s="1"/>
  <c r="G183" i="2"/>
  <c r="AG142" i="1" s="1"/>
  <c r="F183" i="2"/>
  <c r="E183" i="2"/>
  <c r="AB142" i="1" s="1"/>
  <c r="D183" i="2"/>
  <c r="AC142" i="1" s="1"/>
  <c r="C183" i="2"/>
  <c r="B183" i="2"/>
  <c r="A183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AK141" i="1" s="1"/>
  <c r="N182" i="2"/>
  <c r="AJ141" i="1" s="1"/>
  <c r="M182" i="2"/>
  <c r="L182" i="2"/>
  <c r="AE141" i="1" s="1"/>
  <c r="K182" i="2"/>
  <c r="AD141" i="1" s="1"/>
  <c r="J182" i="2"/>
  <c r="AF141" i="1" s="1"/>
  <c r="I182" i="2"/>
  <c r="AI141" i="1" s="1"/>
  <c r="H182" i="2"/>
  <c r="AH141" i="1" s="1"/>
  <c r="G182" i="2"/>
  <c r="AG141" i="1" s="1"/>
  <c r="F182" i="2"/>
  <c r="E182" i="2"/>
  <c r="AB141" i="1" s="1"/>
  <c r="D182" i="2"/>
  <c r="AC141" i="1" s="1"/>
  <c r="C182" i="2"/>
  <c r="B182" i="2"/>
  <c r="A182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AK139" i="1" s="1"/>
  <c r="N181" i="2"/>
  <c r="AJ139" i="1" s="1"/>
  <c r="M181" i="2"/>
  <c r="L181" i="2"/>
  <c r="AE139" i="1" s="1"/>
  <c r="K181" i="2"/>
  <c r="AD139" i="1" s="1"/>
  <c r="J181" i="2"/>
  <c r="AF139" i="1" s="1"/>
  <c r="I181" i="2"/>
  <c r="AI139" i="1" s="1"/>
  <c r="H181" i="2"/>
  <c r="AH139" i="1" s="1"/>
  <c r="G181" i="2"/>
  <c r="AG139" i="1" s="1"/>
  <c r="F181" i="2"/>
  <c r="E181" i="2"/>
  <c r="AB139" i="1" s="1"/>
  <c r="D181" i="2"/>
  <c r="AC139" i="1" s="1"/>
  <c r="C181" i="2"/>
  <c r="B181" i="2"/>
  <c r="A181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AK138" i="1" s="1"/>
  <c r="N180" i="2"/>
  <c r="AJ138" i="1" s="1"/>
  <c r="M180" i="2"/>
  <c r="L180" i="2"/>
  <c r="AE138" i="1" s="1"/>
  <c r="K180" i="2"/>
  <c r="AD138" i="1" s="1"/>
  <c r="J180" i="2"/>
  <c r="AF138" i="1" s="1"/>
  <c r="I180" i="2"/>
  <c r="AI138" i="1" s="1"/>
  <c r="H180" i="2"/>
  <c r="AH138" i="1" s="1"/>
  <c r="G180" i="2"/>
  <c r="AG138" i="1" s="1"/>
  <c r="F180" i="2"/>
  <c r="E180" i="2"/>
  <c r="AB138" i="1" s="1"/>
  <c r="D180" i="2"/>
  <c r="AC138" i="1" s="1"/>
  <c r="C180" i="2"/>
  <c r="B180" i="2"/>
  <c r="A180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AK137" i="1" s="1"/>
  <c r="N179" i="2"/>
  <c r="AJ137" i="1" s="1"/>
  <c r="M179" i="2"/>
  <c r="L179" i="2"/>
  <c r="AE137" i="1" s="1"/>
  <c r="K179" i="2"/>
  <c r="AD137" i="1" s="1"/>
  <c r="J179" i="2"/>
  <c r="AF137" i="1" s="1"/>
  <c r="I179" i="2"/>
  <c r="AI137" i="1" s="1"/>
  <c r="H179" i="2"/>
  <c r="AH137" i="1" s="1"/>
  <c r="G179" i="2"/>
  <c r="AG137" i="1" s="1"/>
  <c r="F179" i="2"/>
  <c r="E179" i="2"/>
  <c r="AB137" i="1" s="1"/>
  <c r="D179" i="2"/>
  <c r="AC137" i="1" s="1"/>
  <c r="C179" i="2"/>
  <c r="B179" i="2"/>
  <c r="A179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AK136" i="1" s="1"/>
  <c r="N178" i="2"/>
  <c r="AJ136" i="1" s="1"/>
  <c r="M178" i="2"/>
  <c r="L178" i="2"/>
  <c r="AE136" i="1" s="1"/>
  <c r="K178" i="2"/>
  <c r="AD136" i="1" s="1"/>
  <c r="J178" i="2"/>
  <c r="AF136" i="1" s="1"/>
  <c r="I178" i="2"/>
  <c r="AI136" i="1" s="1"/>
  <c r="H178" i="2"/>
  <c r="AH136" i="1" s="1"/>
  <c r="G178" i="2"/>
  <c r="AG136" i="1" s="1"/>
  <c r="F178" i="2"/>
  <c r="E178" i="2"/>
  <c r="AB136" i="1" s="1"/>
  <c r="D178" i="2"/>
  <c r="AC136" i="1" s="1"/>
  <c r="C178" i="2"/>
  <c r="B178" i="2"/>
  <c r="A178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AK32" i="1" s="1"/>
  <c r="N177" i="2"/>
  <c r="AJ32" i="1" s="1"/>
  <c r="M177" i="2"/>
  <c r="L177" i="2"/>
  <c r="AE32" i="1" s="1"/>
  <c r="K177" i="2"/>
  <c r="AD32" i="1" s="1"/>
  <c r="J177" i="2"/>
  <c r="AF32" i="1" s="1"/>
  <c r="I177" i="2"/>
  <c r="AI32" i="1" s="1"/>
  <c r="H177" i="2"/>
  <c r="AH32" i="1" s="1"/>
  <c r="G177" i="2"/>
  <c r="AG32" i="1" s="1"/>
  <c r="F177" i="2"/>
  <c r="E177" i="2"/>
  <c r="AB32" i="1" s="1"/>
  <c r="D177" i="2"/>
  <c r="AC32" i="1" s="1"/>
  <c r="C177" i="2"/>
  <c r="B177" i="2"/>
  <c r="A177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AK33" i="1" s="1"/>
  <c r="N176" i="2"/>
  <c r="AJ33" i="1" s="1"/>
  <c r="M176" i="2"/>
  <c r="L176" i="2"/>
  <c r="AE33" i="1" s="1"/>
  <c r="K176" i="2"/>
  <c r="AD33" i="1" s="1"/>
  <c r="J176" i="2"/>
  <c r="AF33" i="1" s="1"/>
  <c r="I176" i="2"/>
  <c r="AI33" i="1" s="1"/>
  <c r="H176" i="2"/>
  <c r="AH33" i="1" s="1"/>
  <c r="G176" i="2"/>
  <c r="AG33" i="1" s="1"/>
  <c r="F176" i="2"/>
  <c r="E176" i="2"/>
  <c r="AB33" i="1" s="1"/>
  <c r="D176" i="2"/>
  <c r="AC33" i="1" s="1"/>
  <c r="C176" i="2"/>
  <c r="B176" i="2"/>
  <c r="A176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Q225" i="1" s="1"/>
  <c r="N175" i="2"/>
  <c r="AJ225" i="1" s="1"/>
  <c r="M175" i="2"/>
  <c r="L175" i="2"/>
  <c r="AE225" i="1" s="1"/>
  <c r="K175" i="2"/>
  <c r="J225" i="1" s="1"/>
  <c r="J175" i="2"/>
  <c r="AF225" i="1" s="1"/>
  <c r="I175" i="2"/>
  <c r="AI225" i="1" s="1"/>
  <c r="H175" i="2"/>
  <c r="AH225" i="1" s="1"/>
  <c r="G175" i="2"/>
  <c r="AG225" i="1" s="1"/>
  <c r="F175" i="2"/>
  <c r="E175" i="2"/>
  <c r="AB225" i="1" s="1"/>
  <c r="D175" i="2"/>
  <c r="AC225" i="1" s="1"/>
  <c r="C175" i="2"/>
  <c r="B175" i="2"/>
  <c r="A175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AK224" i="1" s="1"/>
  <c r="N174" i="2"/>
  <c r="AJ224" i="1" s="1"/>
  <c r="M174" i="2"/>
  <c r="L174" i="2"/>
  <c r="AE224" i="1" s="1"/>
  <c r="K174" i="2"/>
  <c r="AD224" i="1" s="1"/>
  <c r="J174" i="2"/>
  <c r="AF224" i="1" s="1"/>
  <c r="I174" i="2"/>
  <c r="AI224" i="1" s="1"/>
  <c r="H174" i="2"/>
  <c r="AH224" i="1" s="1"/>
  <c r="G174" i="2"/>
  <c r="AG224" i="1" s="1"/>
  <c r="F174" i="2"/>
  <c r="E174" i="2"/>
  <c r="AB224" i="1" s="1"/>
  <c r="D174" i="2"/>
  <c r="AC224" i="1" s="1"/>
  <c r="C174" i="2"/>
  <c r="B174" i="2"/>
  <c r="A174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Q223" i="1" s="1"/>
  <c r="N173" i="2"/>
  <c r="AJ223" i="1" s="1"/>
  <c r="M173" i="2"/>
  <c r="L173" i="2"/>
  <c r="AE223" i="1" s="1"/>
  <c r="K173" i="2"/>
  <c r="J223" i="1" s="1"/>
  <c r="J173" i="2"/>
  <c r="AF223" i="1" s="1"/>
  <c r="I173" i="2"/>
  <c r="AI223" i="1" s="1"/>
  <c r="H173" i="2"/>
  <c r="N223" i="1" s="1"/>
  <c r="G173" i="2"/>
  <c r="AG223" i="1" s="1"/>
  <c r="F173" i="2"/>
  <c r="E173" i="2"/>
  <c r="AB223" i="1" s="1"/>
  <c r="D173" i="2"/>
  <c r="AC223" i="1" s="1"/>
  <c r="C173" i="2"/>
  <c r="B173" i="2"/>
  <c r="A173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AK222" i="1" s="1"/>
  <c r="N172" i="2"/>
  <c r="AJ222" i="1" s="1"/>
  <c r="M172" i="2"/>
  <c r="L172" i="2"/>
  <c r="AE222" i="1" s="1"/>
  <c r="K172" i="2"/>
  <c r="AD222" i="1" s="1"/>
  <c r="J172" i="2"/>
  <c r="AF222" i="1" s="1"/>
  <c r="I172" i="2"/>
  <c r="AI222" i="1" s="1"/>
  <c r="H172" i="2"/>
  <c r="AH222" i="1" s="1"/>
  <c r="G172" i="2"/>
  <c r="AG222" i="1" s="1"/>
  <c r="F172" i="2"/>
  <c r="E172" i="2"/>
  <c r="AB222" i="1" s="1"/>
  <c r="D172" i="2"/>
  <c r="AC222" i="1" s="1"/>
  <c r="C172" i="2"/>
  <c r="B172" i="2"/>
  <c r="A172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Q221" i="1" s="1"/>
  <c r="N171" i="2"/>
  <c r="AJ221" i="1" s="1"/>
  <c r="M171" i="2"/>
  <c r="L171" i="2"/>
  <c r="AE221" i="1" s="1"/>
  <c r="K171" i="2"/>
  <c r="AD221" i="1" s="1"/>
  <c r="J171" i="2"/>
  <c r="L221" i="1" s="1"/>
  <c r="I171" i="2"/>
  <c r="AI221" i="1" s="1"/>
  <c r="H171" i="2"/>
  <c r="AH221" i="1" s="1"/>
  <c r="G171" i="2"/>
  <c r="M221" i="1" s="1"/>
  <c r="F171" i="2"/>
  <c r="E171" i="2"/>
  <c r="AB221" i="1" s="1"/>
  <c r="D171" i="2"/>
  <c r="I221" i="1" s="1"/>
  <c r="C171" i="2"/>
  <c r="B171" i="2"/>
  <c r="A171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AK216" i="1" s="1"/>
  <c r="N170" i="2"/>
  <c r="AJ216" i="1" s="1"/>
  <c r="M170" i="2"/>
  <c r="L170" i="2"/>
  <c r="AE216" i="1" s="1"/>
  <c r="K170" i="2"/>
  <c r="AD216" i="1" s="1"/>
  <c r="J170" i="2"/>
  <c r="AF216" i="1" s="1"/>
  <c r="I170" i="2"/>
  <c r="AI216" i="1" s="1"/>
  <c r="H170" i="2"/>
  <c r="AH216" i="1" s="1"/>
  <c r="G170" i="2"/>
  <c r="AG216" i="1" s="1"/>
  <c r="F170" i="2"/>
  <c r="E170" i="2"/>
  <c r="AB216" i="1" s="1"/>
  <c r="D170" i="2"/>
  <c r="AC216" i="1" s="1"/>
  <c r="C170" i="2"/>
  <c r="B170" i="2"/>
  <c r="A170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AK213" i="1" s="1"/>
  <c r="N169" i="2"/>
  <c r="AJ213" i="1" s="1"/>
  <c r="M169" i="2"/>
  <c r="L169" i="2"/>
  <c r="AE213" i="1" s="1"/>
  <c r="K169" i="2"/>
  <c r="AD213" i="1" s="1"/>
  <c r="J169" i="2"/>
  <c r="AF213" i="1" s="1"/>
  <c r="I169" i="2"/>
  <c r="AI213" i="1" s="1"/>
  <c r="H169" i="2"/>
  <c r="AH213" i="1" s="1"/>
  <c r="G169" i="2"/>
  <c r="AG213" i="1" s="1"/>
  <c r="F169" i="2"/>
  <c r="E169" i="2"/>
  <c r="AB213" i="1" s="1"/>
  <c r="D169" i="2"/>
  <c r="AC213" i="1" s="1"/>
  <c r="C169" i="2"/>
  <c r="B169" i="2"/>
  <c r="A169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AK211" i="1" s="1"/>
  <c r="N168" i="2"/>
  <c r="AJ211" i="1" s="1"/>
  <c r="M168" i="2"/>
  <c r="L168" i="2"/>
  <c r="AE211" i="1" s="1"/>
  <c r="K168" i="2"/>
  <c r="AD211" i="1" s="1"/>
  <c r="J168" i="2"/>
  <c r="AF211" i="1" s="1"/>
  <c r="I168" i="2"/>
  <c r="AI211" i="1" s="1"/>
  <c r="H168" i="2"/>
  <c r="AH211" i="1" s="1"/>
  <c r="G168" i="2"/>
  <c r="AG211" i="1" s="1"/>
  <c r="F168" i="2"/>
  <c r="E168" i="2"/>
  <c r="AB211" i="1" s="1"/>
  <c r="D168" i="2"/>
  <c r="AC211" i="1" s="1"/>
  <c r="C168" i="2"/>
  <c r="B168" i="2"/>
  <c r="A168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AK209" i="1" s="1"/>
  <c r="N167" i="2"/>
  <c r="AJ209" i="1" s="1"/>
  <c r="M167" i="2"/>
  <c r="L167" i="2"/>
  <c r="AE209" i="1" s="1"/>
  <c r="K167" i="2"/>
  <c r="AD209" i="1" s="1"/>
  <c r="J167" i="2"/>
  <c r="AF209" i="1" s="1"/>
  <c r="I167" i="2"/>
  <c r="AI209" i="1" s="1"/>
  <c r="H167" i="2"/>
  <c r="AH209" i="1" s="1"/>
  <c r="G167" i="2"/>
  <c r="AG209" i="1" s="1"/>
  <c r="F167" i="2"/>
  <c r="E167" i="2"/>
  <c r="AB209" i="1" s="1"/>
  <c r="D167" i="2"/>
  <c r="AC209" i="1" s="1"/>
  <c r="C167" i="2"/>
  <c r="B167" i="2"/>
  <c r="A167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AK210" i="1" s="1"/>
  <c r="N166" i="2"/>
  <c r="AJ210" i="1" s="1"/>
  <c r="M166" i="2"/>
  <c r="L166" i="2"/>
  <c r="AE210" i="1" s="1"/>
  <c r="K166" i="2"/>
  <c r="AD210" i="1" s="1"/>
  <c r="J166" i="2"/>
  <c r="AF210" i="1" s="1"/>
  <c r="I166" i="2"/>
  <c r="AI210" i="1" s="1"/>
  <c r="H166" i="2"/>
  <c r="AH210" i="1" s="1"/>
  <c r="G166" i="2"/>
  <c r="AG210" i="1" s="1"/>
  <c r="F166" i="2"/>
  <c r="E166" i="2"/>
  <c r="AB210" i="1" s="1"/>
  <c r="D166" i="2"/>
  <c r="AC210" i="1" s="1"/>
  <c r="C166" i="2"/>
  <c r="B166" i="2"/>
  <c r="A166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AK203" i="1" s="1"/>
  <c r="N165" i="2"/>
  <c r="AJ203" i="1" s="1"/>
  <c r="M165" i="2"/>
  <c r="L165" i="2"/>
  <c r="AE203" i="1" s="1"/>
  <c r="K165" i="2"/>
  <c r="AD203" i="1" s="1"/>
  <c r="J165" i="2"/>
  <c r="AF203" i="1" s="1"/>
  <c r="I165" i="2"/>
  <c r="AI203" i="1" s="1"/>
  <c r="H165" i="2"/>
  <c r="AH203" i="1" s="1"/>
  <c r="G165" i="2"/>
  <c r="AG203" i="1" s="1"/>
  <c r="F165" i="2"/>
  <c r="E165" i="2"/>
  <c r="AB203" i="1" s="1"/>
  <c r="D165" i="2"/>
  <c r="AC203" i="1" s="1"/>
  <c r="C165" i="2"/>
  <c r="B165" i="2"/>
  <c r="A165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AK202" i="1" s="1"/>
  <c r="N164" i="2"/>
  <c r="AJ202" i="1" s="1"/>
  <c r="M164" i="2"/>
  <c r="L164" i="2"/>
  <c r="AE202" i="1" s="1"/>
  <c r="K164" i="2"/>
  <c r="AD202" i="1" s="1"/>
  <c r="J164" i="2"/>
  <c r="AF202" i="1" s="1"/>
  <c r="I164" i="2"/>
  <c r="AI202" i="1" s="1"/>
  <c r="H164" i="2"/>
  <c r="AH202" i="1" s="1"/>
  <c r="G164" i="2"/>
  <c r="AG202" i="1" s="1"/>
  <c r="F164" i="2"/>
  <c r="E164" i="2"/>
  <c r="AB202" i="1" s="1"/>
  <c r="D164" i="2"/>
  <c r="AC202" i="1" s="1"/>
  <c r="C164" i="2"/>
  <c r="B164" i="2"/>
  <c r="A164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AK201" i="1" s="1"/>
  <c r="N163" i="2"/>
  <c r="AJ201" i="1" s="1"/>
  <c r="M163" i="2"/>
  <c r="L163" i="2"/>
  <c r="AE201" i="1" s="1"/>
  <c r="K163" i="2"/>
  <c r="AD201" i="1" s="1"/>
  <c r="J163" i="2"/>
  <c r="AF201" i="1" s="1"/>
  <c r="I163" i="2"/>
  <c r="AI201" i="1" s="1"/>
  <c r="H163" i="2"/>
  <c r="AH201" i="1" s="1"/>
  <c r="G163" i="2"/>
  <c r="AG201" i="1" s="1"/>
  <c r="F163" i="2"/>
  <c r="E163" i="2"/>
  <c r="AB201" i="1" s="1"/>
  <c r="D163" i="2"/>
  <c r="AC201" i="1" s="1"/>
  <c r="C163" i="2"/>
  <c r="B163" i="2"/>
  <c r="A163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AK199" i="1" s="1"/>
  <c r="N162" i="2"/>
  <c r="AJ199" i="1" s="1"/>
  <c r="M162" i="2"/>
  <c r="L162" i="2"/>
  <c r="AE199" i="1" s="1"/>
  <c r="K162" i="2"/>
  <c r="AD199" i="1" s="1"/>
  <c r="J162" i="2"/>
  <c r="AF199" i="1" s="1"/>
  <c r="I162" i="2"/>
  <c r="AI199" i="1" s="1"/>
  <c r="H162" i="2"/>
  <c r="AH199" i="1" s="1"/>
  <c r="G162" i="2"/>
  <c r="AG199" i="1" s="1"/>
  <c r="F162" i="2"/>
  <c r="E162" i="2"/>
  <c r="AB199" i="1" s="1"/>
  <c r="D162" i="2"/>
  <c r="AC199" i="1" s="1"/>
  <c r="C162" i="2"/>
  <c r="B162" i="2"/>
  <c r="A162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AK197" i="1" s="1"/>
  <c r="N161" i="2"/>
  <c r="AJ197" i="1" s="1"/>
  <c r="M161" i="2"/>
  <c r="L161" i="2"/>
  <c r="AE197" i="1" s="1"/>
  <c r="K161" i="2"/>
  <c r="AD197" i="1" s="1"/>
  <c r="J161" i="2"/>
  <c r="AF197" i="1" s="1"/>
  <c r="I161" i="2"/>
  <c r="AI197" i="1" s="1"/>
  <c r="H161" i="2"/>
  <c r="AH197" i="1" s="1"/>
  <c r="G161" i="2"/>
  <c r="AG197" i="1" s="1"/>
  <c r="F161" i="2"/>
  <c r="E161" i="2"/>
  <c r="AB197" i="1" s="1"/>
  <c r="D161" i="2"/>
  <c r="AC197" i="1" s="1"/>
  <c r="C161" i="2"/>
  <c r="B161" i="2"/>
  <c r="A161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AK196" i="1" s="1"/>
  <c r="N160" i="2"/>
  <c r="AJ196" i="1" s="1"/>
  <c r="M160" i="2"/>
  <c r="L160" i="2"/>
  <c r="AE196" i="1" s="1"/>
  <c r="K160" i="2"/>
  <c r="AD196" i="1" s="1"/>
  <c r="J160" i="2"/>
  <c r="AF196" i="1" s="1"/>
  <c r="I160" i="2"/>
  <c r="AI196" i="1" s="1"/>
  <c r="H160" i="2"/>
  <c r="AH196" i="1" s="1"/>
  <c r="G160" i="2"/>
  <c r="AG196" i="1" s="1"/>
  <c r="F160" i="2"/>
  <c r="E160" i="2"/>
  <c r="AB196" i="1" s="1"/>
  <c r="D160" i="2"/>
  <c r="AC196" i="1" s="1"/>
  <c r="C160" i="2"/>
  <c r="B160" i="2"/>
  <c r="A160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AK195" i="1" s="1"/>
  <c r="N159" i="2"/>
  <c r="AJ195" i="1" s="1"/>
  <c r="M159" i="2"/>
  <c r="L159" i="2"/>
  <c r="AE195" i="1" s="1"/>
  <c r="K159" i="2"/>
  <c r="AD195" i="1" s="1"/>
  <c r="J159" i="2"/>
  <c r="AF195" i="1" s="1"/>
  <c r="I159" i="2"/>
  <c r="AI195" i="1" s="1"/>
  <c r="H159" i="2"/>
  <c r="AH195" i="1" s="1"/>
  <c r="G159" i="2"/>
  <c r="AG195" i="1" s="1"/>
  <c r="F159" i="2"/>
  <c r="E159" i="2"/>
  <c r="AB195" i="1" s="1"/>
  <c r="D159" i="2"/>
  <c r="AC195" i="1" s="1"/>
  <c r="C159" i="2"/>
  <c r="B159" i="2"/>
  <c r="A159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AK194" i="1" s="1"/>
  <c r="N158" i="2"/>
  <c r="AJ194" i="1" s="1"/>
  <c r="M158" i="2"/>
  <c r="L158" i="2"/>
  <c r="AE194" i="1" s="1"/>
  <c r="K158" i="2"/>
  <c r="AD194" i="1" s="1"/>
  <c r="J158" i="2"/>
  <c r="AF194" i="1" s="1"/>
  <c r="I158" i="2"/>
  <c r="AI194" i="1" s="1"/>
  <c r="H158" i="2"/>
  <c r="AH194" i="1" s="1"/>
  <c r="G158" i="2"/>
  <c r="AG194" i="1" s="1"/>
  <c r="F158" i="2"/>
  <c r="E158" i="2"/>
  <c r="AB194" i="1" s="1"/>
  <c r="D158" i="2"/>
  <c r="AC194" i="1" s="1"/>
  <c r="C158" i="2"/>
  <c r="B158" i="2"/>
  <c r="A158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AK193" i="1" s="1"/>
  <c r="N157" i="2"/>
  <c r="AJ193" i="1" s="1"/>
  <c r="M157" i="2"/>
  <c r="L157" i="2"/>
  <c r="AE193" i="1" s="1"/>
  <c r="K157" i="2"/>
  <c r="AD193" i="1" s="1"/>
  <c r="J157" i="2"/>
  <c r="AF193" i="1" s="1"/>
  <c r="I157" i="2"/>
  <c r="AI193" i="1" s="1"/>
  <c r="H157" i="2"/>
  <c r="AH193" i="1" s="1"/>
  <c r="G157" i="2"/>
  <c r="AG193" i="1" s="1"/>
  <c r="F157" i="2"/>
  <c r="E157" i="2"/>
  <c r="AB193" i="1" s="1"/>
  <c r="D157" i="2"/>
  <c r="AC193" i="1" s="1"/>
  <c r="C157" i="2"/>
  <c r="B157" i="2"/>
  <c r="A157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AK192" i="1" s="1"/>
  <c r="N156" i="2"/>
  <c r="AJ192" i="1" s="1"/>
  <c r="M156" i="2"/>
  <c r="L156" i="2"/>
  <c r="AE192" i="1" s="1"/>
  <c r="K156" i="2"/>
  <c r="AD192" i="1" s="1"/>
  <c r="J156" i="2"/>
  <c r="AF192" i="1" s="1"/>
  <c r="I156" i="2"/>
  <c r="AI192" i="1" s="1"/>
  <c r="H156" i="2"/>
  <c r="AH192" i="1" s="1"/>
  <c r="G156" i="2"/>
  <c r="AG192" i="1" s="1"/>
  <c r="F156" i="2"/>
  <c r="E156" i="2"/>
  <c r="AB192" i="1" s="1"/>
  <c r="D156" i="2"/>
  <c r="AC192" i="1" s="1"/>
  <c r="C156" i="2"/>
  <c r="B156" i="2"/>
  <c r="A156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AK190" i="1" s="1"/>
  <c r="N155" i="2"/>
  <c r="AJ190" i="1" s="1"/>
  <c r="M155" i="2"/>
  <c r="L155" i="2"/>
  <c r="AE190" i="1" s="1"/>
  <c r="K155" i="2"/>
  <c r="AD190" i="1" s="1"/>
  <c r="J155" i="2"/>
  <c r="AF190" i="1" s="1"/>
  <c r="I155" i="2"/>
  <c r="AI190" i="1" s="1"/>
  <c r="H155" i="2"/>
  <c r="AH190" i="1" s="1"/>
  <c r="G155" i="2"/>
  <c r="AG190" i="1" s="1"/>
  <c r="F155" i="2"/>
  <c r="E155" i="2"/>
  <c r="AB190" i="1" s="1"/>
  <c r="D155" i="2"/>
  <c r="AC190" i="1" s="1"/>
  <c r="C155" i="2"/>
  <c r="B155" i="2"/>
  <c r="A155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AK188" i="1" s="1"/>
  <c r="N154" i="2"/>
  <c r="AJ188" i="1" s="1"/>
  <c r="M154" i="2"/>
  <c r="L154" i="2"/>
  <c r="AE188" i="1" s="1"/>
  <c r="K154" i="2"/>
  <c r="AD188" i="1" s="1"/>
  <c r="J154" i="2"/>
  <c r="AF188" i="1" s="1"/>
  <c r="I154" i="2"/>
  <c r="AI188" i="1" s="1"/>
  <c r="H154" i="2"/>
  <c r="AH188" i="1" s="1"/>
  <c r="G154" i="2"/>
  <c r="AG188" i="1" s="1"/>
  <c r="F154" i="2"/>
  <c r="E154" i="2"/>
  <c r="AB188" i="1" s="1"/>
  <c r="D154" i="2"/>
  <c r="AC188" i="1" s="1"/>
  <c r="C154" i="2"/>
  <c r="B154" i="2"/>
  <c r="A154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AK185" i="1" s="1"/>
  <c r="N153" i="2"/>
  <c r="AJ185" i="1" s="1"/>
  <c r="M153" i="2"/>
  <c r="L153" i="2"/>
  <c r="AE185" i="1" s="1"/>
  <c r="K153" i="2"/>
  <c r="AD185" i="1" s="1"/>
  <c r="J153" i="2"/>
  <c r="AF185" i="1" s="1"/>
  <c r="I153" i="2"/>
  <c r="AI185" i="1" s="1"/>
  <c r="H153" i="2"/>
  <c r="AH185" i="1" s="1"/>
  <c r="G153" i="2"/>
  <c r="AG185" i="1" s="1"/>
  <c r="F153" i="2"/>
  <c r="E153" i="2"/>
  <c r="AB185" i="1" s="1"/>
  <c r="D153" i="2"/>
  <c r="AC185" i="1" s="1"/>
  <c r="C153" i="2"/>
  <c r="B153" i="2"/>
  <c r="A153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AK184" i="1" s="1"/>
  <c r="N152" i="2"/>
  <c r="AJ184" i="1" s="1"/>
  <c r="M152" i="2"/>
  <c r="L152" i="2"/>
  <c r="AE184" i="1" s="1"/>
  <c r="K152" i="2"/>
  <c r="AD184" i="1" s="1"/>
  <c r="J152" i="2"/>
  <c r="AF184" i="1" s="1"/>
  <c r="I152" i="2"/>
  <c r="AI184" i="1" s="1"/>
  <c r="H152" i="2"/>
  <c r="AH184" i="1" s="1"/>
  <c r="G152" i="2"/>
  <c r="AG184" i="1" s="1"/>
  <c r="F152" i="2"/>
  <c r="E152" i="2"/>
  <c r="AB184" i="1" s="1"/>
  <c r="D152" i="2"/>
  <c r="AC184" i="1" s="1"/>
  <c r="C152" i="2"/>
  <c r="B152" i="2"/>
  <c r="A152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AK183" i="1" s="1"/>
  <c r="N151" i="2"/>
  <c r="AJ183" i="1" s="1"/>
  <c r="M151" i="2"/>
  <c r="L151" i="2"/>
  <c r="AE183" i="1" s="1"/>
  <c r="K151" i="2"/>
  <c r="AD183" i="1" s="1"/>
  <c r="J151" i="2"/>
  <c r="AF183" i="1" s="1"/>
  <c r="I151" i="2"/>
  <c r="AI183" i="1" s="1"/>
  <c r="H151" i="2"/>
  <c r="AH183" i="1" s="1"/>
  <c r="G151" i="2"/>
  <c r="AG183" i="1" s="1"/>
  <c r="F151" i="2"/>
  <c r="E151" i="2"/>
  <c r="AB183" i="1" s="1"/>
  <c r="D151" i="2"/>
  <c r="AC183" i="1" s="1"/>
  <c r="C151" i="2"/>
  <c r="B151" i="2"/>
  <c r="A151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AK182" i="1" s="1"/>
  <c r="N150" i="2"/>
  <c r="AJ182" i="1" s="1"/>
  <c r="M150" i="2"/>
  <c r="L150" i="2"/>
  <c r="AE182" i="1" s="1"/>
  <c r="K150" i="2"/>
  <c r="AD182" i="1" s="1"/>
  <c r="J150" i="2"/>
  <c r="AF182" i="1" s="1"/>
  <c r="I150" i="2"/>
  <c r="AI182" i="1" s="1"/>
  <c r="H150" i="2"/>
  <c r="AH182" i="1" s="1"/>
  <c r="G150" i="2"/>
  <c r="AG182" i="1" s="1"/>
  <c r="F150" i="2"/>
  <c r="E150" i="2"/>
  <c r="AB182" i="1" s="1"/>
  <c r="D150" i="2"/>
  <c r="AC182" i="1" s="1"/>
  <c r="C150" i="2"/>
  <c r="B150" i="2"/>
  <c r="A150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AK173" i="1" s="1"/>
  <c r="N149" i="2"/>
  <c r="AJ173" i="1" s="1"/>
  <c r="M149" i="2"/>
  <c r="L149" i="2"/>
  <c r="AE173" i="1" s="1"/>
  <c r="K149" i="2"/>
  <c r="AD173" i="1" s="1"/>
  <c r="J149" i="2"/>
  <c r="AF173" i="1" s="1"/>
  <c r="I149" i="2"/>
  <c r="AI173" i="1" s="1"/>
  <c r="H149" i="2"/>
  <c r="AH173" i="1" s="1"/>
  <c r="G149" i="2"/>
  <c r="AG173" i="1" s="1"/>
  <c r="F149" i="2"/>
  <c r="E149" i="2"/>
  <c r="AB173" i="1" s="1"/>
  <c r="D149" i="2"/>
  <c r="AC173" i="1" s="1"/>
  <c r="C149" i="2"/>
  <c r="B149" i="2"/>
  <c r="A149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AK174" i="1" s="1"/>
  <c r="N148" i="2"/>
  <c r="AJ174" i="1" s="1"/>
  <c r="M148" i="2"/>
  <c r="L148" i="2"/>
  <c r="AE174" i="1" s="1"/>
  <c r="K148" i="2"/>
  <c r="AD174" i="1" s="1"/>
  <c r="J148" i="2"/>
  <c r="AF174" i="1" s="1"/>
  <c r="I148" i="2"/>
  <c r="AI174" i="1" s="1"/>
  <c r="H148" i="2"/>
  <c r="AH174" i="1" s="1"/>
  <c r="G148" i="2"/>
  <c r="AG174" i="1" s="1"/>
  <c r="F148" i="2"/>
  <c r="E148" i="2"/>
  <c r="AB174" i="1" s="1"/>
  <c r="D148" i="2"/>
  <c r="AC174" i="1" s="1"/>
  <c r="C148" i="2"/>
  <c r="B148" i="2"/>
  <c r="A148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AK171" i="1" s="1"/>
  <c r="N147" i="2"/>
  <c r="AJ171" i="1" s="1"/>
  <c r="M147" i="2"/>
  <c r="L147" i="2"/>
  <c r="AE171" i="1" s="1"/>
  <c r="K147" i="2"/>
  <c r="AD171" i="1" s="1"/>
  <c r="J147" i="2"/>
  <c r="AF171" i="1" s="1"/>
  <c r="I147" i="2"/>
  <c r="AI171" i="1" s="1"/>
  <c r="H147" i="2"/>
  <c r="AH171" i="1" s="1"/>
  <c r="G147" i="2"/>
  <c r="AG171" i="1" s="1"/>
  <c r="F147" i="2"/>
  <c r="E147" i="2"/>
  <c r="AB171" i="1" s="1"/>
  <c r="D147" i="2"/>
  <c r="AC171" i="1" s="1"/>
  <c r="C147" i="2"/>
  <c r="B147" i="2"/>
  <c r="A147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AK170" i="1" s="1"/>
  <c r="N146" i="2"/>
  <c r="AJ170" i="1" s="1"/>
  <c r="M146" i="2"/>
  <c r="L146" i="2"/>
  <c r="AE170" i="1" s="1"/>
  <c r="K146" i="2"/>
  <c r="AD170" i="1" s="1"/>
  <c r="J146" i="2"/>
  <c r="AF170" i="1" s="1"/>
  <c r="I146" i="2"/>
  <c r="AI170" i="1" s="1"/>
  <c r="H146" i="2"/>
  <c r="AH170" i="1" s="1"/>
  <c r="G146" i="2"/>
  <c r="AG170" i="1" s="1"/>
  <c r="F146" i="2"/>
  <c r="E146" i="2"/>
  <c r="AB170" i="1" s="1"/>
  <c r="D146" i="2"/>
  <c r="AC170" i="1" s="1"/>
  <c r="C146" i="2"/>
  <c r="B146" i="2"/>
  <c r="A146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AK169" i="1" s="1"/>
  <c r="N145" i="2"/>
  <c r="AJ169" i="1" s="1"/>
  <c r="M145" i="2"/>
  <c r="L145" i="2"/>
  <c r="AE169" i="1" s="1"/>
  <c r="K145" i="2"/>
  <c r="AD169" i="1" s="1"/>
  <c r="J145" i="2"/>
  <c r="AF169" i="1" s="1"/>
  <c r="I145" i="2"/>
  <c r="AI169" i="1" s="1"/>
  <c r="H145" i="2"/>
  <c r="AH169" i="1" s="1"/>
  <c r="G145" i="2"/>
  <c r="AG169" i="1" s="1"/>
  <c r="F145" i="2"/>
  <c r="E145" i="2"/>
  <c r="AB169" i="1" s="1"/>
  <c r="D145" i="2"/>
  <c r="AC169" i="1" s="1"/>
  <c r="C145" i="2"/>
  <c r="B145" i="2"/>
  <c r="A145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AK165" i="1" s="1"/>
  <c r="N142" i="2"/>
  <c r="AJ165" i="1" s="1"/>
  <c r="M142" i="2"/>
  <c r="L142" i="2"/>
  <c r="AE165" i="1" s="1"/>
  <c r="K142" i="2"/>
  <c r="AD165" i="1" s="1"/>
  <c r="J142" i="2"/>
  <c r="AF165" i="1" s="1"/>
  <c r="I142" i="2"/>
  <c r="AI165" i="1" s="1"/>
  <c r="H142" i="2"/>
  <c r="AH165" i="1" s="1"/>
  <c r="G142" i="2"/>
  <c r="AG165" i="1" s="1"/>
  <c r="F142" i="2"/>
  <c r="E142" i="2"/>
  <c r="AB165" i="1" s="1"/>
  <c r="D142" i="2"/>
  <c r="AC165" i="1" s="1"/>
  <c r="C142" i="2"/>
  <c r="B142" i="2"/>
  <c r="A142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AK164" i="1" s="1"/>
  <c r="N141" i="2"/>
  <c r="AJ164" i="1" s="1"/>
  <c r="M141" i="2"/>
  <c r="L141" i="2"/>
  <c r="AE164" i="1" s="1"/>
  <c r="K141" i="2"/>
  <c r="AD164" i="1" s="1"/>
  <c r="J141" i="2"/>
  <c r="AF164" i="1" s="1"/>
  <c r="I141" i="2"/>
  <c r="AI164" i="1" s="1"/>
  <c r="H141" i="2"/>
  <c r="AH164" i="1" s="1"/>
  <c r="G141" i="2"/>
  <c r="AG164" i="1" s="1"/>
  <c r="F141" i="2"/>
  <c r="E141" i="2"/>
  <c r="AB164" i="1" s="1"/>
  <c r="D141" i="2"/>
  <c r="AC164" i="1" s="1"/>
  <c r="C141" i="2"/>
  <c r="B141" i="2"/>
  <c r="A141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AK163" i="1" s="1"/>
  <c r="N140" i="2"/>
  <c r="AJ163" i="1" s="1"/>
  <c r="M140" i="2"/>
  <c r="L140" i="2"/>
  <c r="AE163" i="1" s="1"/>
  <c r="K140" i="2"/>
  <c r="AD163" i="1" s="1"/>
  <c r="J140" i="2"/>
  <c r="AF163" i="1" s="1"/>
  <c r="I140" i="2"/>
  <c r="AI163" i="1" s="1"/>
  <c r="H140" i="2"/>
  <c r="AH163" i="1" s="1"/>
  <c r="G140" i="2"/>
  <c r="AG163" i="1" s="1"/>
  <c r="F140" i="2"/>
  <c r="E140" i="2"/>
  <c r="AB163" i="1" s="1"/>
  <c r="D140" i="2"/>
  <c r="AC163" i="1" s="1"/>
  <c r="C140" i="2"/>
  <c r="B140" i="2"/>
  <c r="A140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AK162" i="1" s="1"/>
  <c r="N139" i="2"/>
  <c r="AJ162" i="1" s="1"/>
  <c r="M139" i="2"/>
  <c r="L139" i="2"/>
  <c r="AE162" i="1" s="1"/>
  <c r="K139" i="2"/>
  <c r="AD162" i="1" s="1"/>
  <c r="J139" i="2"/>
  <c r="AF162" i="1" s="1"/>
  <c r="I139" i="2"/>
  <c r="AI162" i="1" s="1"/>
  <c r="H139" i="2"/>
  <c r="AH162" i="1" s="1"/>
  <c r="G139" i="2"/>
  <c r="AG162" i="1" s="1"/>
  <c r="F139" i="2"/>
  <c r="E139" i="2"/>
  <c r="AB162" i="1" s="1"/>
  <c r="D139" i="2"/>
  <c r="AC162" i="1" s="1"/>
  <c r="C139" i="2"/>
  <c r="B139" i="2"/>
  <c r="A139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AK160" i="1" s="1"/>
  <c r="N138" i="2"/>
  <c r="AJ160" i="1" s="1"/>
  <c r="M138" i="2"/>
  <c r="L138" i="2"/>
  <c r="AE160" i="1" s="1"/>
  <c r="K138" i="2"/>
  <c r="AD160" i="1" s="1"/>
  <c r="J138" i="2"/>
  <c r="AF160" i="1" s="1"/>
  <c r="I138" i="2"/>
  <c r="AI160" i="1" s="1"/>
  <c r="H138" i="2"/>
  <c r="AH160" i="1" s="1"/>
  <c r="G138" i="2"/>
  <c r="AG160" i="1" s="1"/>
  <c r="F138" i="2"/>
  <c r="E138" i="2"/>
  <c r="AB160" i="1" s="1"/>
  <c r="D138" i="2"/>
  <c r="AC160" i="1" s="1"/>
  <c r="C138" i="2"/>
  <c r="B138" i="2"/>
  <c r="A138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AK159" i="1" s="1"/>
  <c r="N137" i="2"/>
  <c r="AJ159" i="1" s="1"/>
  <c r="M137" i="2"/>
  <c r="L137" i="2"/>
  <c r="AE159" i="1" s="1"/>
  <c r="K137" i="2"/>
  <c r="AD159" i="1" s="1"/>
  <c r="J137" i="2"/>
  <c r="AF159" i="1" s="1"/>
  <c r="I137" i="2"/>
  <c r="AI159" i="1" s="1"/>
  <c r="H137" i="2"/>
  <c r="AH159" i="1" s="1"/>
  <c r="G137" i="2"/>
  <c r="AG159" i="1" s="1"/>
  <c r="F137" i="2"/>
  <c r="E137" i="2"/>
  <c r="AB159" i="1" s="1"/>
  <c r="D137" i="2"/>
  <c r="AC159" i="1" s="1"/>
  <c r="C137" i="2"/>
  <c r="B137" i="2"/>
  <c r="A137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AK157" i="1" s="1"/>
  <c r="N136" i="2"/>
  <c r="AJ157" i="1" s="1"/>
  <c r="M136" i="2"/>
  <c r="L136" i="2"/>
  <c r="AE157" i="1" s="1"/>
  <c r="K136" i="2"/>
  <c r="AD157" i="1" s="1"/>
  <c r="J136" i="2"/>
  <c r="AF157" i="1" s="1"/>
  <c r="I136" i="2"/>
  <c r="AI157" i="1" s="1"/>
  <c r="H136" i="2"/>
  <c r="AH157" i="1" s="1"/>
  <c r="G136" i="2"/>
  <c r="AG157" i="1" s="1"/>
  <c r="F136" i="2"/>
  <c r="E136" i="2"/>
  <c r="AB157" i="1" s="1"/>
  <c r="D136" i="2"/>
  <c r="AC157" i="1" s="1"/>
  <c r="C136" i="2"/>
  <c r="B136" i="2"/>
  <c r="A136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AK156" i="1" s="1"/>
  <c r="N135" i="2"/>
  <c r="AJ156" i="1" s="1"/>
  <c r="M135" i="2"/>
  <c r="L135" i="2"/>
  <c r="AE156" i="1" s="1"/>
  <c r="K135" i="2"/>
  <c r="AD156" i="1" s="1"/>
  <c r="J135" i="2"/>
  <c r="AF156" i="1" s="1"/>
  <c r="I135" i="2"/>
  <c r="AI156" i="1" s="1"/>
  <c r="H135" i="2"/>
  <c r="AH156" i="1" s="1"/>
  <c r="G135" i="2"/>
  <c r="AG156" i="1" s="1"/>
  <c r="F135" i="2"/>
  <c r="E135" i="2"/>
  <c r="AB156" i="1" s="1"/>
  <c r="D135" i="2"/>
  <c r="AC156" i="1" s="1"/>
  <c r="C135" i="2"/>
  <c r="B135" i="2"/>
  <c r="A135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AK154" i="1" s="1"/>
  <c r="N134" i="2"/>
  <c r="AJ154" i="1" s="1"/>
  <c r="M134" i="2"/>
  <c r="L134" i="2"/>
  <c r="AE154" i="1" s="1"/>
  <c r="K134" i="2"/>
  <c r="AD154" i="1" s="1"/>
  <c r="J134" i="2"/>
  <c r="AF154" i="1" s="1"/>
  <c r="I134" i="2"/>
  <c r="AI154" i="1" s="1"/>
  <c r="H134" i="2"/>
  <c r="AH154" i="1" s="1"/>
  <c r="G134" i="2"/>
  <c r="AG154" i="1" s="1"/>
  <c r="F134" i="2"/>
  <c r="E134" i="2"/>
  <c r="AB154" i="1" s="1"/>
  <c r="D134" i="2"/>
  <c r="AC154" i="1" s="1"/>
  <c r="C134" i="2"/>
  <c r="B134" i="2"/>
  <c r="A134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AK153" i="1" s="1"/>
  <c r="N133" i="2"/>
  <c r="AJ153" i="1" s="1"/>
  <c r="M133" i="2"/>
  <c r="L133" i="2"/>
  <c r="AE153" i="1" s="1"/>
  <c r="K133" i="2"/>
  <c r="AD153" i="1" s="1"/>
  <c r="J133" i="2"/>
  <c r="AF153" i="1" s="1"/>
  <c r="I133" i="2"/>
  <c r="AI153" i="1" s="1"/>
  <c r="H133" i="2"/>
  <c r="AH153" i="1" s="1"/>
  <c r="G133" i="2"/>
  <c r="AG153" i="1" s="1"/>
  <c r="F133" i="2"/>
  <c r="E133" i="2"/>
  <c r="AB153" i="1" s="1"/>
  <c r="D133" i="2"/>
  <c r="AC153" i="1" s="1"/>
  <c r="C133" i="2"/>
  <c r="B133" i="2"/>
  <c r="A133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AK151" i="1" s="1"/>
  <c r="N132" i="2"/>
  <c r="AJ151" i="1" s="1"/>
  <c r="M132" i="2"/>
  <c r="L132" i="2"/>
  <c r="AE151" i="1" s="1"/>
  <c r="K132" i="2"/>
  <c r="AD151" i="1" s="1"/>
  <c r="J132" i="2"/>
  <c r="AF151" i="1" s="1"/>
  <c r="I132" i="2"/>
  <c r="AI151" i="1" s="1"/>
  <c r="H132" i="2"/>
  <c r="AH151" i="1" s="1"/>
  <c r="G132" i="2"/>
  <c r="AG151" i="1" s="1"/>
  <c r="F132" i="2"/>
  <c r="E132" i="2"/>
  <c r="AB151" i="1" s="1"/>
  <c r="D132" i="2"/>
  <c r="AC151" i="1" s="1"/>
  <c r="C132" i="2"/>
  <c r="B132" i="2"/>
  <c r="A132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AK152" i="1" s="1"/>
  <c r="N131" i="2"/>
  <c r="AJ152" i="1" s="1"/>
  <c r="M131" i="2"/>
  <c r="L131" i="2"/>
  <c r="AE152" i="1" s="1"/>
  <c r="K131" i="2"/>
  <c r="AD152" i="1" s="1"/>
  <c r="J131" i="2"/>
  <c r="AF152" i="1" s="1"/>
  <c r="I131" i="2"/>
  <c r="AI152" i="1" s="1"/>
  <c r="H131" i="2"/>
  <c r="AH152" i="1" s="1"/>
  <c r="G131" i="2"/>
  <c r="AG152" i="1" s="1"/>
  <c r="F131" i="2"/>
  <c r="E131" i="2"/>
  <c r="AB152" i="1" s="1"/>
  <c r="D131" i="2"/>
  <c r="AC152" i="1" s="1"/>
  <c r="C131" i="2"/>
  <c r="B131" i="2"/>
  <c r="A131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AK150" i="1" s="1"/>
  <c r="N130" i="2"/>
  <c r="AJ150" i="1" s="1"/>
  <c r="M130" i="2"/>
  <c r="L130" i="2"/>
  <c r="AE150" i="1" s="1"/>
  <c r="K130" i="2"/>
  <c r="AD150" i="1" s="1"/>
  <c r="J130" i="2"/>
  <c r="AF150" i="1" s="1"/>
  <c r="I130" i="2"/>
  <c r="AI150" i="1" s="1"/>
  <c r="H130" i="2"/>
  <c r="AH150" i="1" s="1"/>
  <c r="G130" i="2"/>
  <c r="AG150" i="1" s="1"/>
  <c r="F130" i="2"/>
  <c r="E130" i="2"/>
  <c r="AB150" i="1" s="1"/>
  <c r="D130" i="2"/>
  <c r="AC150" i="1" s="1"/>
  <c r="C130" i="2"/>
  <c r="B130" i="2"/>
  <c r="A130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AK149" i="1" s="1"/>
  <c r="N129" i="2"/>
  <c r="AJ149" i="1" s="1"/>
  <c r="M129" i="2"/>
  <c r="L129" i="2"/>
  <c r="AE149" i="1" s="1"/>
  <c r="K129" i="2"/>
  <c r="AD149" i="1" s="1"/>
  <c r="J129" i="2"/>
  <c r="AF149" i="1" s="1"/>
  <c r="I129" i="2"/>
  <c r="AI149" i="1" s="1"/>
  <c r="H129" i="2"/>
  <c r="AH149" i="1" s="1"/>
  <c r="G129" i="2"/>
  <c r="AG149" i="1" s="1"/>
  <c r="F129" i="2"/>
  <c r="E129" i="2"/>
  <c r="AB149" i="1" s="1"/>
  <c r="D129" i="2"/>
  <c r="AC149" i="1" s="1"/>
  <c r="C129" i="2"/>
  <c r="B129" i="2"/>
  <c r="A129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AK143" i="1" s="1"/>
  <c r="N128" i="2"/>
  <c r="AJ143" i="1" s="1"/>
  <c r="M128" i="2"/>
  <c r="L128" i="2"/>
  <c r="AE143" i="1" s="1"/>
  <c r="K128" i="2"/>
  <c r="AD143" i="1" s="1"/>
  <c r="J128" i="2"/>
  <c r="AF143" i="1" s="1"/>
  <c r="I128" i="2"/>
  <c r="AI143" i="1" s="1"/>
  <c r="H128" i="2"/>
  <c r="AH143" i="1" s="1"/>
  <c r="G128" i="2"/>
  <c r="AG143" i="1" s="1"/>
  <c r="F128" i="2"/>
  <c r="E128" i="2"/>
  <c r="AB143" i="1" s="1"/>
  <c r="D128" i="2"/>
  <c r="AC143" i="1" s="1"/>
  <c r="C128" i="2"/>
  <c r="B128" i="2"/>
  <c r="A128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AK140" i="1" s="1"/>
  <c r="N127" i="2"/>
  <c r="AJ140" i="1" s="1"/>
  <c r="M127" i="2"/>
  <c r="L127" i="2"/>
  <c r="AE140" i="1" s="1"/>
  <c r="K127" i="2"/>
  <c r="AD140" i="1" s="1"/>
  <c r="J127" i="2"/>
  <c r="AF140" i="1" s="1"/>
  <c r="I127" i="2"/>
  <c r="AI140" i="1" s="1"/>
  <c r="H127" i="2"/>
  <c r="AH140" i="1" s="1"/>
  <c r="G127" i="2"/>
  <c r="AG140" i="1" s="1"/>
  <c r="F127" i="2"/>
  <c r="E127" i="2"/>
  <c r="AB140" i="1" s="1"/>
  <c r="D127" i="2"/>
  <c r="AC140" i="1" s="1"/>
  <c r="C127" i="2"/>
  <c r="B127" i="2"/>
  <c r="A127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AK135" i="1" s="1"/>
  <c r="N126" i="2"/>
  <c r="AJ135" i="1" s="1"/>
  <c r="M126" i="2"/>
  <c r="L126" i="2"/>
  <c r="AE135" i="1" s="1"/>
  <c r="K126" i="2"/>
  <c r="AD135" i="1" s="1"/>
  <c r="J126" i="2"/>
  <c r="AF135" i="1" s="1"/>
  <c r="I126" i="2"/>
  <c r="AI135" i="1" s="1"/>
  <c r="H126" i="2"/>
  <c r="AH135" i="1" s="1"/>
  <c r="G126" i="2"/>
  <c r="AG135" i="1" s="1"/>
  <c r="F126" i="2"/>
  <c r="E126" i="2"/>
  <c r="AB135" i="1" s="1"/>
  <c r="D126" i="2"/>
  <c r="AC135" i="1" s="1"/>
  <c r="C126" i="2"/>
  <c r="B126" i="2"/>
  <c r="A126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AK134" i="1" s="1"/>
  <c r="N125" i="2"/>
  <c r="AJ134" i="1" s="1"/>
  <c r="M125" i="2"/>
  <c r="L125" i="2"/>
  <c r="AE134" i="1" s="1"/>
  <c r="K125" i="2"/>
  <c r="AD134" i="1" s="1"/>
  <c r="J125" i="2"/>
  <c r="AF134" i="1" s="1"/>
  <c r="I125" i="2"/>
  <c r="AI134" i="1" s="1"/>
  <c r="H125" i="2"/>
  <c r="AH134" i="1" s="1"/>
  <c r="G125" i="2"/>
  <c r="AG134" i="1" s="1"/>
  <c r="F125" i="2"/>
  <c r="E125" i="2"/>
  <c r="AB134" i="1" s="1"/>
  <c r="D125" i="2"/>
  <c r="AC134" i="1" s="1"/>
  <c r="C125" i="2"/>
  <c r="B125" i="2"/>
  <c r="A125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AK133" i="1" s="1"/>
  <c r="N124" i="2"/>
  <c r="AJ133" i="1" s="1"/>
  <c r="M124" i="2"/>
  <c r="L124" i="2"/>
  <c r="AE133" i="1" s="1"/>
  <c r="K124" i="2"/>
  <c r="AD133" i="1" s="1"/>
  <c r="J124" i="2"/>
  <c r="AF133" i="1" s="1"/>
  <c r="I124" i="2"/>
  <c r="AI133" i="1" s="1"/>
  <c r="H124" i="2"/>
  <c r="AH133" i="1" s="1"/>
  <c r="G124" i="2"/>
  <c r="AG133" i="1" s="1"/>
  <c r="F124" i="2"/>
  <c r="E124" i="2"/>
  <c r="AB133" i="1" s="1"/>
  <c r="D124" i="2"/>
  <c r="AC133" i="1" s="1"/>
  <c r="C124" i="2"/>
  <c r="B124" i="2"/>
  <c r="A124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AK132" i="1" s="1"/>
  <c r="N123" i="2"/>
  <c r="AJ132" i="1" s="1"/>
  <c r="M123" i="2"/>
  <c r="L123" i="2"/>
  <c r="AE132" i="1" s="1"/>
  <c r="K123" i="2"/>
  <c r="AD132" i="1" s="1"/>
  <c r="J123" i="2"/>
  <c r="AF132" i="1" s="1"/>
  <c r="I123" i="2"/>
  <c r="AI132" i="1" s="1"/>
  <c r="H123" i="2"/>
  <c r="AH132" i="1" s="1"/>
  <c r="G123" i="2"/>
  <c r="AG132" i="1" s="1"/>
  <c r="F123" i="2"/>
  <c r="E123" i="2"/>
  <c r="AB132" i="1" s="1"/>
  <c r="D123" i="2"/>
  <c r="AC132" i="1" s="1"/>
  <c r="C123" i="2"/>
  <c r="B123" i="2"/>
  <c r="A123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AK131" i="1" s="1"/>
  <c r="N122" i="2"/>
  <c r="AJ131" i="1" s="1"/>
  <c r="M122" i="2"/>
  <c r="L122" i="2"/>
  <c r="AE131" i="1" s="1"/>
  <c r="K122" i="2"/>
  <c r="AD131" i="1" s="1"/>
  <c r="J122" i="2"/>
  <c r="AF131" i="1" s="1"/>
  <c r="I122" i="2"/>
  <c r="AI131" i="1" s="1"/>
  <c r="H122" i="2"/>
  <c r="AH131" i="1" s="1"/>
  <c r="G122" i="2"/>
  <c r="AG131" i="1" s="1"/>
  <c r="F122" i="2"/>
  <c r="E122" i="2"/>
  <c r="AB131" i="1" s="1"/>
  <c r="D122" i="2"/>
  <c r="AC131" i="1" s="1"/>
  <c r="C122" i="2"/>
  <c r="B122" i="2"/>
  <c r="A122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AK130" i="1" s="1"/>
  <c r="N121" i="2"/>
  <c r="AJ130" i="1" s="1"/>
  <c r="M121" i="2"/>
  <c r="L121" i="2"/>
  <c r="AE130" i="1" s="1"/>
  <c r="K121" i="2"/>
  <c r="AD130" i="1" s="1"/>
  <c r="J121" i="2"/>
  <c r="AF130" i="1" s="1"/>
  <c r="I121" i="2"/>
  <c r="AI130" i="1" s="1"/>
  <c r="H121" i="2"/>
  <c r="AH130" i="1" s="1"/>
  <c r="G121" i="2"/>
  <c r="AG130" i="1" s="1"/>
  <c r="F121" i="2"/>
  <c r="E121" i="2"/>
  <c r="AB130" i="1" s="1"/>
  <c r="D121" i="2"/>
  <c r="AC130" i="1" s="1"/>
  <c r="C121" i="2"/>
  <c r="B121" i="2"/>
  <c r="A121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AK128" i="1" s="1"/>
  <c r="N120" i="2"/>
  <c r="AJ128" i="1" s="1"/>
  <c r="M120" i="2"/>
  <c r="L120" i="2"/>
  <c r="AE128" i="1" s="1"/>
  <c r="K120" i="2"/>
  <c r="AD128" i="1" s="1"/>
  <c r="J120" i="2"/>
  <c r="AF128" i="1" s="1"/>
  <c r="I120" i="2"/>
  <c r="AI128" i="1" s="1"/>
  <c r="H120" i="2"/>
  <c r="AH128" i="1" s="1"/>
  <c r="G120" i="2"/>
  <c r="AG128" i="1" s="1"/>
  <c r="F120" i="2"/>
  <c r="E120" i="2"/>
  <c r="AB128" i="1" s="1"/>
  <c r="D120" i="2"/>
  <c r="AC128" i="1" s="1"/>
  <c r="C120" i="2"/>
  <c r="B120" i="2"/>
  <c r="A120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AK129" i="1" s="1"/>
  <c r="N119" i="2"/>
  <c r="AJ129" i="1" s="1"/>
  <c r="M119" i="2"/>
  <c r="L119" i="2"/>
  <c r="AE129" i="1" s="1"/>
  <c r="K119" i="2"/>
  <c r="AD129" i="1" s="1"/>
  <c r="J119" i="2"/>
  <c r="AF129" i="1" s="1"/>
  <c r="I119" i="2"/>
  <c r="AI129" i="1" s="1"/>
  <c r="H119" i="2"/>
  <c r="AH129" i="1" s="1"/>
  <c r="G119" i="2"/>
  <c r="AG129" i="1" s="1"/>
  <c r="F119" i="2"/>
  <c r="E119" i="2"/>
  <c r="AB129" i="1" s="1"/>
  <c r="D119" i="2"/>
  <c r="AC129" i="1" s="1"/>
  <c r="C119" i="2"/>
  <c r="B119" i="2"/>
  <c r="A119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AK127" i="1" s="1"/>
  <c r="N118" i="2"/>
  <c r="AJ127" i="1" s="1"/>
  <c r="M118" i="2"/>
  <c r="L118" i="2"/>
  <c r="AE127" i="1" s="1"/>
  <c r="K118" i="2"/>
  <c r="AD127" i="1" s="1"/>
  <c r="J118" i="2"/>
  <c r="AF127" i="1" s="1"/>
  <c r="I118" i="2"/>
  <c r="AI127" i="1" s="1"/>
  <c r="H118" i="2"/>
  <c r="AH127" i="1" s="1"/>
  <c r="G118" i="2"/>
  <c r="AG127" i="1" s="1"/>
  <c r="F118" i="2"/>
  <c r="E118" i="2"/>
  <c r="AB127" i="1" s="1"/>
  <c r="D118" i="2"/>
  <c r="AC127" i="1" s="1"/>
  <c r="C118" i="2"/>
  <c r="B118" i="2"/>
  <c r="A118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AK125" i="1" s="1"/>
  <c r="N117" i="2"/>
  <c r="AJ125" i="1" s="1"/>
  <c r="M117" i="2"/>
  <c r="L117" i="2"/>
  <c r="AE125" i="1" s="1"/>
  <c r="K117" i="2"/>
  <c r="AD125" i="1" s="1"/>
  <c r="J117" i="2"/>
  <c r="AF125" i="1" s="1"/>
  <c r="I117" i="2"/>
  <c r="AI125" i="1" s="1"/>
  <c r="H117" i="2"/>
  <c r="AH125" i="1" s="1"/>
  <c r="G117" i="2"/>
  <c r="AG125" i="1" s="1"/>
  <c r="F117" i="2"/>
  <c r="E117" i="2"/>
  <c r="AB125" i="1" s="1"/>
  <c r="D117" i="2"/>
  <c r="AC125" i="1" s="1"/>
  <c r="C117" i="2"/>
  <c r="B117" i="2"/>
  <c r="A117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AK126" i="1" s="1"/>
  <c r="N116" i="2"/>
  <c r="AJ126" i="1" s="1"/>
  <c r="M116" i="2"/>
  <c r="L116" i="2"/>
  <c r="AE126" i="1" s="1"/>
  <c r="K116" i="2"/>
  <c r="AD126" i="1" s="1"/>
  <c r="J116" i="2"/>
  <c r="AF126" i="1" s="1"/>
  <c r="I116" i="2"/>
  <c r="AI126" i="1" s="1"/>
  <c r="H116" i="2"/>
  <c r="AH126" i="1" s="1"/>
  <c r="G116" i="2"/>
  <c r="AG126" i="1" s="1"/>
  <c r="F116" i="2"/>
  <c r="E116" i="2"/>
  <c r="AB126" i="1" s="1"/>
  <c r="D116" i="2"/>
  <c r="AC126" i="1" s="1"/>
  <c r="C116" i="2"/>
  <c r="B116" i="2"/>
  <c r="A116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AK124" i="1" s="1"/>
  <c r="N115" i="2"/>
  <c r="AJ124" i="1" s="1"/>
  <c r="M115" i="2"/>
  <c r="L115" i="2"/>
  <c r="AE124" i="1" s="1"/>
  <c r="K115" i="2"/>
  <c r="AD124" i="1" s="1"/>
  <c r="J115" i="2"/>
  <c r="AF124" i="1" s="1"/>
  <c r="I115" i="2"/>
  <c r="AI124" i="1" s="1"/>
  <c r="H115" i="2"/>
  <c r="AH124" i="1" s="1"/>
  <c r="G115" i="2"/>
  <c r="AG124" i="1" s="1"/>
  <c r="F115" i="2"/>
  <c r="E115" i="2"/>
  <c r="AB124" i="1" s="1"/>
  <c r="D115" i="2"/>
  <c r="AC124" i="1" s="1"/>
  <c r="C115" i="2"/>
  <c r="B115" i="2"/>
  <c r="A115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AK123" i="1" s="1"/>
  <c r="N114" i="2"/>
  <c r="AJ123" i="1" s="1"/>
  <c r="M114" i="2"/>
  <c r="L114" i="2"/>
  <c r="AE123" i="1" s="1"/>
  <c r="K114" i="2"/>
  <c r="AD123" i="1" s="1"/>
  <c r="J114" i="2"/>
  <c r="AF123" i="1" s="1"/>
  <c r="I114" i="2"/>
  <c r="AI123" i="1" s="1"/>
  <c r="H114" i="2"/>
  <c r="AH123" i="1" s="1"/>
  <c r="G114" i="2"/>
  <c r="AG123" i="1" s="1"/>
  <c r="F114" i="2"/>
  <c r="E114" i="2"/>
  <c r="AB123" i="1" s="1"/>
  <c r="D114" i="2"/>
  <c r="AC123" i="1" s="1"/>
  <c r="C114" i="2"/>
  <c r="B114" i="2"/>
  <c r="A114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AK122" i="1" s="1"/>
  <c r="N113" i="2"/>
  <c r="AJ122" i="1" s="1"/>
  <c r="M113" i="2"/>
  <c r="L113" i="2"/>
  <c r="AE122" i="1" s="1"/>
  <c r="K113" i="2"/>
  <c r="AD122" i="1" s="1"/>
  <c r="J113" i="2"/>
  <c r="AF122" i="1" s="1"/>
  <c r="I113" i="2"/>
  <c r="AI122" i="1" s="1"/>
  <c r="H113" i="2"/>
  <c r="AH122" i="1" s="1"/>
  <c r="G113" i="2"/>
  <c r="AG122" i="1" s="1"/>
  <c r="F113" i="2"/>
  <c r="E113" i="2"/>
  <c r="AB122" i="1" s="1"/>
  <c r="D113" i="2"/>
  <c r="AC122" i="1" s="1"/>
  <c r="C113" i="2"/>
  <c r="B113" i="2"/>
  <c r="A113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AK121" i="1" s="1"/>
  <c r="N112" i="2"/>
  <c r="AJ121" i="1" s="1"/>
  <c r="M112" i="2"/>
  <c r="L112" i="2"/>
  <c r="AE121" i="1" s="1"/>
  <c r="K112" i="2"/>
  <c r="AD121" i="1" s="1"/>
  <c r="J112" i="2"/>
  <c r="AF121" i="1" s="1"/>
  <c r="I112" i="2"/>
  <c r="AI121" i="1" s="1"/>
  <c r="H112" i="2"/>
  <c r="AH121" i="1" s="1"/>
  <c r="G112" i="2"/>
  <c r="AG121" i="1" s="1"/>
  <c r="F112" i="2"/>
  <c r="E112" i="2"/>
  <c r="AB121" i="1" s="1"/>
  <c r="D112" i="2"/>
  <c r="AC121" i="1" s="1"/>
  <c r="C112" i="2"/>
  <c r="B112" i="2"/>
  <c r="A112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AK120" i="1" s="1"/>
  <c r="N111" i="2"/>
  <c r="AJ120" i="1" s="1"/>
  <c r="M111" i="2"/>
  <c r="L111" i="2"/>
  <c r="AE120" i="1" s="1"/>
  <c r="K111" i="2"/>
  <c r="AD120" i="1" s="1"/>
  <c r="J111" i="2"/>
  <c r="AF120" i="1" s="1"/>
  <c r="I111" i="2"/>
  <c r="AI120" i="1" s="1"/>
  <c r="H111" i="2"/>
  <c r="AH120" i="1" s="1"/>
  <c r="G111" i="2"/>
  <c r="AG120" i="1" s="1"/>
  <c r="F111" i="2"/>
  <c r="E111" i="2"/>
  <c r="AB120" i="1" s="1"/>
  <c r="D111" i="2"/>
  <c r="AC120" i="1" s="1"/>
  <c r="C111" i="2"/>
  <c r="B111" i="2"/>
  <c r="A111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AK119" i="1" s="1"/>
  <c r="N110" i="2"/>
  <c r="AJ119" i="1" s="1"/>
  <c r="M110" i="2"/>
  <c r="L110" i="2"/>
  <c r="AE119" i="1" s="1"/>
  <c r="K110" i="2"/>
  <c r="AD119" i="1" s="1"/>
  <c r="J110" i="2"/>
  <c r="AF119" i="1" s="1"/>
  <c r="I110" i="2"/>
  <c r="AI119" i="1" s="1"/>
  <c r="H110" i="2"/>
  <c r="AH119" i="1" s="1"/>
  <c r="G110" i="2"/>
  <c r="AG119" i="1" s="1"/>
  <c r="F110" i="2"/>
  <c r="E110" i="2"/>
  <c r="AB119" i="1" s="1"/>
  <c r="D110" i="2"/>
  <c r="AC119" i="1" s="1"/>
  <c r="C110" i="2"/>
  <c r="B110" i="2"/>
  <c r="A110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AK118" i="1" s="1"/>
  <c r="N109" i="2"/>
  <c r="AJ118" i="1" s="1"/>
  <c r="M109" i="2"/>
  <c r="L109" i="2"/>
  <c r="AE118" i="1" s="1"/>
  <c r="K109" i="2"/>
  <c r="AD118" i="1" s="1"/>
  <c r="J109" i="2"/>
  <c r="AF118" i="1" s="1"/>
  <c r="I109" i="2"/>
  <c r="AI118" i="1" s="1"/>
  <c r="H109" i="2"/>
  <c r="AH118" i="1" s="1"/>
  <c r="G109" i="2"/>
  <c r="AG118" i="1" s="1"/>
  <c r="F109" i="2"/>
  <c r="E109" i="2"/>
  <c r="AB118" i="1" s="1"/>
  <c r="D109" i="2"/>
  <c r="AC118" i="1" s="1"/>
  <c r="C109" i="2"/>
  <c r="B109" i="2"/>
  <c r="A109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AK117" i="1" s="1"/>
  <c r="N107" i="2"/>
  <c r="AJ117" i="1" s="1"/>
  <c r="M107" i="2"/>
  <c r="L107" i="2"/>
  <c r="AE117" i="1" s="1"/>
  <c r="K107" i="2"/>
  <c r="AD117" i="1" s="1"/>
  <c r="J107" i="2"/>
  <c r="AF117" i="1" s="1"/>
  <c r="I107" i="2"/>
  <c r="AI117" i="1" s="1"/>
  <c r="H107" i="2"/>
  <c r="AH117" i="1" s="1"/>
  <c r="G107" i="2"/>
  <c r="AG117" i="1" s="1"/>
  <c r="F107" i="2"/>
  <c r="E107" i="2"/>
  <c r="AB117" i="1" s="1"/>
  <c r="D107" i="2"/>
  <c r="AC117" i="1" s="1"/>
  <c r="C107" i="2"/>
  <c r="B107" i="2"/>
  <c r="A107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AK116" i="1" s="1"/>
  <c r="N106" i="2"/>
  <c r="AJ116" i="1" s="1"/>
  <c r="M106" i="2"/>
  <c r="L106" i="2"/>
  <c r="AE116" i="1" s="1"/>
  <c r="K106" i="2"/>
  <c r="AD116" i="1" s="1"/>
  <c r="J106" i="2"/>
  <c r="AF116" i="1" s="1"/>
  <c r="I106" i="2"/>
  <c r="AI116" i="1" s="1"/>
  <c r="H106" i="2"/>
  <c r="AH116" i="1" s="1"/>
  <c r="G106" i="2"/>
  <c r="AG116" i="1" s="1"/>
  <c r="F106" i="2"/>
  <c r="E106" i="2"/>
  <c r="AB116" i="1" s="1"/>
  <c r="D106" i="2"/>
  <c r="AC116" i="1" s="1"/>
  <c r="C106" i="2"/>
  <c r="B106" i="2"/>
  <c r="A106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AK115" i="1" s="1"/>
  <c r="N105" i="2"/>
  <c r="AJ115" i="1" s="1"/>
  <c r="M105" i="2"/>
  <c r="L105" i="2"/>
  <c r="AE115" i="1" s="1"/>
  <c r="K105" i="2"/>
  <c r="AD115" i="1" s="1"/>
  <c r="J105" i="2"/>
  <c r="AF115" i="1" s="1"/>
  <c r="I105" i="2"/>
  <c r="AI115" i="1" s="1"/>
  <c r="H105" i="2"/>
  <c r="AH115" i="1" s="1"/>
  <c r="G105" i="2"/>
  <c r="AG115" i="1" s="1"/>
  <c r="F105" i="2"/>
  <c r="E105" i="2"/>
  <c r="AB115" i="1" s="1"/>
  <c r="D105" i="2"/>
  <c r="AC115" i="1" s="1"/>
  <c r="C105" i="2"/>
  <c r="B105" i="2"/>
  <c r="A105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AK114" i="1" s="1"/>
  <c r="N104" i="2"/>
  <c r="AJ114" i="1" s="1"/>
  <c r="M104" i="2"/>
  <c r="L104" i="2"/>
  <c r="AE114" i="1" s="1"/>
  <c r="K104" i="2"/>
  <c r="AD114" i="1" s="1"/>
  <c r="J104" i="2"/>
  <c r="AF114" i="1" s="1"/>
  <c r="I104" i="2"/>
  <c r="AI114" i="1" s="1"/>
  <c r="H104" i="2"/>
  <c r="AH114" i="1" s="1"/>
  <c r="G104" i="2"/>
  <c r="AG114" i="1" s="1"/>
  <c r="F104" i="2"/>
  <c r="E104" i="2"/>
  <c r="AB114" i="1" s="1"/>
  <c r="D104" i="2"/>
  <c r="AC114" i="1" s="1"/>
  <c r="C104" i="2"/>
  <c r="B104" i="2"/>
  <c r="A104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AK113" i="1" s="1"/>
  <c r="N103" i="2"/>
  <c r="AJ113" i="1" s="1"/>
  <c r="M103" i="2"/>
  <c r="L103" i="2"/>
  <c r="AE113" i="1" s="1"/>
  <c r="K103" i="2"/>
  <c r="AD113" i="1" s="1"/>
  <c r="J103" i="2"/>
  <c r="AF113" i="1" s="1"/>
  <c r="I103" i="2"/>
  <c r="AI113" i="1" s="1"/>
  <c r="H103" i="2"/>
  <c r="AH113" i="1" s="1"/>
  <c r="G103" i="2"/>
  <c r="AG113" i="1" s="1"/>
  <c r="F103" i="2"/>
  <c r="E103" i="2"/>
  <c r="AB113" i="1" s="1"/>
  <c r="D103" i="2"/>
  <c r="AC113" i="1" s="1"/>
  <c r="C103" i="2"/>
  <c r="B103" i="2"/>
  <c r="A103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AK112" i="1" s="1"/>
  <c r="N102" i="2"/>
  <c r="AJ112" i="1" s="1"/>
  <c r="M102" i="2"/>
  <c r="L102" i="2"/>
  <c r="AE112" i="1" s="1"/>
  <c r="K102" i="2"/>
  <c r="AD112" i="1" s="1"/>
  <c r="J102" i="2"/>
  <c r="AF112" i="1" s="1"/>
  <c r="I102" i="2"/>
  <c r="AI112" i="1" s="1"/>
  <c r="H102" i="2"/>
  <c r="AH112" i="1" s="1"/>
  <c r="G102" i="2"/>
  <c r="AG112" i="1" s="1"/>
  <c r="F102" i="2"/>
  <c r="E102" i="2"/>
  <c r="AB112" i="1" s="1"/>
  <c r="D102" i="2"/>
  <c r="AC112" i="1" s="1"/>
  <c r="C102" i="2"/>
  <c r="B102" i="2"/>
  <c r="A102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AK111" i="1" s="1"/>
  <c r="N101" i="2"/>
  <c r="AJ111" i="1" s="1"/>
  <c r="M101" i="2"/>
  <c r="L101" i="2"/>
  <c r="AE111" i="1" s="1"/>
  <c r="K101" i="2"/>
  <c r="AD111" i="1" s="1"/>
  <c r="J101" i="2"/>
  <c r="AF111" i="1" s="1"/>
  <c r="I101" i="2"/>
  <c r="AI111" i="1" s="1"/>
  <c r="H101" i="2"/>
  <c r="AH111" i="1" s="1"/>
  <c r="G101" i="2"/>
  <c r="AG111" i="1" s="1"/>
  <c r="F101" i="2"/>
  <c r="E101" i="2"/>
  <c r="AB111" i="1" s="1"/>
  <c r="D101" i="2"/>
  <c r="AC111" i="1" s="1"/>
  <c r="C101" i="2"/>
  <c r="B101" i="2"/>
  <c r="A101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AK110" i="1" s="1"/>
  <c r="N100" i="2"/>
  <c r="AJ110" i="1" s="1"/>
  <c r="M100" i="2"/>
  <c r="L100" i="2"/>
  <c r="AE110" i="1" s="1"/>
  <c r="K100" i="2"/>
  <c r="AD110" i="1" s="1"/>
  <c r="J100" i="2"/>
  <c r="AF110" i="1" s="1"/>
  <c r="I100" i="2"/>
  <c r="AI110" i="1" s="1"/>
  <c r="H100" i="2"/>
  <c r="AH110" i="1" s="1"/>
  <c r="G100" i="2"/>
  <c r="AG110" i="1" s="1"/>
  <c r="F100" i="2"/>
  <c r="E100" i="2"/>
  <c r="AB110" i="1" s="1"/>
  <c r="D100" i="2"/>
  <c r="AC110" i="1" s="1"/>
  <c r="C100" i="2"/>
  <c r="B100" i="2"/>
  <c r="A100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AK109" i="1" s="1"/>
  <c r="N99" i="2"/>
  <c r="AJ109" i="1" s="1"/>
  <c r="M99" i="2"/>
  <c r="L99" i="2"/>
  <c r="AE109" i="1" s="1"/>
  <c r="K99" i="2"/>
  <c r="AD109" i="1" s="1"/>
  <c r="J99" i="2"/>
  <c r="AF109" i="1" s="1"/>
  <c r="I99" i="2"/>
  <c r="AI109" i="1" s="1"/>
  <c r="H99" i="2"/>
  <c r="AH109" i="1" s="1"/>
  <c r="G99" i="2"/>
  <c r="AG109" i="1" s="1"/>
  <c r="F99" i="2"/>
  <c r="E99" i="2"/>
  <c r="AB109" i="1" s="1"/>
  <c r="D99" i="2"/>
  <c r="AC109" i="1" s="1"/>
  <c r="C99" i="2"/>
  <c r="B99" i="2"/>
  <c r="A99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AK108" i="1" s="1"/>
  <c r="N97" i="2"/>
  <c r="AJ108" i="1" s="1"/>
  <c r="M97" i="2"/>
  <c r="L97" i="2"/>
  <c r="AE108" i="1" s="1"/>
  <c r="K97" i="2"/>
  <c r="AD108" i="1" s="1"/>
  <c r="J97" i="2"/>
  <c r="AF108" i="1" s="1"/>
  <c r="I97" i="2"/>
  <c r="AI108" i="1" s="1"/>
  <c r="H97" i="2"/>
  <c r="AH108" i="1" s="1"/>
  <c r="G97" i="2"/>
  <c r="AG108" i="1" s="1"/>
  <c r="F97" i="2"/>
  <c r="E97" i="2"/>
  <c r="AB108" i="1" s="1"/>
  <c r="D97" i="2"/>
  <c r="AC108" i="1" s="1"/>
  <c r="C97" i="2"/>
  <c r="B97" i="2"/>
  <c r="A97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AK107" i="1" s="1"/>
  <c r="N95" i="2"/>
  <c r="AJ107" i="1" s="1"/>
  <c r="M95" i="2"/>
  <c r="L95" i="2"/>
  <c r="AE107" i="1" s="1"/>
  <c r="K95" i="2"/>
  <c r="AD107" i="1" s="1"/>
  <c r="J95" i="2"/>
  <c r="AF107" i="1" s="1"/>
  <c r="I95" i="2"/>
  <c r="AI107" i="1" s="1"/>
  <c r="H95" i="2"/>
  <c r="AH107" i="1" s="1"/>
  <c r="G95" i="2"/>
  <c r="AG107" i="1" s="1"/>
  <c r="F95" i="2"/>
  <c r="E95" i="2"/>
  <c r="AB107" i="1" s="1"/>
  <c r="D95" i="2"/>
  <c r="AC107" i="1" s="1"/>
  <c r="C95" i="2"/>
  <c r="B95" i="2"/>
  <c r="A95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AK106" i="1" s="1"/>
  <c r="N94" i="2"/>
  <c r="AJ106" i="1" s="1"/>
  <c r="M94" i="2"/>
  <c r="L94" i="2"/>
  <c r="AE106" i="1" s="1"/>
  <c r="K94" i="2"/>
  <c r="AD106" i="1" s="1"/>
  <c r="J94" i="2"/>
  <c r="AF106" i="1" s="1"/>
  <c r="I94" i="2"/>
  <c r="AI106" i="1" s="1"/>
  <c r="H94" i="2"/>
  <c r="AH106" i="1" s="1"/>
  <c r="G94" i="2"/>
  <c r="AG106" i="1" s="1"/>
  <c r="F94" i="2"/>
  <c r="E94" i="2"/>
  <c r="AB106" i="1" s="1"/>
  <c r="D94" i="2"/>
  <c r="AC106" i="1" s="1"/>
  <c r="C94" i="2"/>
  <c r="B94" i="2"/>
  <c r="A94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AK105" i="1" s="1"/>
  <c r="N93" i="2"/>
  <c r="AJ105" i="1" s="1"/>
  <c r="M93" i="2"/>
  <c r="L93" i="2"/>
  <c r="AE105" i="1" s="1"/>
  <c r="K93" i="2"/>
  <c r="AD105" i="1" s="1"/>
  <c r="J93" i="2"/>
  <c r="AF105" i="1" s="1"/>
  <c r="I93" i="2"/>
  <c r="AI105" i="1" s="1"/>
  <c r="H93" i="2"/>
  <c r="AH105" i="1" s="1"/>
  <c r="G93" i="2"/>
  <c r="AG105" i="1" s="1"/>
  <c r="F93" i="2"/>
  <c r="E93" i="2"/>
  <c r="AB105" i="1" s="1"/>
  <c r="D93" i="2"/>
  <c r="AC105" i="1" s="1"/>
  <c r="C93" i="2"/>
  <c r="B93" i="2"/>
  <c r="A93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AK104" i="1" s="1"/>
  <c r="N92" i="2"/>
  <c r="AJ104" i="1" s="1"/>
  <c r="M92" i="2"/>
  <c r="L92" i="2"/>
  <c r="AE104" i="1" s="1"/>
  <c r="K92" i="2"/>
  <c r="AD104" i="1" s="1"/>
  <c r="J92" i="2"/>
  <c r="AF104" i="1" s="1"/>
  <c r="I92" i="2"/>
  <c r="AI104" i="1" s="1"/>
  <c r="H92" i="2"/>
  <c r="AH104" i="1" s="1"/>
  <c r="G92" i="2"/>
  <c r="AG104" i="1" s="1"/>
  <c r="F92" i="2"/>
  <c r="E92" i="2"/>
  <c r="AB104" i="1" s="1"/>
  <c r="D92" i="2"/>
  <c r="AC104" i="1" s="1"/>
  <c r="C92" i="2"/>
  <c r="B92" i="2"/>
  <c r="A92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AK103" i="1" s="1"/>
  <c r="N91" i="2"/>
  <c r="AJ103" i="1" s="1"/>
  <c r="M91" i="2"/>
  <c r="L91" i="2"/>
  <c r="AE103" i="1" s="1"/>
  <c r="K91" i="2"/>
  <c r="AD103" i="1" s="1"/>
  <c r="J91" i="2"/>
  <c r="AF103" i="1" s="1"/>
  <c r="I91" i="2"/>
  <c r="AI103" i="1" s="1"/>
  <c r="H91" i="2"/>
  <c r="AH103" i="1" s="1"/>
  <c r="G91" i="2"/>
  <c r="AG103" i="1" s="1"/>
  <c r="F91" i="2"/>
  <c r="E91" i="2"/>
  <c r="AB103" i="1" s="1"/>
  <c r="D91" i="2"/>
  <c r="AC103" i="1" s="1"/>
  <c r="C91" i="2"/>
  <c r="B91" i="2"/>
  <c r="A91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AK102" i="1" s="1"/>
  <c r="N90" i="2"/>
  <c r="AJ102" i="1" s="1"/>
  <c r="M90" i="2"/>
  <c r="L90" i="2"/>
  <c r="AE102" i="1" s="1"/>
  <c r="K90" i="2"/>
  <c r="AD102" i="1" s="1"/>
  <c r="J90" i="2"/>
  <c r="AF102" i="1" s="1"/>
  <c r="I90" i="2"/>
  <c r="AI102" i="1" s="1"/>
  <c r="H90" i="2"/>
  <c r="AH102" i="1" s="1"/>
  <c r="G90" i="2"/>
  <c r="AG102" i="1" s="1"/>
  <c r="F90" i="2"/>
  <c r="E90" i="2"/>
  <c r="AB102" i="1" s="1"/>
  <c r="D90" i="2"/>
  <c r="AC102" i="1" s="1"/>
  <c r="C90" i="2"/>
  <c r="B90" i="2"/>
  <c r="A90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AK101" i="1" s="1"/>
  <c r="N88" i="2"/>
  <c r="AJ101" i="1" s="1"/>
  <c r="M88" i="2"/>
  <c r="L88" i="2"/>
  <c r="AE101" i="1" s="1"/>
  <c r="K88" i="2"/>
  <c r="AD101" i="1" s="1"/>
  <c r="J88" i="2"/>
  <c r="AF101" i="1" s="1"/>
  <c r="I88" i="2"/>
  <c r="AI101" i="1" s="1"/>
  <c r="H88" i="2"/>
  <c r="AH101" i="1" s="1"/>
  <c r="G88" i="2"/>
  <c r="AG101" i="1" s="1"/>
  <c r="F88" i="2"/>
  <c r="E88" i="2"/>
  <c r="AB101" i="1" s="1"/>
  <c r="D88" i="2"/>
  <c r="AC101" i="1" s="1"/>
  <c r="C88" i="2"/>
  <c r="B88" i="2"/>
  <c r="A88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AK100" i="1" s="1"/>
  <c r="N87" i="2"/>
  <c r="AJ100" i="1" s="1"/>
  <c r="M87" i="2"/>
  <c r="L87" i="2"/>
  <c r="AE100" i="1" s="1"/>
  <c r="K87" i="2"/>
  <c r="AD100" i="1" s="1"/>
  <c r="J87" i="2"/>
  <c r="AF100" i="1" s="1"/>
  <c r="I87" i="2"/>
  <c r="AI100" i="1" s="1"/>
  <c r="H87" i="2"/>
  <c r="AH100" i="1" s="1"/>
  <c r="G87" i="2"/>
  <c r="AG100" i="1" s="1"/>
  <c r="F87" i="2"/>
  <c r="E87" i="2"/>
  <c r="AB100" i="1" s="1"/>
  <c r="D87" i="2"/>
  <c r="AC100" i="1" s="1"/>
  <c r="C87" i="2"/>
  <c r="B87" i="2"/>
  <c r="A87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AK99" i="1" s="1"/>
  <c r="N86" i="2"/>
  <c r="AJ99" i="1" s="1"/>
  <c r="M86" i="2"/>
  <c r="L86" i="2"/>
  <c r="AE99" i="1" s="1"/>
  <c r="K86" i="2"/>
  <c r="AD99" i="1" s="1"/>
  <c r="J86" i="2"/>
  <c r="AF99" i="1" s="1"/>
  <c r="I86" i="2"/>
  <c r="AI99" i="1" s="1"/>
  <c r="H86" i="2"/>
  <c r="AH99" i="1" s="1"/>
  <c r="G86" i="2"/>
  <c r="AG99" i="1" s="1"/>
  <c r="F86" i="2"/>
  <c r="E86" i="2"/>
  <c r="AB99" i="1" s="1"/>
  <c r="D86" i="2"/>
  <c r="AC99" i="1" s="1"/>
  <c r="C86" i="2"/>
  <c r="B86" i="2"/>
  <c r="A86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AK98" i="1" s="1"/>
  <c r="N85" i="2"/>
  <c r="AJ98" i="1" s="1"/>
  <c r="M85" i="2"/>
  <c r="L85" i="2"/>
  <c r="AE98" i="1" s="1"/>
  <c r="K85" i="2"/>
  <c r="AD98" i="1" s="1"/>
  <c r="J85" i="2"/>
  <c r="AF98" i="1" s="1"/>
  <c r="I85" i="2"/>
  <c r="AI98" i="1" s="1"/>
  <c r="H85" i="2"/>
  <c r="AH98" i="1" s="1"/>
  <c r="G85" i="2"/>
  <c r="AG98" i="1" s="1"/>
  <c r="F85" i="2"/>
  <c r="E85" i="2"/>
  <c r="AB98" i="1" s="1"/>
  <c r="D85" i="2"/>
  <c r="AC98" i="1" s="1"/>
  <c r="C85" i="2"/>
  <c r="B85" i="2"/>
  <c r="A85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AK97" i="1" s="1"/>
  <c r="N84" i="2"/>
  <c r="AJ97" i="1" s="1"/>
  <c r="M84" i="2"/>
  <c r="L84" i="2"/>
  <c r="AE97" i="1" s="1"/>
  <c r="K84" i="2"/>
  <c r="AD97" i="1" s="1"/>
  <c r="J84" i="2"/>
  <c r="AF97" i="1" s="1"/>
  <c r="I84" i="2"/>
  <c r="AI97" i="1" s="1"/>
  <c r="H84" i="2"/>
  <c r="AH97" i="1" s="1"/>
  <c r="G84" i="2"/>
  <c r="AG97" i="1" s="1"/>
  <c r="F84" i="2"/>
  <c r="E84" i="2"/>
  <c r="AB97" i="1" s="1"/>
  <c r="D84" i="2"/>
  <c r="AC97" i="1" s="1"/>
  <c r="C84" i="2"/>
  <c r="B84" i="2"/>
  <c r="A84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AK96" i="1" s="1"/>
  <c r="N83" i="2"/>
  <c r="AJ96" i="1" s="1"/>
  <c r="M83" i="2"/>
  <c r="L83" i="2"/>
  <c r="AE96" i="1" s="1"/>
  <c r="K83" i="2"/>
  <c r="AD96" i="1" s="1"/>
  <c r="J83" i="2"/>
  <c r="AF96" i="1" s="1"/>
  <c r="I83" i="2"/>
  <c r="AI96" i="1" s="1"/>
  <c r="H83" i="2"/>
  <c r="AH96" i="1" s="1"/>
  <c r="G83" i="2"/>
  <c r="AG96" i="1" s="1"/>
  <c r="F83" i="2"/>
  <c r="E83" i="2"/>
  <c r="AB96" i="1" s="1"/>
  <c r="D83" i="2"/>
  <c r="AC96" i="1" s="1"/>
  <c r="C83" i="2"/>
  <c r="B83" i="2"/>
  <c r="A83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AK95" i="1" s="1"/>
  <c r="N82" i="2"/>
  <c r="AJ95" i="1" s="1"/>
  <c r="M82" i="2"/>
  <c r="L82" i="2"/>
  <c r="AE95" i="1" s="1"/>
  <c r="K82" i="2"/>
  <c r="AD95" i="1" s="1"/>
  <c r="J82" i="2"/>
  <c r="AF95" i="1" s="1"/>
  <c r="I82" i="2"/>
  <c r="AI95" i="1" s="1"/>
  <c r="H82" i="2"/>
  <c r="AH95" i="1" s="1"/>
  <c r="G82" i="2"/>
  <c r="AG95" i="1" s="1"/>
  <c r="F82" i="2"/>
  <c r="E82" i="2"/>
  <c r="AB95" i="1" s="1"/>
  <c r="D82" i="2"/>
  <c r="AC95" i="1" s="1"/>
  <c r="C82" i="2"/>
  <c r="B82" i="2"/>
  <c r="A82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AK94" i="1" s="1"/>
  <c r="N81" i="2"/>
  <c r="AJ94" i="1" s="1"/>
  <c r="M81" i="2"/>
  <c r="L81" i="2"/>
  <c r="AE94" i="1" s="1"/>
  <c r="K81" i="2"/>
  <c r="AD94" i="1" s="1"/>
  <c r="J81" i="2"/>
  <c r="AF94" i="1" s="1"/>
  <c r="I81" i="2"/>
  <c r="AI94" i="1" s="1"/>
  <c r="H81" i="2"/>
  <c r="AH94" i="1" s="1"/>
  <c r="G81" i="2"/>
  <c r="AG94" i="1" s="1"/>
  <c r="F81" i="2"/>
  <c r="E81" i="2"/>
  <c r="AB94" i="1" s="1"/>
  <c r="D81" i="2"/>
  <c r="AC94" i="1" s="1"/>
  <c r="C81" i="2"/>
  <c r="B81" i="2"/>
  <c r="A81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AK93" i="1" s="1"/>
  <c r="N80" i="2"/>
  <c r="AJ93" i="1" s="1"/>
  <c r="M80" i="2"/>
  <c r="L80" i="2"/>
  <c r="AE93" i="1" s="1"/>
  <c r="K80" i="2"/>
  <c r="AD93" i="1" s="1"/>
  <c r="J80" i="2"/>
  <c r="AF93" i="1" s="1"/>
  <c r="I80" i="2"/>
  <c r="AI93" i="1" s="1"/>
  <c r="H80" i="2"/>
  <c r="AH93" i="1" s="1"/>
  <c r="G80" i="2"/>
  <c r="AG93" i="1" s="1"/>
  <c r="F80" i="2"/>
  <c r="E80" i="2"/>
  <c r="AB93" i="1" s="1"/>
  <c r="D80" i="2"/>
  <c r="AC93" i="1" s="1"/>
  <c r="C80" i="2"/>
  <c r="B80" i="2"/>
  <c r="A80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AK92" i="1" s="1"/>
  <c r="N79" i="2"/>
  <c r="AJ92" i="1" s="1"/>
  <c r="M79" i="2"/>
  <c r="L79" i="2"/>
  <c r="AE92" i="1" s="1"/>
  <c r="K79" i="2"/>
  <c r="AD92" i="1" s="1"/>
  <c r="J79" i="2"/>
  <c r="AF92" i="1" s="1"/>
  <c r="I79" i="2"/>
  <c r="AI92" i="1" s="1"/>
  <c r="H79" i="2"/>
  <c r="AH92" i="1" s="1"/>
  <c r="G79" i="2"/>
  <c r="AG92" i="1" s="1"/>
  <c r="F79" i="2"/>
  <c r="E79" i="2"/>
  <c r="AB92" i="1" s="1"/>
  <c r="D79" i="2"/>
  <c r="AC92" i="1" s="1"/>
  <c r="C79" i="2"/>
  <c r="B79" i="2"/>
  <c r="A79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AK90" i="1" s="1"/>
  <c r="N78" i="2"/>
  <c r="AJ90" i="1" s="1"/>
  <c r="M78" i="2"/>
  <c r="L78" i="2"/>
  <c r="AE90" i="1" s="1"/>
  <c r="K78" i="2"/>
  <c r="AD90" i="1" s="1"/>
  <c r="J78" i="2"/>
  <c r="AF90" i="1" s="1"/>
  <c r="I78" i="2"/>
  <c r="AI90" i="1" s="1"/>
  <c r="H78" i="2"/>
  <c r="AH90" i="1" s="1"/>
  <c r="G78" i="2"/>
  <c r="AG90" i="1" s="1"/>
  <c r="F78" i="2"/>
  <c r="E78" i="2"/>
  <c r="AB90" i="1" s="1"/>
  <c r="D78" i="2"/>
  <c r="AC90" i="1" s="1"/>
  <c r="C78" i="2"/>
  <c r="B78" i="2"/>
  <c r="A78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AK91" i="1" s="1"/>
  <c r="N77" i="2"/>
  <c r="AJ91" i="1" s="1"/>
  <c r="M77" i="2"/>
  <c r="L77" i="2"/>
  <c r="AE91" i="1" s="1"/>
  <c r="K77" i="2"/>
  <c r="AD91" i="1" s="1"/>
  <c r="J77" i="2"/>
  <c r="AF91" i="1" s="1"/>
  <c r="I77" i="2"/>
  <c r="AI91" i="1" s="1"/>
  <c r="H77" i="2"/>
  <c r="AH91" i="1" s="1"/>
  <c r="G77" i="2"/>
  <c r="AG91" i="1" s="1"/>
  <c r="F77" i="2"/>
  <c r="E77" i="2"/>
  <c r="AB91" i="1" s="1"/>
  <c r="D77" i="2"/>
  <c r="AC91" i="1" s="1"/>
  <c r="C77" i="2"/>
  <c r="B77" i="2"/>
  <c r="A77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AK89" i="1" s="1"/>
  <c r="N76" i="2"/>
  <c r="AJ89" i="1" s="1"/>
  <c r="M76" i="2"/>
  <c r="L76" i="2"/>
  <c r="AE89" i="1" s="1"/>
  <c r="K76" i="2"/>
  <c r="AD89" i="1" s="1"/>
  <c r="J76" i="2"/>
  <c r="AF89" i="1" s="1"/>
  <c r="I76" i="2"/>
  <c r="AI89" i="1" s="1"/>
  <c r="H76" i="2"/>
  <c r="AH89" i="1" s="1"/>
  <c r="G76" i="2"/>
  <c r="AG89" i="1" s="1"/>
  <c r="F76" i="2"/>
  <c r="E76" i="2"/>
  <c r="AB89" i="1" s="1"/>
  <c r="D76" i="2"/>
  <c r="AC89" i="1" s="1"/>
  <c r="C76" i="2"/>
  <c r="B76" i="2"/>
  <c r="A76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AK88" i="1" s="1"/>
  <c r="N75" i="2"/>
  <c r="AJ88" i="1" s="1"/>
  <c r="M75" i="2"/>
  <c r="L75" i="2"/>
  <c r="AE88" i="1" s="1"/>
  <c r="K75" i="2"/>
  <c r="AD88" i="1" s="1"/>
  <c r="J75" i="2"/>
  <c r="AF88" i="1" s="1"/>
  <c r="I75" i="2"/>
  <c r="AI88" i="1" s="1"/>
  <c r="H75" i="2"/>
  <c r="AH88" i="1" s="1"/>
  <c r="G75" i="2"/>
  <c r="AG88" i="1" s="1"/>
  <c r="F75" i="2"/>
  <c r="E75" i="2"/>
  <c r="AB88" i="1" s="1"/>
  <c r="D75" i="2"/>
  <c r="AC88" i="1" s="1"/>
  <c r="C75" i="2"/>
  <c r="B75" i="2"/>
  <c r="A75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AK87" i="1" s="1"/>
  <c r="N74" i="2"/>
  <c r="AJ87" i="1" s="1"/>
  <c r="M74" i="2"/>
  <c r="L74" i="2"/>
  <c r="AE87" i="1" s="1"/>
  <c r="K74" i="2"/>
  <c r="AD87" i="1" s="1"/>
  <c r="J74" i="2"/>
  <c r="AF87" i="1" s="1"/>
  <c r="I74" i="2"/>
  <c r="AI87" i="1" s="1"/>
  <c r="H74" i="2"/>
  <c r="AH87" i="1" s="1"/>
  <c r="G74" i="2"/>
  <c r="AG87" i="1" s="1"/>
  <c r="F74" i="2"/>
  <c r="E74" i="2"/>
  <c r="AB87" i="1" s="1"/>
  <c r="D74" i="2"/>
  <c r="AC87" i="1" s="1"/>
  <c r="C74" i="2"/>
  <c r="B74" i="2"/>
  <c r="A74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AK86" i="1" s="1"/>
  <c r="N73" i="2"/>
  <c r="AJ86" i="1" s="1"/>
  <c r="M73" i="2"/>
  <c r="L73" i="2"/>
  <c r="AE86" i="1" s="1"/>
  <c r="K73" i="2"/>
  <c r="AD86" i="1" s="1"/>
  <c r="J73" i="2"/>
  <c r="AF86" i="1" s="1"/>
  <c r="I73" i="2"/>
  <c r="AI86" i="1" s="1"/>
  <c r="H73" i="2"/>
  <c r="AH86" i="1" s="1"/>
  <c r="G73" i="2"/>
  <c r="AG86" i="1" s="1"/>
  <c r="F73" i="2"/>
  <c r="E73" i="2"/>
  <c r="AB86" i="1" s="1"/>
  <c r="D73" i="2"/>
  <c r="AC86" i="1" s="1"/>
  <c r="C73" i="2"/>
  <c r="B73" i="2"/>
  <c r="A73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AK85" i="1" s="1"/>
  <c r="N72" i="2"/>
  <c r="AJ85" i="1" s="1"/>
  <c r="M72" i="2"/>
  <c r="L72" i="2"/>
  <c r="AE85" i="1" s="1"/>
  <c r="K72" i="2"/>
  <c r="AD85" i="1" s="1"/>
  <c r="J72" i="2"/>
  <c r="AF85" i="1" s="1"/>
  <c r="I72" i="2"/>
  <c r="AI85" i="1" s="1"/>
  <c r="H72" i="2"/>
  <c r="AH85" i="1" s="1"/>
  <c r="G72" i="2"/>
  <c r="AG85" i="1" s="1"/>
  <c r="F72" i="2"/>
  <c r="E72" i="2"/>
  <c r="AB85" i="1" s="1"/>
  <c r="D72" i="2"/>
  <c r="AC85" i="1" s="1"/>
  <c r="C72" i="2"/>
  <c r="B72" i="2"/>
  <c r="A72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AK84" i="1" s="1"/>
  <c r="N71" i="2"/>
  <c r="AJ84" i="1" s="1"/>
  <c r="M71" i="2"/>
  <c r="L71" i="2"/>
  <c r="AE84" i="1" s="1"/>
  <c r="K71" i="2"/>
  <c r="AD84" i="1" s="1"/>
  <c r="J71" i="2"/>
  <c r="AF84" i="1" s="1"/>
  <c r="I71" i="2"/>
  <c r="AI84" i="1" s="1"/>
  <c r="H71" i="2"/>
  <c r="AH84" i="1" s="1"/>
  <c r="G71" i="2"/>
  <c r="AG84" i="1" s="1"/>
  <c r="F71" i="2"/>
  <c r="E71" i="2"/>
  <c r="AB84" i="1" s="1"/>
  <c r="D71" i="2"/>
  <c r="AC84" i="1" s="1"/>
  <c r="C71" i="2"/>
  <c r="B71" i="2"/>
  <c r="A71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AK83" i="1" s="1"/>
  <c r="N70" i="2"/>
  <c r="AJ83" i="1" s="1"/>
  <c r="M70" i="2"/>
  <c r="L70" i="2"/>
  <c r="AE83" i="1" s="1"/>
  <c r="K70" i="2"/>
  <c r="AD83" i="1" s="1"/>
  <c r="J70" i="2"/>
  <c r="AF83" i="1" s="1"/>
  <c r="I70" i="2"/>
  <c r="AI83" i="1" s="1"/>
  <c r="H70" i="2"/>
  <c r="AH83" i="1" s="1"/>
  <c r="G70" i="2"/>
  <c r="AG83" i="1" s="1"/>
  <c r="F70" i="2"/>
  <c r="E70" i="2"/>
  <c r="AB83" i="1" s="1"/>
  <c r="D70" i="2"/>
  <c r="AC83" i="1" s="1"/>
  <c r="C70" i="2"/>
  <c r="B70" i="2"/>
  <c r="A70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AK82" i="1" s="1"/>
  <c r="N69" i="2"/>
  <c r="AJ82" i="1" s="1"/>
  <c r="M69" i="2"/>
  <c r="L69" i="2"/>
  <c r="AE82" i="1" s="1"/>
  <c r="K69" i="2"/>
  <c r="AD82" i="1" s="1"/>
  <c r="J69" i="2"/>
  <c r="AF82" i="1" s="1"/>
  <c r="I69" i="2"/>
  <c r="AI82" i="1" s="1"/>
  <c r="H69" i="2"/>
  <c r="AH82" i="1" s="1"/>
  <c r="G69" i="2"/>
  <c r="AG82" i="1" s="1"/>
  <c r="F69" i="2"/>
  <c r="E69" i="2"/>
  <c r="AB82" i="1" s="1"/>
  <c r="D69" i="2"/>
  <c r="AC82" i="1" s="1"/>
  <c r="C69" i="2"/>
  <c r="B69" i="2"/>
  <c r="A69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AK81" i="1" s="1"/>
  <c r="N68" i="2"/>
  <c r="AJ81" i="1" s="1"/>
  <c r="M68" i="2"/>
  <c r="L68" i="2"/>
  <c r="AE81" i="1" s="1"/>
  <c r="K68" i="2"/>
  <c r="AD81" i="1" s="1"/>
  <c r="J68" i="2"/>
  <c r="AF81" i="1" s="1"/>
  <c r="I68" i="2"/>
  <c r="AI81" i="1" s="1"/>
  <c r="H68" i="2"/>
  <c r="AH81" i="1" s="1"/>
  <c r="G68" i="2"/>
  <c r="AG81" i="1" s="1"/>
  <c r="F68" i="2"/>
  <c r="E68" i="2"/>
  <c r="AB81" i="1" s="1"/>
  <c r="D68" i="2"/>
  <c r="AC81" i="1" s="1"/>
  <c r="C68" i="2"/>
  <c r="B68" i="2"/>
  <c r="A68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AK80" i="1" s="1"/>
  <c r="N67" i="2"/>
  <c r="AJ80" i="1" s="1"/>
  <c r="M67" i="2"/>
  <c r="L67" i="2"/>
  <c r="AE80" i="1" s="1"/>
  <c r="K67" i="2"/>
  <c r="AD80" i="1" s="1"/>
  <c r="J67" i="2"/>
  <c r="AF80" i="1" s="1"/>
  <c r="I67" i="2"/>
  <c r="AI80" i="1" s="1"/>
  <c r="H67" i="2"/>
  <c r="AH80" i="1" s="1"/>
  <c r="G67" i="2"/>
  <c r="AG80" i="1" s="1"/>
  <c r="F67" i="2"/>
  <c r="E67" i="2"/>
  <c r="AB80" i="1" s="1"/>
  <c r="D67" i="2"/>
  <c r="AC80" i="1" s="1"/>
  <c r="C67" i="2"/>
  <c r="B67" i="2"/>
  <c r="A67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AK79" i="1" s="1"/>
  <c r="N66" i="2"/>
  <c r="AJ79" i="1" s="1"/>
  <c r="M66" i="2"/>
  <c r="L66" i="2"/>
  <c r="AE79" i="1" s="1"/>
  <c r="K66" i="2"/>
  <c r="AD79" i="1" s="1"/>
  <c r="J66" i="2"/>
  <c r="AF79" i="1" s="1"/>
  <c r="I66" i="2"/>
  <c r="AI79" i="1" s="1"/>
  <c r="H66" i="2"/>
  <c r="AH79" i="1" s="1"/>
  <c r="G66" i="2"/>
  <c r="AG79" i="1" s="1"/>
  <c r="F66" i="2"/>
  <c r="E66" i="2"/>
  <c r="AB79" i="1" s="1"/>
  <c r="D66" i="2"/>
  <c r="AC79" i="1" s="1"/>
  <c r="C66" i="2"/>
  <c r="B66" i="2"/>
  <c r="A66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AK78" i="1" s="1"/>
  <c r="N65" i="2"/>
  <c r="AJ78" i="1" s="1"/>
  <c r="M65" i="2"/>
  <c r="L65" i="2"/>
  <c r="AE78" i="1" s="1"/>
  <c r="K65" i="2"/>
  <c r="AD78" i="1" s="1"/>
  <c r="J65" i="2"/>
  <c r="AF78" i="1" s="1"/>
  <c r="I65" i="2"/>
  <c r="AI78" i="1" s="1"/>
  <c r="H65" i="2"/>
  <c r="AH78" i="1" s="1"/>
  <c r="G65" i="2"/>
  <c r="AG78" i="1" s="1"/>
  <c r="F65" i="2"/>
  <c r="E65" i="2"/>
  <c r="AB78" i="1" s="1"/>
  <c r="D65" i="2"/>
  <c r="AC78" i="1" s="1"/>
  <c r="C65" i="2"/>
  <c r="B65" i="2"/>
  <c r="A65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AK77" i="1" s="1"/>
  <c r="N64" i="2"/>
  <c r="AJ77" i="1" s="1"/>
  <c r="M64" i="2"/>
  <c r="L64" i="2"/>
  <c r="AE77" i="1" s="1"/>
  <c r="K64" i="2"/>
  <c r="AD77" i="1" s="1"/>
  <c r="J64" i="2"/>
  <c r="AF77" i="1" s="1"/>
  <c r="I64" i="2"/>
  <c r="AI77" i="1" s="1"/>
  <c r="H64" i="2"/>
  <c r="AH77" i="1" s="1"/>
  <c r="G64" i="2"/>
  <c r="AG77" i="1" s="1"/>
  <c r="F64" i="2"/>
  <c r="E64" i="2"/>
  <c r="AB77" i="1" s="1"/>
  <c r="AA77" i="1" s="1"/>
  <c r="D64" i="2"/>
  <c r="AC77" i="1" s="1"/>
  <c r="C64" i="2"/>
  <c r="B64" i="2"/>
  <c r="A64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AK76" i="1" s="1"/>
  <c r="N63" i="2"/>
  <c r="AJ76" i="1" s="1"/>
  <c r="M63" i="2"/>
  <c r="L63" i="2"/>
  <c r="AE76" i="1" s="1"/>
  <c r="K63" i="2"/>
  <c r="AD76" i="1" s="1"/>
  <c r="J63" i="2"/>
  <c r="AF76" i="1" s="1"/>
  <c r="I63" i="2"/>
  <c r="AI76" i="1" s="1"/>
  <c r="H63" i="2"/>
  <c r="AH76" i="1" s="1"/>
  <c r="G63" i="2"/>
  <c r="AG76" i="1" s="1"/>
  <c r="F63" i="2"/>
  <c r="E63" i="2"/>
  <c r="AB76" i="1" s="1"/>
  <c r="D63" i="2"/>
  <c r="AC76" i="1" s="1"/>
  <c r="C63" i="2"/>
  <c r="B63" i="2"/>
  <c r="A63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AK75" i="1" s="1"/>
  <c r="N62" i="2"/>
  <c r="AJ75" i="1" s="1"/>
  <c r="M62" i="2"/>
  <c r="L62" i="2"/>
  <c r="AE75" i="1" s="1"/>
  <c r="K62" i="2"/>
  <c r="AD75" i="1" s="1"/>
  <c r="J62" i="2"/>
  <c r="AF75" i="1" s="1"/>
  <c r="I62" i="2"/>
  <c r="AI75" i="1" s="1"/>
  <c r="H62" i="2"/>
  <c r="AH75" i="1" s="1"/>
  <c r="G62" i="2"/>
  <c r="AG75" i="1" s="1"/>
  <c r="F62" i="2"/>
  <c r="E62" i="2"/>
  <c r="AB75" i="1" s="1"/>
  <c r="D62" i="2"/>
  <c r="AC75" i="1" s="1"/>
  <c r="C62" i="2"/>
  <c r="B62" i="2"/>
  <c r="A62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AK73" i="1" s="1"/>
  <c r="N60" i="2"/>
  <c r="AJ73" i="1" s="1"/>
  <c r="M60" i="2"/>
  <c r="L60" i="2"/>
  <c r="AE73" i="1" s="1"/>
  <c r="K60" i="2"/>
  <c r="AD73" i="1" s="1"/>
  <c r="J60" i="2"/>
  <c r="AF73" i="1" s="1"/>
  <c r="I60" i="2"/>
  <c r="AI73" i="1" s="1"/>
  <c r="H60" i="2"/>
  <c r="AH73" i="1" s="1"/>
  <c r="G60" i="2"/>
  <c r="AG73" i="1" s="1"/>
  <c r="F60" i="2"/>
  <c r="E60" i="2"/>
  <c r="AB73" i="1" s="1"/>
  <c r="D60" i="2"/>
  <c r="AC73" i="1" s="1"/>
  <c r="C60" i="2"/>
  <c r="B60" i="2"/>
  <c r="A60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AK72" i="1" s="1"/>
  <c r="N59" i="2"/>
  <c r="AJ72" i="1" s="1"/>
  <c r="M59" i="2"/>
  <c r="L59" i="2"/>
  <c r="AE72" i="1" s="1"/>
  <c r="K59" i="2"/>
  <c r="AD72" i="1" s="1"/>
  <c r="J59" i="2"/>
  <c r="AF72" i="1" s="1"/>
  <c r="I59" i="2"/>
  <c r="AI72" i="1" s="1"/>
  <c r="H59" i="2"/>
  <c r="AH72" i="1" s="1"/>
  <c r="G59" i="2"/>
  <c r="AG72" i="1" s="1"/>
  <c r="F59" i="2"/>
  <c r="E59" i="2"/>
  <c r="AB72" i="1" s="1"/>
  <c r="D59" i="2"/>
  <c r="AC72" i="1" s="1"/>
  <c r="C59" i="2"/>
  <c r="B59" i="2"/>
  <c r="A59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AK71" i="1" s="1"/>
  <c r="N58" i="2"/>
  <c r="AJ71" i="1" s="1"/>
  <c r="M58" i="2"/>
  <c r="L58" i="2"/>
  <c r="AE71" i="1" s="1"/>
  <c r="K58" i="2"/>
  <c r="AD71" i="1" s="1"/>
  <c r="J58" i="2"/>
  <c r="AF71" i="1" s="1"/>
  <c r="I58" i="2"/>
  <c r="AI71" i="1" s="1"/>
  <c r="H58" i="2"/>
  <c r="AH71" i="1" s="1"/>
  <c r="G58" i="2"/>
  <c r="AG71" i="1" s="1"/>
  <c r="F58" i="2"/>
  <c r="E58" i="2"/>
  <c r="AB71" i="1" s="1"/>
  <c r="D58" i="2"/>
  <c r="AC71" i="1" s="1"/>
  <c r="C58" i="2"/>
  <c r="B58" i="2"/>
  <c r="A58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AK70" i="1" s="1"/>
  <c r="N57" i="2"/>
  <c r="AJ70" i="1" s="1"/>
  <c r="M57" i="2"/>
  <c r="L57" i="2"/>
  <c r="AE70" i="1" s="1"/>
  <c r="K57" i="2"/>
  <c r="AD70" i="1" s="1"/>
  <c r="J57" i="2"/>
  <c r="AF70" i="1" s="1"/>
  <c r="I57" i="2"/>
  <c r="AI70" i="1" s="1"/>
  <c r="H57" i="2"/>
  <c r="AH70" i="1" s="1"/>
  <c r="G57" i="2"/>
  <c r="AG70" i="1" s="1"/>
  <c r="F57" i="2"/>
  <c r="E57" i="2"/>
  <c r="AB70" i="1" s="1"/>
  <c r="D57" i="2"/>
  <c r="AC70" i="1" s="1"/>
  <c r="C57" i="2"/>
  <c r="B57" i="2"/>
  <c r="A57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AK69" i="1" s="1"/>
  <c r="N56" i="2"/>
  <c r="AJ69" i="1" s="1"/>
  <c r="M56" i="2"/>
  <c r="L56" i="2"/>
  <c r="AE69" i="1" s="1"/>
  <c r="K56" i="2"/>
  <c r="AD69" i="1" s="1"/>
  <c r="J56" i="2"/>
  <c r="AF69" i="1" s="1"/>
  <c r="I56" i="2"/>
  <c r="AI69" i="1" s="1"/>
  <c r="H56" i="2"/>
  <c r="AH69" i="1" s="1"/>
  <c r="G56" i="2"/>
  <c r="AG69" i="1" s="1"/>
  <c r="F56" i="2"/>
  <c r="E56" i="2"/>
  <c r="AB69" i="1" s="1"/>
  <c r="D56" i="2"/>
  <c r="AC69" i="1" s="1"/>
  <c r="C56" i="2"/>
  <c r="B56" i="2"/>
  <c r="A56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AK68" i="1" s="1"/>
  <c r="N55" i="2"/>
  <c r="AJ68" i="1" s="1"/>
  <c r="M55" i="2"/>
  <c r="L55" i="2"/>
  <c r="AE68" i="1" s="1"/>
  <c r="K55" i="2"/>
  <c r="AD68" i="1" s="1"/>
  <c r="J55" i="2"/>
  <c r="AF68" i="1" s="1"/>
  <c r="I55" i="2"/>
  <c r="AI68" i="1" s="1"/>
  <c r="H55" i="2"/>
  <c r="AH68" i="1" s="1"/>
  <c r="G55" i="2"/>
  <c r="AG68" i="1" s="1"/>
  <c r="F55" i="2"/>
  <c r="E55" i="2"/>
  <c r="AB68" i="1" s="1"/>
  <c r="D55" i="2"/>
  <c r="AC68" i="1" s="1"/>
  <c r="C55" i="2"/>
  <c r="B55" i="2"/>
  <c r="A55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AK67" i="1" s="1"/>
  <c r="N54" i="2"/>
  <c r="AJ67" i="1" s="1"/>
  <c r="M54" i="2"/>
  <c r="L54" i="2"/>
  <c r="AE67" i="1" s="1"/>
  <c r="K54" i="2"/>
  <c r="AD67" i="1" s="1"/>
  <c r="J54" i="2"/>
  <c r="AF67" i="1" s="1"/>
  <c r="I54" i="2"/>
  <c r="AI67" i="1" s="1"/>
  <c r="H54" i="2"/>
  <c r="AH67" i="1" s="1"/>
  <c r="G54" i="2"/>
  <c r="AG67" i="1" s="1"/>
  <c r="F54" i="2"/>
  <c r="E54" i="2"/>
  <c r="AB67" i="1" s="1"/>
  <c r="D54" i="2"/>
  <c r="AC67" i="1" s="1"/>
  <c r="C54" i="2"/>
  <c r="B54" i="2"/>
  <c r="A54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AK66" i="1" s="1"/>
  <c r="N53" i="2"/>
  <c r="AJ66" i="1" s="1"/>
  <c r="M53" i="2"/>
  <c r="L53" i="2"/>
  <c r="AE66" i="1" s="1"/>
  <c r="K53" i="2"/>
  <c r="AD66" i="1" s="1"/>
  <c r="J53" i="2"/>
  <c r="AF66" i="1" s="1"/>
  <c r="I53" i="2"/>
  <c r="AI66" i="1" s="1"/>
  <c r="H53" i="2"/>
  <c r="AH66" i="1" s="1"/>
  <c r="G53" i="2"/>
  <c r="AG66" i="1" s="1"/>
  <c r="F53" i="2"/>
  <c r="E53" i="2"/>
  <c r="AB66" i="1" s="1"/>
  <c r="D53" i="2"/>
  <c r="AC66" i="1" s="1"/>
  <c r="C53" i="2"/>
  <c r="B53" i="2"/>
  <c r="A53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AK65" i="1" s="1"/>
  <c r="N52" i="2"/>
  <c r="AJ65" i="1" s="1"/>
  <c r="M52" i="2"/>
  <c r="L52" i="2"/>
  <c r="AE65" i="1" s="1"/>
  <c r="K52" i="2"/>
  <c r="AD65" i="1" s="1"/>
  <c r="J52" i="2"/>
  <c r="AF65" i="1" s="1"/>
  <c r="I52" i="2"/>
  <c r="AI65" i="1" s="1"/>
  <c r="H52" i="2"/>
  <c r="AH65" i="1" s="1"/>
  <c r="G52" i="2"/>
  <c r="AG65" i="1" s="1"/>
  <c r="F52" i="2"/>
  <c r="E52" i="2"/>
  <c r="AB65" i="1" s="1"/>
  <c r="D52" i="2"/>
  <c r="AC65" i="1" s="1"/>
  <c r="C52" i="2"/>
  <c r="B52" i="2"/>
  <c r="A52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AK64" i="1" s="1"/>
  <c r="N51" i="2"/>
  <c r="AJ64" i="1" s="1"/>
  <c r="M51" i="2"/>
  <c r="L51" i="2"/>
  <c r="AE64" i="1" s="1"/>
  <c r="K51" i="2"/>
  <c r="AD64" i="1" s="1"/>
  <c r="J51" i="2"/>
  <c r="AF64" i="1" s="1"/>
  <c r="I51" i="2"/>
  <c r="AI64" i="1" s="1"/>
  <c r="H51" i="2"/>
  <c r="AH64" i="1" s="1"/>
  <c r="G51" i="2"/>
  <c r="AG64" i="1" s="1"/>
  <c r="F51" i="2"/>
  <c r="E51" i="2"/>
  <c r="AB64" i="1" s="1"/>
  <c r="D51" i="2"/>
  <c r="AC64" i="1" s="1"/>
  <c r="C51" i="2"/>
  <c r="B51" i="2"/>
  <c r="A51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AK63" i="1" s="1"/>
  <c r="N50" i="2"/>
  <c r="AJ63" i="1" s="1"/>
  <c r="M50" i="2"/>
  <c r="L50" i="2"/>
  <c r="AE63" i="1" s="1"/>
  <c r="K50" i="2"/>
  <c r="AD63" i="1" s="1"/>
  <c r="J50" i="2"/>
  <c r="AF63" i="1" s="1"/>
  <c r="I50" i="2"/>
  <c r="AI63" i="1" s="1"/>
  <c r="H50" i="2"/>
  <c r="AH63" i="1" s="1"/>
  <c r="G50" i="2"/>
  <c r="AG63" i="1" s="1"/>
  <c r="F50" i="2"/>
  <c r="E50" i="2"/>
  <c r="AB63" i="1" s="1"/>
  <c r="D50" i="2"/>
  <c r="AC63" i="1" s="1"/>
  <c r="C50" i="2"/>
  <c r="B50" i="2"/>
  <c r="A50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AK62" i="1" s="1"/>
  <c r="N49" i="2"/>
  <c r="AJ62" i="1" s="1"/>
  <c r="M49" i="2"/>
  <c r="L49" i="2"/>
  <c r="AE62" i="1" s="1"/>
  <c r="K49" i="2"/>
  <c r="AD62" i="1" s="1"/>
  <c r="J49" i="2"/>
  <c r="AF62" i="1" s="1"/>
  <c r="I49" i="2"/>
  <c r="AI62" i="1" s="1"/>
  <c r="H49" i="2"/>
  <c r="AH62" i="1" s="1"/>
  <c r="G49" i="2"/>
  <c r="AG62" i="1" s="1"/>
  <c r="F49" i="2"/>
  <c r="E49" i="2"/>
  <c r="AB62" i="1" s="1"/>
  <c r="D49" i="2"/>
  <c r="AC62" i="1" s="1"/>
  <c r="C49" i="2"/>
  <c r="B49" i="2"/>
  <c r="A49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AK61" i="1" s="1"/>
  <c r="N48" i="2"/>
  <c r="AJ61" i="1" s="1"/>
  <c r="M48" i="2"/>
  <c r="L48" i="2"/>
  <c r="AE61" i="1" s="1"/>
  <c r="K48" i="2"/>
  <c r="AD61" i="1" s="1"/>
  <c r="J48" i="2"/>
  <c r="AF61" i="1" s="1"/>
  <c r="I48" i="2"/>
  <c r="AI61" i="1" s="1"/>
  <c r="H48" i="2"/>
  <c r="AH61" i="1" s="1"/>
  <c r="G48" i="2"/>
  <c r="AG61" i="1" s="1"/>
  <c r="F48" i="2"/>
  <c r="E48" i="2"/>
  <c r="AB61" i="1" s="1"/>
  <c r="D48" i="2"/>
  <c r="AC61" i="1" s="1"/>
  <c r="C48" i="2"/>
  <c r="B48" i="2"/>
  <c r="A48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AK60" i="1" s="1"/>
  <c r="N47" i="2"/>
  <c r="AJ60" i="1" s="1"/>
  <c r="M47" i="2"/>
  <c r="L47" i="2"/>
  <c r="AE60" i="1" s="1"/>
  <c r="K47" i="2"/>
  <c r="AD60" i="1" s="1"/>
  <c r="J47" i="2"/>
  <c r="AF60" i="1" s="1"/>
  <c r="I47" i="2"/>
  <c r="AI60" i="1" s="1"/>
  <c r="H47" i="2"/>
  <c r="AH60" i="1" s="1"/>
  <c r="G47" i="2"/>
  <c r="AG60" i="1" s="1"/>
  <c r="F47" i="2"/>
  <c r="E47" i="2"/>
  <c r="AB60" i="1" s="1"/>
  <c r="D47" i="2"/>
  <c r="AC60" i="1" s="1"/>
  <c r="C47" i="2"/>
  <c r="B47" i="2"/>
  <c r="A47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AK59" i="1" s="1"/>
  <c r="N46" i="2"/>
  <c r="AJ59" i="1" s="1"/>
  <c r="M46" i="2"/>
  <c r="L46" i="2"/>
  <c r="AE59" i="1" s="1"/>
  <c r="K46" i="2"/>
  <c r="AD59" i="1" s="1"/>
  <c r="J46" i="2"/>
  <c r="AF59" i="1" s="1"/>
  <c r="I46" i="2"/>
  <c r="AI59" i="1" s="1"/>
  <c r="H46" i="2"/>
  <c r="AH59" i="1" s="1"/>
  <c r="G46" i="2"/>
  <c r="AG59" i="1" s="1"/>
  <c r="F46" i="2"/>
  <c r="E46" i="2"/>
  <c r="AB59" i="1" s="1"/>
  <c r="D46" i="2"/>
  <c r="AC59" i="1" s="1"/>
  <c r="C46" i="2"/>
  <c r="B46" i="2"/>
  <c r="A46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AK58" i="1" s="1"/>
  <c r="N45" i="2"/>
  <c r="AJ58" i="1" s="1"/>
  <c r="M45" i="2"/>
  <c r="L45" i="2"/>
  <c r="AE58" i="1" s="1"/>
  <c r="K45" i="2"/>
  <c r="AD58" i="1" s="1"/>
  <c r="J45" i="2"/>
  <c r="AF58" i="1" s="1"/>
  <c r="I45" i="2"/>
  <c r="AI58" i="1" s="1"/>
  <c r="H45" i="2"/>
  <c r="AH58" i="1" s="1"/>
  <c r="G45" i="2"/>
  <c r="AG58" i="1" s="1"/>
  <c r="F45" i="2"/>
  <c r="E45" i="2"/>
  <c r="AB58" i="1" s="1"/>
  <c r="D45" i="2"/>
  <c r="AC58" i="1" s="1"/>
  <c r="C45" i="2"/>
  <c r="B45" i="2"/>
  <c r="A45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AK57" i="1" s="1"/>
  <c r="N44" i="2"/>
  <c r="AJ57" i="1" s="1"/>
  <c r="M44" i="2"/>
  <c r="L44" i="2"/>
  <c r="AE57" i="1" s="1"/>
  <c r="K44" i="2"/>
  <c r="AD57" i="1" s="1"/>
  <c r="J44" i="2"/>
  <c r="AF57" i="1" s="1"/>
  <c r="I44" i="2"/>
  <c r="AI57" i="1" s="1"/>
  <c r="H44" i="2"/>
  <c r="AH57" i="1" s="1"/>
  <c r="G44" i="2"/>
  <c r="AG57" i="1" s="1"/>
  <c r="F44" i="2"/>
  <c r="E44" i="2"/>
  <c r="AB57" i="1" s="1"/>
  <c r="D44" i="2"/>
  <c r="AC57" i="1" s="1"/>
  <c r="C44" i="2"/>
  <c r="B44" i="2"/>
  <c r="A44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AK56" i="1" s="1"/>
  <c r="N43" i="2"/>
  <c r="AJ56" i="1" s="1"/>
  <c r="M43" i="2"/>
  <c r="L43" i="2"/>
  <c r="AE56" i="1" s="1"/>
  <c r="K43" i="2"/>
  <c r="AD56" i="1" s="1"/>
  <c r="J43" i="2"/>
  <c r="AF56" i="1" s="1"/>
  <c r="I43" i="2"/>
  <c r="AI56" i="1" s="1"/>
  <c r="H43" i="2"/>
  <c r="AH56" i="1" s="1"/>
  <c r="G43" i="2"/>
  <c r="AG56" i="1" s="1"/>
  <c r="F43" i="2"/>
  <c r="E43" i="2"/>
  <c r="AB56" i="1" s="1"/>
  <c r="D43" i="2"/>
  <c r="AC56" i="1" s="1"/>
  <c r="C43" i="2"/>
  <c r="B43" i="2"/>
  <c r="A43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AK55" i="1" s="1"/>
  <c r="N42" i="2"/>
  <c r="AJ55" i="1" s="1"/>
  <c r="M42" i="2"/>
  <c r="L42" i="2"/>
  <c r="AE55" i="1" s="1"/>
  <c r="K42" i="2"/>
  <c r="AD55" i="1" s="1"/>
  <c r="J42" i="2"/>
  <c r="AF55" i="1" s="1"/>
  <c r="I42" i="2"/>
  <c r="AI55" i="1" s="1"/>
  <c r="H42" i="2"/>
  <c r="AH55" i="1" s="1"/>
  <c r="G42" i="2"/>
  <c r="AG55" i="1" s="1"/>
  <c r="F42" i="2"/>
  <c r="E42" i="2"/>
  <c r="AB55" i="1" s="1"/>
  <c r="D42" i="2"/>
  <c r="AC55" i="1" s="1"/>
  <c r="C42" i="2"/>
  <c r="B42" i="2"/>
  <c r="A42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AK54" i="1" s="1"/>
  <c r="N41" i="2"/>
  <c r="AJ54" i="1" s="1"/>
  <c r="M41" i="2"/>
  <c r="L41" i="2"/>
  <c r="AE54" i="1" s="1"/>
  <c r="K41" i="2"/>
  <c r="AD54" i="1" s="1"/>
  <c r="J41" i="2"/>
  <c r="AF54" i="1" s="1"/>
  <c r="I41" i="2"/>
  <c r="AI54" i="1" s="1"/>
  <c r="H41" i="2"/>
  <c r="AH54" i="1" s="1"/>
  <c r="G41" i="2"/>
  <c r="AG54" i="1" s="1"/>
  <c r="F41" i="2"/>
  <c r="E41" i="2"/>
  <c r="AB54" i="1" s="1"/>
  <c r="D41" i="2"/>
  <c r="AC54" i="1" s="1"/>
  <c r="C41" i="2"/>
  <c r="B41" i="2"/>
  <c r="A41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AK53" i="1" s="1"/>
  <c r="N40" i="2"/>
  <c r="AJ53" i="1" s="1"/>
  <c r="M40" i="2"/>
  <c r="L40" i="2"/>
  <c r="AE53" i="1" s="1"/>
  <c r="K40" i="2"/>
  <c r="AD53" i="1" s="1"/>
  <c r="J40" i="2"/>
  <c r="AF53" i="1" s="1"/>
  <c r="I40" i="2"/>
  <c r="AI53" i="1" s="1"/>
  <c r="H40" i="2"/>
  <c r="AH53" i="1" s="1"/>
  <c r="G40" i="2"/>
  <c r="AG53" i="1" s="1"/>
  <c r="F40" i="2"/>
  <c r="E40" i="2"/>
  <c r="AB53" i="1" s="1"/>
  <c r="D40" i="2"/>
  <c r="AC53" i="1" s="1"/>
  <c r="C40" i="2"/>
  <c r="B40" i="2"/>
  <c r="A40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AK52" i="1" s="1"/>
  <c r="N39" i="2"/>
  <c r="AJ52" i="1" s="1"/>
  <c r="M39" i="2"/>
  <c r="L39" i="2"/>
  <c r="AE52" i="1" s="1"/>
  <c r="K39" i="2"/>
  <c r="AD52" i="1" s="1"/>
  <c r="J39" i="2"/>
  <c r="AF52" i="1" s="1"/>
  <c r="I39" i="2"/>
  <c r="AI52" i="1" s="1"/>
  <c r="H39" i="2"/>
  <c r="AH52" i="1" s="1"/>
  <c r="G39" i="2"/>
  <c r="AG52" i="1" s="1"/>
  <c r="F39" i="2"/>
  <c r="E39" i="2"/>
  <c r="AB52" i="1" s="1"/>
  <c r="D39" i="2"/>
  <c r="AC52" i="1" s="1"/>
  <c r="C39" i="2"/>
  <c r="B39" i="2"/>
  <c r="A39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AK51" i="1" s="1"/>
  <c r="N38" i="2"/>
  <c r="AJ51" i="1" s="1"/>
  <c r="M38" i="2"/>
  <c r="L38" i="2"/>
  <c r="AE51" i="1" s="1"/>
  <c r="K38" i="2"/>
  <c r="AD51" i="1" s="1"/>
  <c r="J38" i="2"/>
  <c r="AF51" i="1" s="1"/>
  <c r="I38" i="2"/>
  <c r="AI51" i="1" s="1"/>
  <c r="H38" i="2"/>
  <c r="AH51" i="1" s="1"/>
  <c r="G38" i="2"/>
  <c r="AG51" i="1" s="1"/>
  <c r="F38" i="2"/>
  <c r="E38" i="2"/>
  <c r="AB51" i="1" s="1"/>
  <c r="D38" i="2"/>
  <c r="AC51" i="1" s="1"/>
  <c r="C38" i="2"/>
  <c r="B38" i="2"/>
  <c r="A38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AK50" i="1" s="1"/>
  <c r="N37" i="2"/>
  <c r="AJ50" i="1" s="1"/>
  <c r="M37" i="2"/>
  <c r="L37" i="2"/>
  <c r="AE50" i="1" s="1"/>
  <c r="K37" i="2"/>
  <c r="AD50" i="1" s="1"/>
  <c r="J37" i="2"/>
  <c r="AF50" i="1" s="1"/>
  <c r="I37" i="2"/>
  <c r="AI50" i="1" s="1"/>
  <c r="H37" i="2"/>
  <c r="AH50" i="1" s="1"/>
  <c r="G37" i="2"/>
  <c r="AG50" i="1" s="1"/>
  <c r="F37" i="2"/>
  <c r="E37" i="2"/>
  <c r="AB50" i="1" s="1"/>
  <c r="D37" i="2"/>
  <c r="AC50" i="1" s="1"/>
  <c r="C37" i="2"/>
  <c r="B37" i="2"/>
  <c r="A37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AK49" i="1" s="1"/>
  <c r="N36" i="2"/>
  <c r="AJ49" i="1" s="1"/>
  <c r="M36" i="2"/>
  <c r="L36" i="2"/>
  <c r="AE49" i="1" s="1"/>
  <c r="K36" i="2"/>
  <c r="AD49" i="1" s="1"/>
  <c r="J36" i="2"/>
  <c r="AF49" i="1" s="1"/>
  <c r="I36" i="2"/>
  <c r="AI49" i="1" s="1"/>
  <c r="H36" i="2"/>
  <c r="AH49" i="1" s="1"/>
  <c r="G36" i="2"/>
  <c r="AG49" i="1" s="1"/>
  <c r="F36" i="2"/>
  <c r="E36" i="2"/>
  <c r="AB49" i="1" s="1"/>
  <c r="D36" i="2"/>
  <c r="AC49" i="1" s="1"/>
  <c r="C36" i="2"/>
  <c r="B36" i="2"/>
  <c r="A36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AK48" i="1" s="1"/>
  <c r="N35" i="2"/>
  <c r="AJ48" i="1" s="1"/>
  <c r="M35" i="2"/>
  <c r="L35" i="2"/>
  <c r="AE48" i="1" s="1"/>
  <c r="K35" i="2"/>
  <c r="AD48" i="1" s="1"/>
  <c r="J35" i="2"/>
  <c r="AF48" i="1" s="1"/>
  <c r="I35" i="2"/>
  <c r="AI48" i="1" s="1"/>
  <c r="H35" i="2"/>
  <c r="AH48" i="1" s="1"/>
  <c r="G35" i="2"/>
  <c r="AG48" i="1" s="1"/>
  <c r="F35" i="2"/>
  <c r="E35" i="2"/>
  <c r="AB48" i="1" s="1"/>
  <c r="D35" i="2"/>
  <c r="AC48" i="1" s="1"/>
  <c r="C35" i="2"/>
  <c r="B35" i="2"/>
  <c r="A35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AK47" i="1" s="1"/>
  <c r="N34" i="2"/>
  <c r="AJ47" i="1" s="1"/>
  <c r="M34" i="2"/>
  <c r="L34" i="2"/>
  <c r="AE47" i="1" s="1"/>
  <c r="K34" i="2"/>
  <c r="AD47" i="1" s="1"/>
  <c r="J34" i="2"/>
  <c r="AF47" i="1" s="1"/>
  <c r="I34" i="2"/>
  <c r="AI47" i="1" s="1"/>
  <c r="H34" i="2"/>
  <c r="AH47" i="1" s="1"/>
  <c r="G34" i="2"/>
  <c r="AG47" i="1" s="1"/>
  <c r="F34" i="2"/>
  <c r="E34" i="2"/>
  <c r="AB47" i="1" s="1"/>
  <c r="D34" i="2"/>
  <c r="AC47" i="1" s="1"/>
  <c r="C34" i="2"/>
  <c r="B34" i="2"/>
  <c r="A34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AK46" i="1" s="1"/>
  <c r="N33" i="2"/>
  <c r="AJ46" i="1" s="1"/>
  <c r="M33" i="2"/>
  <c r="L33" i="2"/>
  <c r="AE46" i="1" s="1"/>
  <c r="K33" i="2"/>
  <c r="AD46" i="1" s="1"/>
  <c r="J33" i="2"/>
  <c r="AF46" i="1" s="1"/>
  <c r="I33" i="2"/>
  <c r="AI46" i="1" s="1"/>
  <c r="H33" i="2"/>
  <c r="AH46" i="1" s="1"/>
  <c r="G33" i="2"/>
  <c r="AG46" i="1" s="1"/>
  <c r="F33" i="2"/>
  <c r="E33" i="2"/>
  <c r="AB46" i="1" s="1"/>
  <c r="D33" i="2"/>
  <c r="AC46" i="1" s="1"/>
  <c r="C33" i="2"/>
  <c r="B33" i="2"/>
  <c r="A33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AK45" i="1" s="1"/>
  <c r="N32" i="2"/>
  <c r="AJ45" i="1" s="1"/>
  <c r="M32" i="2"/>
  <c r="L32" i="2"/>
  <c r="AE45" i="1" s="1"/>
  <c r="K32" i="2"/>
  <c r="AD45" i="1" s="1"/>
  <c r="J32" i="2"/>
  <c r="AF45" i="1" s="1"/>
  <c r="I32" i="2"/>
  <c r="AI45" i="1" s="1"/>
  <c r="H32" i="2"/>
  <c r="AH45" i="1" s="1"/>
  <c r="G32" i="2"/>
  <c r="AG45" i="1" s="1"/>
  <c r="F32" i="2"/>
  <c r="E32" i="2"/>
  <c r="AB45" i="1" s="1"/>
  <c r="D32" i="2"/>
  <c r="AC45" i="1" s="1"/>
  <c r="C32" i="2"/>
  <c r="B32" i="2"/>
  <c r="A32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AK44" i="1" s="1"/>
  <c r="N31" i="2"/>
  <c r="AJ44" i="1" s="1"/>
  <c r="M31" i="2"/>
  <c r="L31" i="2"/>
  <c r="AE44" i="1" s="1"/>
  <c r="K31" i="2"/>
  <c r="AD44" i="1" s="1"/>
  <c r="J31" i="2"/>
  <c r="AF44" i="1" s="1"/>
  <c r="I31" i="2"/>
  <c r="AI44" i="1" s="1"/>
  <c r="H31" i="2"/>
  <c r="AH44" i="1" s="1"/>
  <c r="G31" i="2"/>
  <c r="AG44" i="1" s="1"/>
  <c r="F31" i="2"/>
  <c r="E31" i="2"/>
  <c r="AB44" i="1" s="1"/>
  <c r="D31" i="2"/>
  <c r="AC44" i="1" s="1"/>
  <c r="C31" i="2"/>
  <c r="B31" i="2"/>
  <c r="A31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AK43" i="1" s="1"/>
  <c r="N30" i="2"/>
  <c r="AJ43" i="1" s="1"/>
  <c r="M30" i="2"/>
  <c r="L30" i="2"/>
  <c r="AE43" i="1" s="1"/>
  <c r="K30" i="2"/>
  <c r="AD43" i="1" s="1"/>
  <c r="J30" i="2"/>
  <c r="AF43" i="1" s="1"/>
  <c r="I30" i="2"/>
  <c r="AI43" i="1" s="1"/>
  <c r="H30" i="2"/>
  <c r="AH43" i="1" s="1"/>
  <c r="G30" i="2"/>
  <c r="AG43" i="1" s="1"/>
  <c r="F30" i="2"/>
  <c r="E30" i="2"/>
  <c r="AB43" i="1" s="1"/>
  <c r="D30" i="2"/>
  <c r="AC43" i="1" s="1"/>
  <c r="C30" i="2"/>
  <c r="B30" i="2"/>
  <c r="A30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AK42" i="1" s="1"/>
  <c r="N28" i="2"/>
  <c r="AJ42" i="1" s="1"/>
  <c r="M28" i="2"/>
  <c r="L28" i="2"/>
  <c r="AE42" i="1" s="1"/>
  <c r="K28" i="2"/>
  <c r="AD42" i="1" s="1"/>
  <c r="J28" i="2"/>
  <c r="AF42" i="1" s="1"/>
  <c r="I28" i="2"/>
  <c r="AI42" i="1" s="1"/>
  <c r="H28" i="2"/>
  <c r="AH42" i="1" s="1"/>
  <c r="G28" i="2"/>
  <c r="AG42" i="1" s="1"/>
  <c r="F28" i="2"/>
  <c r="E28" i="2"/>
  <c r="AB42" i="1" s="1"/>
  <c r="D28" i="2"/>
  <c r="AC42" i="1" s="1"/>
  <c r="C28" i="2"/>
  <c r="B28" i="2"/>
  <c r="A28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AK41" i="1" s="1"/>
  <c r="N26" i="2"/>
  <c r="AJ41" i="1" s="1"/>
  <c r="M26" i="2"/>
  <c r="L26" i="2"/>
  <c r="AE41" i="1" s="1"/>
  <c r="K26" i="2"/>
  <c r="AD41" i="1" s="1"/>
  <c r="J26" i="2"/>
  <c r="AF41" i="1" s="1"/>
  <c r="I26" i="2"/>
  <c r="AI41" i="1" s="1"/>
  <c r="H26" i="2"/>
  <c r="AH41" i="1" s="1"/>
  <c r="G26" i="2"/>
  <c r="AG41" i="1" s="1"/>
  <c r="F26" i="2"/>
  <c r="E26" i="2"/>
  <c r="AB41" i="1" s="1"/>
  <c r="D26" i="2"/>
  <c r="AC41" i="1" s="1"/>
  <c r="C26" i="2"/>
  <c r="B26" i="2"/>
  <c r="A26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AK40" i="1" s="1"/>
  <c r="N25" i="2"/>
  <c r="AJ40" i="1" s="1"/>
  <c r="M25" i="2"/>
  <c r="L25" i="2"/>
  <c r="AE40" i="1" s="1"/>
  <c r="K25" i="2"/>
  <c r="AD40" i="1" s="1"/>
  <c r="J25" i="2"/>
  <c r="AF40" i="1" s="1"/>
  <c r="I25" i="2"/>
  <c r="AI40" i="1" s="1"/>
  <c r="H25" i="2"/>
  <c r="AH40" i="1" s="1"/>
  <c r="G25" i="2"/>
  <c r="AG40" i="1" s="1"/>
  <c r="F25" i="2"/>
  <c r="E25" i="2"/>
  <c r="AB40" i="1" s="1"/>
  <c r="D25" i="2"/>
  <c r="AC40" i="1" s="1"/>
  <c r="C25" i="2"/>
  <c r="B25" i="2"/>
  <c r="A25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AK39" i="1" s="1"/>
  <c r="N24" i="2"/>
  <c r="AJ39" i="1" s="1"/>
  <c r="M24" i="2"/>
  <c r="L24" i="2"/>
  <c r="AE39" i="1" s="1"/>
  <c r="K24" i="2"/>
  <c r="AD39" i="1" s="1"/>
  <c r="J24" i="2"/>
  <c r="AF39" i="1" s="1"/>
  <c r="I24" i="2"/>
  <c r="AI39" i="1" s="1"/>
  <c r="H24" i="2"/>
  <c r="AH39" i="1" s="1"/>
  <c r="G24" i="2"/>
  <c r="AG39" i="1" s="1"/>
  <c r="F24" i="2"/>
  <c r="E24" i="2"/>
  <c r="AB39" i="1" s="1"/>
  <c r="D24" i="2"/>
  <c r="AC39" i="1" s="1"/>
  <c r="C24" i="2"/>
  <c r="B24" i="2"/>
  <c r="A24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AK38" i="1" s="1"/>
  <c r="N23" i="2"/>
  <c r="AJ38" i="1" s="1"/>
  <c r="M23" i="2"/>
  <c r="L23" i="2"/>
  <c r="AE38" i="1" s="1"/>
  <c r="K23" i="2"/>
  <c r="AD38" i="1" s="1"/>
  <c r="J23" i="2"/>
  <c r="AF38" i="1" s="1"/>
  <c r="I23" i="2"/>
  <c r="AI38" i="1" s="1"/>
  <c r="H23" i="2"/>
  <c r="AH38" i="1" s="1"/>
  <c r="G23" i="2"/>
  <c r="AG38" i="1" s="1"/>
  <c r="F23" i="2"/>
  <c r="E23" i="2"/>
  <c r="AB38" i="1" s="1"/>
  <c r="D23" i="2"/>
  <c r="AC38" i="1" s="1"/>
  <c r="C23" i="2"/>
  <c r="B23" i="2"/>
  <c r="A23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AK37" i="1" s="1"/>
  <c r="N22" i="2"/>
  <c r="AJ37" i="1" s="1"/>
  <c r="M22" i="2"/>
  <c r="L22" i="2"/>
  <c r="AE37" i="1" s="1"/>
  <c r="K22" i="2"/>
  <c r="AD37" i="1" s="1"/>
  <c r="J22" i="2"/>
  <c r="AF37" i="1" s="1"/>
  <c r="I22" i="2"/>
  <c r="AI37" i="1" s="1"/>
  <c r="H22" i="2"/>
  <c r="AH37" i="1" s="1"/>
  <c r="G22" i="2"/>
  <c r="AG37" i="1" s="1"/>
  <c r="F22" i="2"/>
  <c r="E22" i="2"/>
  <c r="AB37" i="1" s="1"/>
  <c r="D22" i="2"/>
  <c r="AC37" i="1" s="1"/>
  <c r="C22" i="2"/>
  <c r="B22" i="2"/>
  <c r="A22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AK36" i="1" s="1"/>
  <c r="N21" i="2"/>
  <c r="AJ36" i="1" s="1"/>
  <c r="M21" i="2"/>
  <c r="L21" i="2"/>
  <c r="AE36" i="1" s="1"/>
  <c r="K21" i="2"/>
  <c r="AD36" i="1" s="1"/>
  <c r="J21" i="2"/>
  <c r="AF36" i="1" s="1"/>
  <c r="I21" i="2"/>
  <c r="AI36" i="1" s="1"/>
  <c r="H21" i="2"/>
  <c r="AH36" i="1" s="1"/>
  <c r="G21" i="2"/>
  <c r="AG36" i="1" s="1"/>
  <c r="F21" i="2"/>
  <c r="E21" i="2"/>
  <c r="AB36" i="1" s="1"/>
  <c r="D21" i="2"/>
  <c r="AC36" i="1" s="1"/>
  <c r="C21" i="2"/>
  <c r="B21" i="2"/>
  <c r="A21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AK35" i="1" s="1"/>
  <c r="N20" i="2"/>
  <c r="AJ35" i="1" s="1"/>
  <c r="M20" i="2"/>
  <c r="L20" i="2"/>
  <c r="AE35" i="1" s="1"/>
  <c r="K20" i="2"/>
  <c r="AD35" i="1" s="1"/>
  <c r="J20" i="2"/>
  <c r="AF35" i="1" s="1"/>
  <c r="I20" i="2"/>
  <c r="AI35" i="1" s="1"/>
  <c r="H20" i="2"/>
  <c r="AH35" i="1" s="1"/>
  <c r="G20" i="2"/>
  <c r="AG35" i="1" s="1"/>
  <c r="F20" i="2"/>
  <c r="E20" i="2"/>
  <c r="AB35" i="1" s="1"/>
  <c r="D20" i="2"/>
  <c r="AC35" i="1" s="1"/>
  <c r="C20" i="2"/>
  <c r="B20" i="2"/>
  <c r="A20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AK34" i="1" s="1"/>
  <c r="N19" i="2"/>
  <c r="AJ34" i="1" s="1"/>
  <c r="M19" i="2"/>
  <c r="L19" i="2"/>
  <c r="AE34" i="1" s="1"/>
  <c r="K19" i="2"/>
  <c r="AD34" i="1" s="1"/>
  <c r="J19" i="2"/>
  <c r="AF34" i="1" s="1"/>
  <c r="I19" i="2"/>
  <c r="AI34" i="1" s="1"/>
  <c r="H19" i="2"/>
  <c r="AH34" i="1" s="1"/>
  <c r="G19" i="2"/>
  <c r="AG34" i="1" s="1"/>
  <c r="F19" i="2"/>
  <c r="E19" i="2"/>
  <c r="AB34" i="1" s="1"/>
  <c r="D19" i="2"/>
  <c r="AC34" i="1" s="1"/>
  <c r="C19" i="2"/>
  <c r="B19" i="2"/>
  <c r="A19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AK31" i="1" s="1"/>
  <c r="N17" i="2"/>
  <c r="AJ31" i="1" s="1"/>
  <c r="M17" i="2"/>
  <c r="L17" i="2"/>
  <c r="AE31" i="1" s="1"/>
  <c r="K17" i="2"/>
  <c r="AD31" i="1" s="1"/>
  <c r="J17" i="2"/>
  <c r="AF31" i="1" s="1"/>
  <c r="I17" i="2"/>
  <c r="AI31" i="1" s="1"/>
  <c r="H17" i="2"/>
  <c r="AH31" i="1" s="1"/>
  <c r="G17" i="2"/>
  <c r="AG31" i="1" s="1"/>
  <c r="F17" i="2"/>
  <c r="E17" i="2"/>
  <c r="AB31" i="1" s="1"/>
  <c r="D17" i="2"/>
  <c r="AC31" i="1" s="1"/>
  <c r="C17" i="2"/>
  <c r="B17" i="2"/>
  <c r="A17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AK30" i="1" s="1"/>
  <c r="N16" i="2"/>
  <c r="AJ30" i="1" s="1"/>
  <c r="M16" i="2"/>
  <c r="L16" i="2"/>
  <c r="AE30" i="1" s="1"/>
  <c r="K16" i="2"/>
  <c r="AD30" i="1" s="1"/>
  <c r="J16" i="2"/>
  <c r="AF30" i="1" s="1"/>
  <c r="I16" i="2"/>
  <c r="AI30" i="1" s="1"/>
  <c r="H16" i="2"/>
  <c r="AH30" i="1" s="1"/>
  <c r="G16" i="2"/>
  <c r="AG30" i="1" s="1"/>
  <c r="F16" i="2"/>
  <c r="E16" i="2"/>
  <c r="AB30" i="1" s="1"/>
  <c r="D16" i="2"/>
  <c r="AC30" i="1" s="1"/>
  <c r="C16" i="2"/>
  <c r="B16" i="2"/>
  <c r="A16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AK29" i="1" s="1"/>
  <c r="N15" i="2"/>
  <c r="AJ29" i="1" s="1"/>
  <c r="M15" i="2"/>
  <c r="L15" i="2"/>
  <c r="AE29" i="1" s="1"/>
  <c r="K15" i="2"/>
  <c r="AD29" i="1" s="1"/>
  <c r="J15" i="2"/>
  <c r="AF29" i="1" s="1"/>
  <c r="I15" i="2"/>
  <c r="AI29" i="1" s="1"/>
  <c r="H15" i="2"/>
  <c r="AH29" i="1" s="1"/>
  <c r="G15" i="2"/>
  <c r="AG29" i="1" s="1"/>
  <c r="F15" i="2"/>
  <c r="E15" i="2"/>
  <c r="AB29" i="1" s="1"/>
  <c r="D15" i="2"/>
  <c r="AC29" i="1" s="1"/>
  <c r="C15" i="2"/>
  <c r="B15" i="2"/>
  <c r="A15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AK28" i="1" s="1"/>
  <c r="N13" i="2"/>
  <c r="AJ28" i="1" s="1"/>
  <c r="M13" i="2"/>
  <c r="L13" i="2"/>
  <c r="AE28" i="1" s="1"/>
  <c r="K13" i="2"/>
  <c r="AD28" i="1" s="1"/>
  <c r="J13" i="2"/>
  <c r="AF28" i="1" s="1"/>
  <c r="I13" i="2"/>
  <c r="AI28" i="1" s="1"/>
  <c r="H13" i="2"/>
  <c r="AH28" i="1" s="1"/>
  <c r="G13" i="2"/>
  <c r="AG28" i="1" s="1"/>
  <c r="F13" i="2"/>
  <c r="E13" i="2"/>
  <c r="AB28" i="1" s="1"/>
  <c r="D13" i="2"/>
  <c r="AC28" i="1" s="1"/>
  <c r="C13" i="2"/>
  <c r="B13" i="2"/>
  <c r="A13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AK27" i="1" s="1"/>
  <c r="N12" i="2"/>
  <c r="AJ27" i="1" s="1"/>
  <c r="M12" i="2"/>
  <c r="L12" i="2"/>
  <c r="AE27" i="1" s="1"/>
  <c r="K12" i="2"/>
  <c r="AD27" i="1" s="1"/>
  <c r="J12" i="2"/>
  <c r="AF27" i="1" s="1"/>
  <c r="I12" i="2"/>
  <c r="AI27" i="1" s="1"/>
  <c r="H12" i="2"/>
  <c r="AH27" i="1" s="1"/>
  <c r="G12" i="2"/>
  <c r="AG27" i="1" s="1"/>
  <c r="F12" i="2"/>
  <c r="E12" i="2"/>
  <c r="AB27" i="1" s="1"/>
  <c r="D12" i="2"/>
  <c r="AC27" i="1" s="1"/>
  <c r="C12" i="2"/>
  <c r="B12" i="2"/>
  <c r="A12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AK26" i="1" s="1"/>
  <c r="N11" i="2"/>
  <c r="AJ26" i="1" s="1"/>
  <c r="M11" i="2"/>
  <c r="L11" i="2"/>
  <c r="AE26" i="1" s="1"/>
  <c r="K11" i="2"/>
  <c r="AD26" i="1" s="1"/>
  <c r="J11" i="2"/>
  <c r="AF26" i="1" s="1"/>
  <c r="I11" i="2"/>
  <c r="AI26" i="1" s="1"/>
  <c r="H11" i="2"/>
  <c r="AH26" i="1" s="1"/>
  <c r="G11" i="2"/>
  <c r="AG26" i="1" s="1"/>
  <c r="F11" i="2"/>
  <c r="E11" i="2"/>
  <c r="AB26" i="1" s="1"/>
  <c r="D11" i="2"/>
  <c r="AC26" i="1" s="1"/>
  <c r="C11" i="2"/>
  <c r="B11" i="2"/>
  <c r="A11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AK25" i="1" s="1"/>
  <c r="N10" i="2"/>
  <c r="AJ25" i="1" s="1"/>
  <c r="M10" i="2"/>
  <c r="L10" i="2"/>
  <c r="AE25" i="1" s="1"/>
  <c r="K10" i="2"/>
  <c r="AD25" i="1" s="1"/>
  <c r="J10" i="2"/>
  <c r="AF25" i="1" s="1"/>
  <c r="I10" i="2"/>
  <c r="AI25" i="1" s="1"/>
  <c r="H10" i="2"/>
  <c r="AH25" i="1" s="1"/>
  <c r="G10" i="2"/>
  <c r="AG25" i="1" s="1"/>
  <c r="F10" i="2"/>
  <c r="E10" i="2"/>
  <c r="AB25" i="1" s="1"/>
  <c r="D10" i="2"/>
  <c r="AC25" i="1" s="1"/>
  <c r="C10" i="2"/>
  <c r="B10" i="2"/>
  <c r="A10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AK24" i="1" s="1"/>
  <c r="N9" i="2"/>
  <c r="AJ24" i="1" s="1"/>
  <c r="M9" i="2"/>
  <c r="L9" i="2"/>
  <c r="AE24" i="1" s="1"/>
  <c r="K9" i="2"/>
  <c r="AD24" i="1" s="1"/>
  <c r="J9" i="2"/>
  <c r="AF24" i="1" s="1"/>
  <c r="I9" i="2"/>
  <c r="AI24" i="1" s="1"/>
  <c r="H9" i="2"/>
  <c r="AH24" i="1" s="1"/>
  <c r="G9" i="2"/>
  <c r="AG24" i="1" s="1"/>
  <c r="F9" i="2"/>
  <c r="E9" i="2"/>
  <c r="AB24" i="1" s="1"/>
  <c r="D9" i="2"/>
  <c r="AC24" i="1" s="1"/>
  <c r="C9" i="2"/>
  <c r="B9" i="2"/>
  <c r="A9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AK23" i="1" s="1"/>
  <c r="N8" i="2"/>
  <c r="AJ23" i="1" s="1"/>
  <c r="M8" i="2"/>
  <c r="L8" i="2"/>
  <c r="AE23" i="1" s="1"/>
  <c r="K8" i="2"/>
  <c r="AD23" i="1" s="1"/>
  <c r="J8" i="2"/>
  <c r="AF23" i="1" s="1"/>
  <c r="I8" i="2"/>
  <c r="AI23" i="1" s="1"/>
  <c r="H8" i="2"/>
  <c r="AH23" i="1" s="1"/>
  <c r="G8" i="2"/>
  <c r="AG23" i="1" s="1"/>
  <c r="F8" i="2"/>
  <c r="E8" i="2"/>
  <c r="AB23" i="1" s="1"/>
  <c r="D8" i="2"/>
  <c r="AC23" i="1" s="1"/>
  <c r="C8" i="2"/>
  <c r="B8" i="2"/>
  <c r="A8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AK22" i="1" s="1"/>
  <c r="N7" i="2"/>
  <c r="AJ22" i="1" s="1"/>
  <c r="M7" i="2"/>
  <c r="L7" i="2"/>
  <c r="AE22" i="1" s="1"/>
  <c r="K7" i="2"/>
  <c r="AD22" i="1" s="1"/>
  <c r="J7" i="2"/>
  <c r="AF22" i="1" s="1"/>
  <c r="I7" i="2"/>
  <c r="AI22" i="1" s="1"/>
  <c r="H7" i="2"/>
  <c r="AH22" i="1" s="1"/>
  <c r="G7" i="2"/>
  <c r="AG22" i="1" s="1"/>
  <c r="F7" i="2"/>
  <c r="E7" i="2"/>
  <c r="AB22" i="1" s="1"/>
  <c r="D7" i="2"/>
  <c r="AC22" i="1" s="1"/>
  <c r="C7" i="2"/>
  <c r="B7" i="2"/>
  <c r="A7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AK21" i="1" s="1"/>
  <c r="N6" i="2"/>
  <c r="AJ21" i="1" s="1"/>
  <c r="M6" i="2"/>
  <c r="L6" i="2"/>
  <c r="AE21" i="1" s="1"/>
  <c r="K6" i="2"/>
  <c r="AD21" i="1" s="1"/>
  <c r="J6" i="2"/>
  <c r="AF21" i="1" s="1"/>
  <c r="I6" i="2"/>
  <c r="AI21" i="1" s="1"/>
  <c r="H6" i="2"/>
  <c r="AH21" i="1" s="1"/>
  <c r="G6" i="2"/>
  <c r="AG21" i="1" s="1"/>
  <c r="F6" i="2"/>
  <c r="E6" i="2"/>
  <c r="AB21" i="1" s="1"/>
  <c r="D6" i="2"/>
  <c r="AC21" i="1" s="1"/>
  <c r="C6" i="2"/>
  <c r="B6" i="2"/>
  <c r="A6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AK20" i="1" s="1"/>
  <c r="N5" i="2"/>
  <c r="AJ20" i="1" s="1"/>
  <c r="M5" i="2"/>
  <c r="L5" i="2"/>
  <c r="AE20" i="1" s="1"/>
  <c r="K5" i="2"/>
  <c r="AD20" i="1" s="1"/>
  <c r="J5" i="2"/>
  <c r="AF20" i="1" s="1"/>
  <c r="I5" i="2"/>
  <c r="AI20" i="1" s="1"/>
  <c r="H5" i="2"/>
  <c r="AH20" i="1" s="1"/>
  <c r="G5" i="2"/>
  <c r="AG20" i="1" s="1"/>
  <c r="F5" i="2"/>
  <c r="E5" i="2"/>
  <c r="AB20" i="1" s="1"/>
  <c r="D5" i="2"/>
  <c r="AC20" i="1" s="1"/>
  <c r="C5" i="2"/>
  <c r="B5" i="2"/>
  <c r="A5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AK19" i="1" s="1"/>
  <c r="N4" i="2"/>
  <c r="AJ19" i="1" s="1"/>
  <c r="M4" i="2"/>
  <c r="L4" i="2"/>
  <c r="AE19" i="1" s="1"/>
  <c r="K4" i="2"/>
  <c r="AD19" i="1" s="1"/>
  <c r="J4" i="2"/>
  <c r="AF19" i="1" s="1"/>
  <c r="I4" i="2"/>
  <c r="AI19" i="1" s="1"/>
  <c r="H4" i="2"/>
  <c r="AH19" i="1" s="1"/>
  <c r="G4" i="2"/>
  <c r="AG19" i="1" s="1"/>
  <c r="F4" i="2"/>
  <c r="E4" i="2"/>
  <c r="AB19" i="1" s="1"/>
  <c r="D4" i="2"/>
  <c r="AC19" i="1" s="1"/>
  <c r="C4" i="2"/>
  <c r="B4" i="2"/>
  <c r="A4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AK18" i="1" s="1"/>
  <c r="N3" i="2"/>
  <c r="AJ18" i="1" s="1"/>
  <c r="M3" i="2"/>
  <c r="L3" i="2"/>
  <c r="AE18" i="1" s="1"/>
  <c r="K3" i="2"/>
  <c r="AD18" i="1" s="1"/>
  <c r="J3" i="2"/>
  <c r="AF18" i="1" s="1"/>
  <c r="I3" i="2"/>
  <c r="AI18" i="1" s="1"/>
  <c r="H3" i="2"/>
  <c r="AH18" i="1" s="1"/>
  <c r="G3" i="2"/>
  <c r="AG18" i="1" s="1"/>
  <c r="F3" i="2"/>
  <c r="E3" i="2"/>
  <c r="AB18" i="1" s="1"/>
  <c r="D3" i="2"/>
  <c r="AC18" i="1" s="1"/>
  <c r="C3" i="2"/>
  <c r="B3" i="2"/>
  <c r="A3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AK17" i="1" s="1"/>
  <c r="N2" i="2"/>
  <c r="AJ17" i="1" s="1"/>
  <c r="M2" i="2"/>
  <c r="L2" i="2"/>
  <c r="AE17" i="1" s="1"/>
  <c r="K2" i="2"/>
  <c r="AD17" i="1" s="1"/>
  <c r="J2" i="2"/>
  <c r="AF17" i="1" s="1"/>
  <c r="I2" i="2"/>
  <c r="AI17" i="1" s="1"/>
  <c r="H2" i="2"/>
  <c r="AH17" i="1" s="1"/>
  <c r="G2" i="2"/>
  <c r="AG17" i="1" s="1"/>
  <c r="F2" i="2"/>
  <c r="E2" i="2"/>
  <c r="AB17" i="1" s="1"/>
  <c r="AA17" i="1" s="1"/>
  <c r="D2" i="2"/>
  <c r="AC17" i="1" s="1"/>
  <c r="C2" i="2"/>
  <c r="B2" i="2"/>
  <c r="A2" i="2"/>
  <c r="AL21" i="1" l="1"/>
  <c r="AL26" i="1"/>
  <c r="AL67" i="1"/>
  <c r="AL143" i="1"/>
  <c r="AL31" i="1"/>
  <c r="AL38" i="1"/>
  <c r="AL64" i="1"/>
  <c r="AL159" i="1"/>
  <c r="AL184" i="1"/>
  <c r="AL193" i="1"/>
  <c r="AL8" i="1"/>
  <c r="AL18" i="1"/>
  <c r="AL39" i="1"/>
  <c r="AL52" i="1"/>
  <c r="AL54" i="1"/>
  <c r="AL101" i="1"/>
  <c r="AL104" i="1"/>
  <c r="AL127" i="1"/>
  <c r="AL160" i="1"/>
  <c r="AL40" i="1"/>
  <c r="AL85" i="1"/>
  <c r="AL86" i="1"/>
  <c r="AL156" i="1"/>
  <c r="AL195" i="1"/>
  <c r="AL137" i="1"/>
  <c r="AL148" i="1"/>
  <c r="AL167" i="1"/>
  <c r="AL37" i="1"/>
  <c r="AL45" i="1"/>
  <c r="AL62" i="1"/>
  <c r="AL71" i="1"/>
  <c r="AL81" i="1"/>
  <c r="AL139" i="1"/>
  <c r="AL56" i="1"/>
  <c r="AL72" i="1"/>
  <c r="AL82" i="1"/>
  <c r="AL91" i="1"/>
  <c r="AL128" i="1"/>
  <c r="AL136" i="1"/>
  <c r="AL168" i="1"/>
  <c r="AL187" i="1"/>
  <c r="AL10" i="1"/>
  <c r="AL70" i="1"/>
  <c r="AL113" i="1"/>
  <c r="AL162" i="1"/>
  <c r="AL209" i="1"/>
  <c r="AL141" i="1"/>
  <c r="AL158" i="1"/>
  <c r="AL179" i="1"/>
  <c r="AL79" i="1"/>
  <c r="AL102" i="1"/>
  <c r="AL110" i="1"/>
  <c r="AL130" i="1"/>
  <c r="AL134" i="1"/>
  <c r="AL144" i="1"/>
  <c r="AL6" i="1"/>
  <c r="AL30" i="1"/>
  <c r="AL46" i="1"/>
  <c r="AL78" i="1"/>
  <c r="AL112" i="1"/>
  <c r="AL29" i="1"/>
  <c r="AL84" i="1"/>
  <c r="AL135" i="1"/>
  <c r="AL169" i="1"/>
  <c r="AL192" i="1"/>
  <c r="AL145" i="1"/>
  <c r="AL205" i="1"/>
  <c r="AL109" i="1"/>
  <c r="AL129" i="1"/>
  <c r="AL132" i="1"/>
  <c r="AL153" i="1"/>
  <c r="AL170" i="1"/>
  <c r="AL106" i="1"/>
  <c r="AL146" i="1"/>
  <c r="AL96" i="1"/>
  <c r="AL114" i="1"/>
  <c r="AL151" i="1"/>
  <c r="AL173" i="1"/>
  <c r="AL197" i="1"/>
  <c r="AL138" i="1"/>
  <c r="AL207" i="1"/>
  <c r="AL217" i="1"/>
  <c r="AL152" i="1"/>
  <c r="AL161" i="1"/>
  <c r="AL175" i="1"/>
  <c r="AL208" i="1"/>
  <c r="AL220" i="1"/>
  <c r="AL66" i="1"/>
  <c r="AL89" i="1"/>
  <c r="AL97" i="1"/>
  <c r="AL105" i="1"/>
  <c r="AL133" i="1"/>
  <c r="AL199" i="1"/>
  <c r="AL5" i="1"/>
  <c r="AL28" i="1"/>
  <c r="AL34" i="1"/>
  <c r="AL48" i="1"/>
  <c r="AL50" i="1"/>
  <c r="AL55" i="1"/>
  <c r="AL57" i="1"/>
  <c r="AL80" i="1"/>
  <c r="AL98" i="1"/>
  <c r="AL121" i="1"/>
  <c r="AL164" i="1"/>
  <c r="AL201" i="1"/>
  <c r="AL32" i="1"/>
  <c r="AL166" i="1"/>
  <c r="AL189" i="1"/>
  <c r="AL36" i="1"/>
  <c r="AL154" i="1"/>
  <c r="AL182" i="1"/>
  <c r="AL69" i="1"/>
  <c r="AL157" i="1"/>
  <c r="AL51" i="1"/>
  <c r="AL68" i="1"/>
  <c r="AL88" i="1"/>
  <c r="AL92" i="1"/>
  <c r="AL126" i="1"/>
  <c r="AL140" i="1"/>
  <c r="AL174" i="1"/>
  <c r="AL196" i="1"/>
  <c r="AL211" i="1"/>
  <c r="AL213" i="1"/>
  <c r="AL33" i="1"/>
  <c r="AL172" i="1"/>
  <c r="AL191" i="1"/>
  <c r="AL12" i="1"/>
  <c r="N213" i="1"/>
  <c r="AL177" i="1"/>
  <c r="AL219" i="1"/>
  <c r="AL35" i="1"/>
  <c r="AL42" i="1"/>
  <c r="AL60" i="1"/>
  <c r="AL93" i="1"/>
  <c r="AL107" i="1"/>
  <c r="AL204" i="1"/>
  <c r="AL61" i="1"/>
  <c r="AL94" i="1"/>
  <c r="AL108" i="1"/>
  <c r="AL118" i="1"/>
  <c r="AL122" i="1"/>
  <c r="AL124" i="1"/>
  <c r="AL149" i="1"/>
  <c r="AL150" i="1"/>
  <c r="K13" i="1"/>
  <c r="N221" i="1"/>
  <c r="AL53" i="1"/>
  <c r="AL125" i="1"/>
  <c r="AL180" i="1"/>
  <c r="AL65" i="1"/>
  <c r="AL142" i="1"/>
  <c r="AL176" i="1"/>
  <c r="AL181" i="1"/>
  <c r="AL215" i="1"/>
  <c r="I215" i="1"/>
  <c r="AL165" i="1"/>
  <c r="AL203" i="1"/>
  <c r="AL100" i="1"/>
  <c r="AL24" i="1"/>
  <c r="AL44" i="1"/>
  <c r="AL76" i="1"/>
  <c r="AL90" i="1"/>
  <c r="AL95" i="1"/>
  <c r="AL123" i="1"/>
  <c r="AL116" i="1"/>
  <c r="AL20" i="1"/>
  <c r="AL22" i="1"/>
  <c r="AL41" i="1"/>
  <c r="AL111" i="1"/>
  <c r="AL117" i="1"/>
  <c r="AL120" i="1"/>
  <c r="AL49" i="1"/>
  <c r="AL58" i="1"/>
  <c r="AL218" i="1"/>
  <c r="J210" i="1"/>
  <c r="J218" i="1"/>
  <c r="AK221" i="1"/>
  <c r="J13" i="1"/>
  <c r="K224" i="1"/>
  <c r="N219" i="1"/>
  <c r="I213" i="1"/>
  <c r="AH223" i="1"/>
  <c r="O13" i="1"/>
  <c r="N225" i="1"/>
  <c r="J222" i="1"/>
  <c r="I219" i="1"/>
  <c r="N217" i="1"/>
  <c r="J214" i="1"/>
  <c r="I211" i="1"/>
  <c r="N209" i="1"/>
  <c r="H5" i="1"/>
  <c r="G5" i="1" s="1"/>
  <c r="AD223" i="1"/>
  <c r="AC221" i="1"/>
  <c r="AD225" i="1"/>
  <c r="AK219" i="1"/>
  <c r="K11" i="1"/>
  <c r="J216" i="1"/>
  <c r="N211" i="1"/>
  <c r="AG221" i="1"/>
  <c r="N13" i="1"/>
  <c r="K12" i="1"/>
  <c r="I11" i="1"/>
  <c r="I225" i="1"/>
  <c r="J220" i="1"/>
  <c r="I217" i="1"/>
  <c r="N215" i="1"/>
  <c r="J212" i="1"/>
  <c r="I209" i="1"/>
  <c r="AH218" i="1"/>
  <c r="AA74" i="1"/>
  <c r="AL222" i="1"/>
  <c r="AL223" i="1"/>
  <c r="AL224" i="1"/>
  <c r="AL225" i="1"/>
  <c r="AL25" i="1"/>
  <c r="AL27" i="1"/>
  <c r="AL77" i="1"/>
  <c r="P13" i="1"/>
  <c r="O11" i="1"/>
  <c r="P225" i="1"/>
  <c r="O224" i="1"/>
  <c r="P223" i="1"/>
  <c r="N222" i="1"/>
  <c r="P221" i="1"/>
  <c r="J221" i="1"/>
  <c r="N220" i="1"/>
  <c r="P219" i="1"/>
  <c r="J219" i="1"/>
  <c r="P217" i="1"/>
  <c r="J217" i="1"/>
  <c r="N216" i="1"/>
  <c r="P215" i="1"/>
  <c r="J215" i="1"/>
  <c r="N214" i="1"/>
  <c r="P213" i="1"/>
  <c r="J213" i="1"/>
  <c r="N212" i="1"/>
  <c r="P211" i="1"/>
  <c r="J211" i="1"/>
  <c r="N210" i="1"/>
  <c r="P209" i="1"/>
  <c r="J209" i="1"/>
  <c r="AA225" i="1"/>
  <c r="AA224" i="1"/>
  <c r="AA223" i="1"/>
  <c r="AA222" i="1"/>
  <c r="AG219" i="1"/>
  <c r="H13" i="1"/>
  <c r="G13" i="1" s="1"/>
  <c r="J11" i="1"/>
  <c r="M225" i="1"/>
  <c r="H225" i="1"/>
  <c r="G225" i="1" s="1"/>
  <c r="H224" i="1"/>
  <c r="G224" i="1" s="1"/>
  <c r="M223" i="1"/>
  <c r="H223" i="1"/>
  <c r="G223" i="1" s="1"/>
  <c r="K222" i="1"/>
  <c r="H221" i="1"/>
  <c r="G221" i="1" s="1"/>
  <c r="K220" i="1"/>
  <c r="H219" i="1"/>
  <c r="G219" i="1" s="1"/>
  <c r="K218" i="1"/>
  <c r="M217" i="1"/>
  <c r="H217" i="1"/>
  <c r="G217" i="1" s="1"/>
  <c r="K216" i="1"/>
  <c r="M215" i="1"/>
  <c r="H215" i="1"/>
  <c r="G215" i="1" s="1"/>
  <c r="K214" i="1"/>
  <c r="M213" i="1"/>
  <c r="H213" i="1"/>
  <c r="G213" i="1" s="1"/>
  <c r="K212" i="1"/>
  <c r="M211" i="1"/>
  <c r="H211" i="1"/>
  <c r="G211" i="1" s="1"/>
  <c r="K210" i="1"/>
  <c r="M209" i="1"/>
  <c r="H209" i="1"/>
  <c r="G209" i="1" s="1"/>
  <c r="AK225" i="1"/>
  <c r="AK223" i="1"/>
  <c r="AF221" i="1"/>
  <c r="AL19" i="1"/>
  <c r="AL23" i="1"/>
  <c r="AL73" i="1"/>
  <c r="AL185" i="1"/>
  <c r="AL188" i="1"/>
  <c r="AL190" i="1"/>
  <c r="AL194" i="1"/>
  <c r="AL202" i="1"/>
  <c r="AL210" i="1"/>
  <c r="AL216" i="1"/>
  <c r="AL178" i="1"/>
  <c r="AL186" i="1"/>
  <c r="AL198" i="1"/>
  <c r="AL200" i="1"/>
  <c r="AL206" i="1"/>
  <c r="AL212" i="1"/>
  <c r="AL214" i="1"/>
  <c r="AL7" i="1"/>
  <c r="AL9" i="1"/>
  <c r="AL11" i="1"/>
  <c r="AL13" i="1"/>
  <c r="L13" i="1"/>
  <c r="I13" i="1"/>
  <c r="P11" i="1"/>
  <c r="L225" i="1"/>
  <c r="K225" i="1"/>
  <c r="L223" i="1"/>
  <c r="K223" i="1"/>
  <c r="K221" i="1"/>
  <c r="L219" i="1"/>
  <c r="K219" i="1"/>
  <c r="Q217" i="1"/>
  <c r="L217" i="1"/>
  <c r="K217" i="1"/>
  <c r="Q215" i="1"/>
  <c r="L215" i="1"/>
  <c r="K215" i="1"/>
  <c r="Q213" i="1"/>
  <c r="L213" i="1"/>
  <c r="K213" i="1"/>
  <c r="Q211" i="1"/>
  <c r="L211" i="1"/>
  <c r="K211" i="1"/>
  <c r="Q209" i="1"/>
  <c r="L209" i="1"/>
  <c r="K209" i="1"/>
  <c r="AA221" i="1"/>
  <c r="AA220" i="1"/>
  <c r="AA219" i="1"/>
  <c r="AA218" i="1"/>
  <c r="AA211" i="1"/>
  <c r="AA210" i="1"/>
  <c r="AA199" i="1"/>
  <c r="AA198" i="1"/>
  <c r="AA187" i="1"/>
  <c r="AA186" i="1"/>
  <c r="AA174" i="1"/>
  <c r="AA173" i="1"/>
  <c r="AA166" i="1"/>
  <c r="AA165" i="1"/>
  <c r="AA213" i="1"/>
  <c r="AA212" i="1"/>
  <c r="AA201" i="1"/>
  <c r="AA200" i="1"/>
  <c r="AA189" i="1"/>
  <c r="AA188" i="1"/>
  <c r="AA182" i="1"/>
  <c r="AA181" i="1"/>
  <c r="AA180" i="1"/>
  <c r="AA175" i="1"/>
  <c r="AA167" i="1"/>
  <c r="AA215" i="1"/>
  <c r="AA214" i="1"/>
  <c r="AA205" i="1"/>
  <c r="AA204" i="1"/>
  <c r="AA203" i="1"/>
  <c r="AA202" i="1"/>
  <c r="AA193" i="1"/>
  <c r="AA192" i="1"/>
  <c r="AA191" i="1"/>
  <c r="AA190" i="1"/>
  <c r="AA184" i="1"/>
  <c r="AA183" i="1"/>
  <c r="AA177" i="1"/>
  <c r="AA170" i="1"/>
  <c r="AA169" i="1"/>
  <c r="AA162" i="1"/>
  <c r="AA161" i="1"/>
  <c r="AA217" i="1"/>
  <c r="AA216" i="1"/>
  <c r="AA209" i="1"/>
  <c r="AA208" i="1"/>
  <c r="AA207" i="1"/>
  <c r="AA206" i="1"/>
  <c r="AA197" i="1"/>
  <c r="AA196" i="1"/>
  <c r="AA195" i="1"/>
  <c r="AA194" i="1"/>
  <c r="AA185" i="1"/>
  <c r="AA178" i="1"/>
  <c r="AA171" i="1"/>
  <c r="AA163" i="1"/>
  <c r="AA158" i="1"/>
  <c r="AA157" i="1"/>
  <c r="AA150" i="1"/>
  <c r="AA149" i="1"/>
  <c r="AA142" i="1"/>
  <c r="AA141" i="1"/>
  <c r="AA134" i="1"/>
  <c r="AA133" i="1"/>
  <c r="AA132" i="1"/>
  <c r="AA126" i="1"/>
  <c r="AA125" i="1"/>
  <c r="AA118" i="1"/>
  <c r="AA117" i="1"/>
  <c r="AA116" i="1"/>
  <c r="AA110" i="1"/>
  <c r="AA109" i="1"/>
  <c r="AA159" i="1"/>
  <c r="AA151" i="1"/>
  <c r="AA143" i="1"/>
  <c r="AA135" i="1"/>
  <c r="AA127" i="1"/>
  <c r="AA119" i="1"/>
  <c r="AA111" i="1"/>
  <c r="AA102" i="1"/>
  <c r="AA101" i="1"/>
  <c r="AA154" i="1"/>
  <c r="AA153" i="1"/>
  <c r="AA152" i="1"/>
  <c r="AA146" i="1"/>
  <c r="AA145" i="1"/>
  <c r="AA138" i="1"/>
  <c r="AA137" i="1"/>
  <c r="AA130" i="1"/>
  <c r="AA129" i="1"/>
  <c r="AA122" i="1"/>
  <c r="AA121" i="1"/>
  <c r="AA114" i="1"/>
  <c r="AA113" i="1"/>
  <c r="AA112" i="1"/>
  <c r="AA106" i="1"/>
  <c r="AA105" i="1"/>
  <c r="AA99" i="1"/>
  <c r="AA155" i="1"/>
  <c r="AA147" i="1"/>
  <c r="AA139" i="1"/>
  <c r="AA131" i="1"/>
  <c r="AA123" i="1"/>
  <c r="AA115" i="1"/>
  <c r="AA107" i="1"/>
  <c r="AA100" i="1"/>
  <c r="AA94" i="1"/>
  <c r="AA93" i="1"/>
  <c r="AA86" i="1"/>
  <c r="AA85" i="1"/>
  <c r="AA84" i="1"/>
  <c r="AA78" i="1"/>
  <c r="AA71" i="1"/>
  <c r="AA43" i="1"/>
  <c r="AA38" i="1"/>
  <c r="AA103" i="1"/>
  <c r="AA95" i="1"/>
  <c r="AA87" i="1"/>
  <c r="AA80" i="1"/>
  <c r="AA79" i="1"/>
  <c r="AA98" i="1"/>
  <c r="AA97" i="1"/>
  <c r="AA96" i="1"/>
  <c r="AA90" i="1"/>
  <c r="AA89" i="1"/>
  <c r="AA82" i="1"/>
  <c r="AA81" i="1"/>
  <c r="AA63" i="1"/>
  <c r="AA91" i="1"/>
  <c r="AA83" i="1"/>
  <c r="AA66" i="1"/>
  <c r="AA65" i="1"/>
  <c r="AA58" i="1"/>
  <c r="AA73" i="1"/>
  <c r="AA67" i="1"/>
  <c r="AA59" i="1"/>
  <c r="AA56" i="1"/>
  <c r="AA51" i="1"/>
  <c r="AA39" i="1"/>
  <c r="AA75" i="1"/>
  <c r="AA70" i="1"/>
  <c r="AA69" i="1"/>
  <c r="AA62" i="1"/>
  <c r="AA61" i="1"/>
  <c r="AA60" i="1"/>
  <c r="AA57" i="1"/>
  <c r="AA30" i="1"/>
  <c r="AA28" i="1"/>
  <c r="AA54" i="1"/>
  <c r="AA53" i="1"/>
  <c r="AA46" i="1"/>
  <c r="AA45" i="1"/>
  <c r="AA44" i="1"/>
  <c r="AA37" i="1"/>
  <c r="AA55" i="1"/>
  <c r="AA47" i="1"/>
  <c r="AA35" i="1"/>
  <c r="AA29" i="1"/>
  <c r="AA24" i="1"/>
  <c r="AA18" i="1"/>
  <c r="AA50" i="1"/>
  <c r="AA49" i="1"/>
  <c r="AA42" i="1"/>
  <c r="AA41" i="1"/>
  <c r="AA31" i="1"/>
  <c r="AA23" i="1"/>
  <c r="AA34" i="1"/>
  <c r="AA33" i="1"/>
  <c r="AA32" i="1"/>
  <c r="AA26" i="1"/>
  <c r="AA25" i="1"/>
  <c r="AA20" i="1"/>
  <c r="AA13" i="1"/>
  <c r="AA9" i="1"/>
  <c r="AA27" i="1"/>
  <c r="AA22" i="1"/>
  <c r="AA21" i="1"/>
  <c r="AA5" i="1"/>
  <c r="AA12" i="1"/>
  <c r="AA11" i="1"/>
  <c r="AA8" i="1"/>
  <c r="AA7" i="1"/>
  <c r="AA19" i="1"/>
  <c r="Y12" i="1"/>
  <c r="AM10" i="1"/>
  <c r="AA10" i="1" s="1"/>
  <c r="Y8" i="1"/>
  <c r="AM6" i="1"/>
  <c r="AA6" i="1" s="1"/>
  <c r="Z10" i="1"/>
  <c r="Z6" i="1"/>
  <c r="Z5" i="1"/>
  <c r="Y5" i="1"/>
  <c r="AA179" i="1"/>
  <c r="AA176" i="1"/>
  <c r="AL171" i="1"/>
  <c r="AA160" i="1"/>
  <c r="AL155" i="1"/>
  <c r="AA144" i="1"/>
  <c r="AA128" i="1"/>
  <c r="AA72" i="1"/>
  <c r="AA40" i="1"/>
  <c r="AL183" i="1"/>
  <c r="AA164" i="1"/>
  <c r="AA148" i="1"/>
  <c r="AA168" i="1"/>
  <c r="AL163" i="1"/>
  <c r="AL147" i="1"/>
  <c r="AA136" i="1"/>
  <c r="AL131" i="1"/>
  <c r="AA120" i="1"/>
  <c r="AL115" i="1"/>
  <c r="AA104" i="1"/>
  <c r="AL99" i="1"/>
  <c r="AA88" i="1"/>
  <c r="AL83" i="1"/>
  <c r="AA76" i="1"/>
  <c r="AA64" i="1"/>
  <c r="AL59" i="1"/>
  <c r="AA48" i="1"/>
  <c r="AL43" i="1"/>
  <c r="AA172" i="1"/>
  <c r="AA156" i="1"/>
  <c r="AA140" i="1"/>
  <c r="AA124" i="1"/>
  <c r="AL119" i="1"/>
  <c r="AA108" i="1"/>
  <c r="AL103" i="1"/>
  <c r="AA92" i="1"/>
  <c r="AL87" i="1"/>
  <c r="AL75" i="1"/>
  <c r="AA68" i="1"/>
  <c r="AL63" i="1"/>
  <c r="AA52" i="1"/>
  <c r="AL47" i="1"/>
  <c r="AA36" i="1"/>
  <c r="AL17" i="1"/>
  <c r="N224" i="1"/>
  <c r="J224" i="1"/>
  <c r="O225" i="1"/>
  <c r="Q224" i="1"/>
  <c r="M224" i="1"/>
  <c r="I224" i="1"/>
  <c r="O223" i="1"/>
  <c r="Q222" i="1"/>
  <c r="M222" i="1"/>
  <c r="I222" i="1"/>
  <c r="O221" i="1"/>
  <c r="Q220" i="1"/>
  <c r="M220" i="1"/>
  <c r="I220" i="1"/>
  <c r="O219" i="1"/>
  <c r="Q218" i="1"/>
  <c r="M218" i="1"/>
  <c r="I218" i="1"/>
  <c r="O217" i="1"/>
  <c r="Q216" i="1"/>
  <c r="M216" i="1"/>
  <c r="I216" i="1"/>
  <c r="O215" i="1"/>
  <c r="Q214" i="1"/>
  <c r="M214" i="1"/>
  <c r="I214" i="1"/>
  <c r="O213" i="1"/>
  <c r="Q212" i="1"/>
  <c r="M212" i="1"/>
  <c r="I212" i="1"/>
  <c r="O211" i="1"/>
  <c r="Q210" i="1"/>
  <c r="M210" i="1"/>
  <c r="I210" i="1"/>
  <c r="O209" i="1"/>
  <c r="P224" i="1"/>
  <c r="L224" i="1"/>
  <c r="P222" i="1"/>
  <c r="L222" i="1"/>
  <c r="H222" i="1"/>
  <c r="G222" i="1" s="1"/>
  <c r="P220" i="1"/>
  <c r="L220" i="1"/>
  <c r="H220" i="1"/>
  <c r="G220" i="1" s="1"/>
  <c r="P218" i="1"/>
  <c r="L218" i="1"/>
  <c r="H218" i="1"/>
  <c r="G218" i="1" s="1"/>
  <c r="P216" i="1"/>
  <c r="L216" i="1"/>
  <c r="H216" i="1"/>
  <c r="G216" i="1" s="1"/>
  <c r="P214" i="1"/>
  <c r="L214" i="1"/>
  <c r="H214" i="1"/>
  <c r="G214" i="1" s="1"/>
  <c r="P212" i="1"/>
  <c r="L212" i="1"/>
  <c r="H212" i="1"/>
  <c r="G212" i="1" s="1"/>
  <c r="P210" i="1"/>
  <c r="L210" i="1"/>
  <c r="H210" i="1"/>
  <c r="G210" i="1" s="1"/>
  <c r="O222" i="1"/>
  <c r="O220" i="1"/>
  <c r="O218" i="1"/>
  <c r="O216" i="1"/>
  <c r="O214" i="1"/>
  <c r="O212" i="1"/>
  <c r="O210" i="1"/>
  <c r="N11" i="1"/>
  <c r="H11" i="1"/>
  <c r="G11" i="1" s="1"/>
  <c r="L11" i="1"/>
  <c r="N12" i="1"/>
  <c r="J12" i="1"/>
  <c r="Q12" i="1"/>
  <c r="M12" i="1"/>
  <c r="I12" i="1"/>
  <c r="P12" i="1"/>
  <c r="L12" i="1"/>
  <c r="H12" i="1"/>
  <c r="G12" i="1" s="1"/>
  <c r="Q13" i="1"/>
  <c r="M13" i="1"/>
  <c r="O12" i="1"/>
  <c r="Q11" i="1"/>
  <c r="M11" i="1"/>
  <c r="M205" i="3"/>
  <c r="N205" i="3"/>
  <c r="M206" i="3"/>
  <c r="N206" i="3"/>
  <c r="M207" i="3"/>
  <c r="N207" i="3"/>
  <c r="M208" i="3"/>
  <c r="N208" i="3"/>
  <c r="M209" i="3"/>
  <c r="N209" i="3"/>
  <c r="M210" i="3"/>
  <c r="N210" i="3"/>
  <c r="M211" i="3"/>
  <c r="N211" i="3"/>
  <c r="M212" i="3"/>
  <c r="N212" i="3"/>
  <c r="M213" i="3"/>
  <c r="N213" i="3"/>
  <c r="M214" i="3"/>
  <c r="N214" i="3"/>
  <c r="M215" i="3"/>
  <c r="N215" i="3"/>
  <c r="M216" i="3"/>
  <c r="N216" i="3"/>
  <c r="M217" i="3"/>
  <c r="N217" i="3"/>
  <c r="M218" i="3"/>
  <c r="N218" i="3"/>
  <c r="M219" i="3"/>
  <c r="N219" i="3"/>
  <c r="M220" i="3"/>
  <c r="N220" i="3"/>
  <c r="M221" i="3"/>
  <c r="N221" i="3"/>
  <c r="K203" i="3"/>
  <c r="L203" i="3"/>
  <c r="K204" i="3"/>
  <c r="L204" i="3"/>
  <c r="K205" i="3"/>
  <c r="L205" i="3"/>
  <c r="K206" i="3"/>
  <c r="L206" i="3"/>
  <c r="K207" i="3"/>
  <c r="L207" i="3"/>
  <c r="K208" i="3"/>
  <c r="L208" i="3"/>
  <c r="K209" i="3"/>
  <c r="L209" i="3"/>
  <c r="K210" i="3"/>
  <c r="L210" i="3"/>
  <c r="K211" i="3"/>
  <c r="L211" i="3"/>
  <c r="K212" i="3"/>
  <c r="L212" i="3"/>
  <c r="K213" i="3"/>
  <c r="L213" i="3"/>
  <c r="K214" i="3"/>
  <c r="L214" i="3"/>
  <c r="K215" i="3"/>
  <c r="L215" i="3"/>
  <c r="K216" i="3"/>
  <c r="L216" i="3"/>
  <c r="K217" i="3"/>
  <c r="L217" i="3"/>
  <c r="K218" i="3"/>
  <c r="L218" i="3"/>
  <c r="K219" i="3"/>
  <c r="L219" i="3"/>
  <c r="K220" i="3"/>
  <c r="L220" i="3"/>
  <c r="K221" i="3"/>
  <c r="L221" i="3"/>
  <c r="R217" i="1" l="1"/>
  <c r="R219" i="1"/>
  <c r="R209" i="1"/>
  <c r="R224" i="1"/>
  <c r="R225" i="1"/>
  <c r="R223" i="1"/>
  <c r="R220" i="1"/>
  <c r="R11" i="1"/>
  <c r="R213" i="1"/>
  <c r="R211" i="1"/>
  <c r="AL221" i="1"/>
  <c r="R215" i="1"/>
  <c r="R13" i="1"/>
  <c r="R216" i="1"/>
  <c r="R212" i="1"/>
  <c r="R221" i="1"/>
  <c r="R214" i="1"/>
  <c r="R222" i="1"/>
  <c r="R210" i="1"/>
  <c r="R218" i="1"/>
  <c r="R12" i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4" i="3"/>
  <c r="M203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98" i="3"/>
  <c r="M199" i="3"/>
  <c r="M172" i="3"/>
  <c r="M173" i="3"/>
  <c r="M174" i="3"/>
  <c r="M175" i="3"/>
  <c r="M176" i="3"/>
  <c r="M177" i="3"/>
  <c r="M178" i="3"/>
  <c r="M179" i="3"/>
  <c r="M180" i="3"/>
  <c r="M181" i="3"/>
  <c r="M200" i="3"/>
  <c r="M182" i="3"/>
  <c r="M183" i="3"/>
  <c r="M201" i="3"/>
  <c r="M184" i="3"/>
  <c r="M185" i="3"/>
  <c r="M186" i="3"/>
  <c r="M187" i="3"/>
  <c r="M188" i="3"/>
  <c r="M189" i="3"/>
  <c r="M190" i="3"/>
  <c r="M191" i="3"/>
  <c r="M192" i="3"/>
  <c r="M193" i="3"/>
  <c r="M194" i="3"/>
  <c r="M202" i="3"/>
  <c r="M195" i="3"/>
  <c r="M196" i="3"/>
  <c r="M197" i="3"/>
  <c r="M204" i="3"/>
  <c r="M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98" i="3"/>
  <c r="L199" i="3"/>
  <c r="L172" i="3"/>
  <c r="L173" i="3"/>
  <c r="L174" i="3"/>
  <c r="L175" i="3"/>
  <c r="L176" i="3"/>
  <c r="L177" i="3"/>
  <c r="L178" i="3"/>
  <c r="L179" i="3"/>
  <c r="L180" i="3"/>
  <c r="L181" i="3"/>
  <c r="L200" i="3"/>
  <c r="L182" i="3"/>
  <c r="L183" i="3"/>
  <c r="L201" i="3"/>
  <c r="L184" i="3"/>
  <c r="L185" i="3"/>
  <c r="L186" i="3"/>
  <c r="L187" i="3"/>
  <c r="L188" i="3"/>
  <c r="L189" i="3"/>
  <c r="L190" i="3"/>
  <c r="L191" i="3"/>
  <c r="L192" i="3"/>
  <c r="L193" i="3"/>
  <c r="L194" i="3"/>
  <c r="L202" i="3"/>
  <c r="L195" i="3"/>
  <c r="L196" i="3"/>
  <c r="L197" i="3"/>
  <c r="L4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162" i="3"/>
  <c r="K163" i="3"/>
  <c r="K164" i="3"/>
  <c r="K165" i="3"/>
  <c r="K166" i="3"/>
  <c r="K167" i="3"/>
  <c r="K168" i="3"/>
  <c r="K169" i="3"/>
  <c r="K170" i="3"/>
  <c r="K171" i="3"/>
  <c r="K198" i="3"/>
  <c r="K199" i="3"/>
  <c r="K172" i="3"/>
  <c r="K173" i="3"/>
  <c r="K174" i="3"/>
  <c r="K175" i="3"/>
  <c r="K176" i="3"/>
  <c r="K177" i="3"/>
  <c r="K178" i="3"/>
  <c r="K179" i="3"/>
  <c r="K180" i="3"/>
  <c r="K181" i="3"/>
  <c r="K200" i="3"/>
  <c r="K182" i="3"/>
  <c r="K183" i="3"/>
  <c r="K201" i="3"/>
  <c r="K184" i="3"/>
  <c r="K185" i="3"/>
  <c r="K186" i="3"/>
  <c r="K187" i="3"/>
  <c r="K188" i="3"/>
  <c r="K189" i="3"/>
  <c r="K190" i="3"/>
  <c r="K191" i="3"/>
  <c r="K192" i="3"/>
  <c r="K193" i="3"/>
  <c r="K194" i="3"/>
  <c r="K202" i="3"/>
  <c r="K195" i="3"/>
  <c r="K196" i="3"/>
  <c r="K197" i="3"/>
  <c r="K161" i="3"/>
  <c r="F179" i="1" l="1"/>
  <c r="F180" i="1"/>
  <c r="F202" i="1"/>
  <c r="F203" i="1"/>
  <c r="F143" i="1"/>
  <c r="F164" i="1"/>
  <c r="F134" i="1"/>
  <c r="F129" i="1"/>
  <c r="F47" i="1"/>
  <c r="F110" i="1"/>
  <c r="F70" i="1"/>
  <c r="F50" i="1"/>
  <c r="F142" i="1"/>
  <c r="F23" i="1"/>
  <c r="F42" i="1"/>
  <c r="F59" i="1"/>
  <c r="F77" i="1"/>
  <c r="F95" i="1"/>
  <c r="F138" i="1"/>
  <c r="F200" i="1"/>
  <c r="F168" i="1"/>
  <c r="F136" i="1"/>
  <c r="F7" i="1"/>
  <c r="F187" i="1"/>
  <c r="F5" i="1"/>
  <c r="F197" i="1"/>
  <c r="F163" i="1"/>
  <c r="F151" i="1"/>
  <c r="F133" i="1"/>
  <c r="F207" i="1"/>
  <c r="F69" i="1"/>
  <c r="F198" i="1"/>
  <c r="F157" i="1"/>
  <c r="F169" i="1"/>
  <c r="F128" i="1"/>
  <c r="F196" i="1"/>
  <c r="F182" i="1"/>
  <c r="F167" i="1"/>
  <c r="F144" i="1"/>
  <c r="F132" i="1"/>
  <c r="F123" i="1"/>
  <c r="F118" i="1"/>
  <c r="F99" i="1"/>
  <c r="N99" i="1" s="1"/>
  <c r="F94" i="1"/>
  <c r="F90" i="1"/>
  <c r="F85" i="1"/>
  <c r="F76" i="1"/>
  <c r="F65" i="1"/>
  <c r="F57" i="1"/>
  <c r="F46" i="1"/>
  <c r="F41" i="1"/>
  <c r="F30" i="1"/>
  <c r="F19" i="1"/>
  <c r="F86" i="1"/>
  <c r="F115" i="1"/>
  <c r="F74" i="1"/>
  <c r="F26" i="1"/>
  <c r="F101" i="1"/>
  <c r="F63" i="1"/>
  <c r="F20" i="1"/>
  <c r="F106" i="1"/>
  <c r="F21" i="1"/>
  <c r="F40" i="1"/>
  <c r="F190" i="1"/>
  <c r="F145" i="1"/>
  <c r="F195" i="1"/>
  <c r="F162" i="1"/>
  <c r="F178" i="1"/>
  <c r="F204" i="1"/>
  <c r="F172" i="1"/>
  <c r="N172" i="1" s="1"/>
  <c r="F147" i="1"/>
  <c r="F131" i="1"/>
  <c r="F183" i="1"/>
  <c r="F148" i="1"/>
  <c r="F53" i="1"/>
  <c r="F155" i="1"/>
  <c r="F206" i="1"/>
  <c r="F127" i="1"/>
  <c r="F208" i="1"/>
  <c r="F189" i="1"/>
  <c r="F156" i="1"/>
  <c r="F141" i="1"/>
  <c r="F126" i="1"/>
  <c r="F122" i="1"/>
  <c r="F116" i="1"/>
  <c r="F97" i="1"/>
  <c r="F93" i="1"/>
  <c r="F89" i="1"/>
  <c r="F9" i="1"/>
  <c r="F170" i="1"/>
  <c r="F177" i="1"/>
  <c r="F201" i="1"/>
  <c r="F171" i="1"/>
  <c r="F158" i="1"/>
  <c r="F137" i="1"/>
  <c r="F130" i="1"/>
  <c r="O130" i="1" s="1"/>
  <c r="F181" i="1"/>
  <c r="F66" i="1"/>
  <c r="F28" i="1"/>
  <c r="F107" i="1"/>
  <c r="F184" i="1"/>
  <c r="F54" i="1"/>
  <c r="F205" i="1"/>
  <c r="F188" i="1"/>
  <c r="F175" i="1"/>
  <c r="F149" i="1"/>
  <c r="F139" i="1"/>
  <c r="F125" i="1"/>
  <c r="F121" i="1"/>
  <c r="F103" i="1"/>
  <c r="F96" i="1"/>
  <c r="F92" i="1"/>
  <c r="F88" i="1"/>
  <c r="F78" i="1"/>
  <c r="F72" i="1"/>
  <c r="F60" i="1"/>
  <c r="F49" i="1"/>
  <c r="F43" i="1"/>
  <c r="F36" i="1"/>
  <c r="F24" i="1"/>
  <c r="F135" i="1"/>
  <c r="H135" i="1" s="1"/>
  <c r="G135" i="1" s="1"/>
  <c r="F64" i="1"/>
  <c r="F108" i="1"/>
  <c r="F58" i="1"/>
  <c r="F113" i="1"/>
  <c r="F80" i="1"/>
  <c r="F35" i="1"/>
  <c r="F111" i="1"/>
  <c r="F81" i="1"/>
  <c r="F55" i="1"/>
  <c r="F10" i="1"/>
  <c r="F39" i="1"/>
  <c r="F192" i="1"/>
  <c r="F165" i="1"/>
  <c r="F176" i="1"/>
  <c r="F159" i="1"/>
  <c r="F154" i="1"/>
  <c r="F150" i="1"/>
  <c r="F31" i="1"/>
  <c r="F105" i="1"/>
  <c r="F114" i="1"/>
  <c r="F98" i="1"/>
  <c r="F68" i="1"/>
  <c r="F84" i="1"/>
  <c r="F25" i="1"/>
  <c r="F44" i="1"/>
  <c r="F62" i="1"/>
  <c r="F79" i="1"/>
  <c r="F102" i="1"/>
  <c r="F146" i="1"/>
  <c r="F29" i="1"/>
  <c r="F37" i="1"/>
  <c r="F152" i="1"/>
  <c r="F45" i="1"/>
  <c r="F120" i="1"/>
  <c r="F191" i="1"/>
  <c r="F174" i="1"/>
  <c r="F100" i="1"/>
  <c r="F153" i="1"/>
  <c r="F61" i="1"/>
  <c r="F27" i="1"/>
  <c r="F112" i="1"/>
  <c r="F82" i="1"/>
  <c r="F117" i="1"/>
  <c r="F34" i="1"/>
  <c r="F48" i="1"/>
  <c r="F71" i="1"/>
  <c r="F87" i="1"/>
  <c r="F119" i="1"/>
  <c r="F173" i="1"/>
  <c r="F140" i="1"/>
  <c r="F83" i="1"/>
  <c r="F166" i="1"/>
  <c r="F8" i="1"/>
  <c r="F33" i="1"/>
  <c r="F160" i="1"/>
  <c r="F75" i="1"/>
  <c r="F6" i="1"/>
  <c r="F193" i="1"/>
  <c r="F186" i="1"/>
  <c r="F22" i="1"/>
  <c r="F104" i="1"/>
  <c r="F51" i="1"/>
  <c r="F17" i="1"/>
  <c r="F109" i="1"/>
  <c r="F18" i="1"/>
  <c r="F38" i="1"/>
  <c r="F56" i="1"/>
  <c r="F73" i="1"/>
  <c r="F91" i="1"/>
  <c r="F124" i="1"/>
  <c r="F185" i="1"/>
  <c r="F67" i="1"/>
  <c r="F32" i="1"/>
  <c r="F199" i="1"/>
  <c r="K199" i="1" s="1"/>
  <c r="E7" i="1"/>
  <c r="E10" i="1"/>
  <c r="K147" i="1"/>
  <c r="I26" i="1"/>
  <c r="I69" i="1"/>
  <c r="J95" i="1"/>
  <c r="K36" i="1"/>
  <c r="O205" i="1"/>
  <c r="J110" i="1"/>
  <c r="J106" i="1"/>
  <c r="M154" i="1"/>
  <c r="L29" i="1"/>
  <c r="O206" i="1"/>
  <c r="E5" i="1"/>
  <c r="E6" i="1"/>
  <c r="E9" i="1"/>
  <c r="E8" i="1"/>
  <c r="L147" i="1"/>
  <c r="O199" i="1" l="1"/>
  <c r="N130" i="1"/>
  <c r="F194" i="1"/>
  <c r="H194" i="1" s="1"/>
  <c r="G194" i="1" s="1"/>
  <c r="F161" i="1"/>
  <c r="I161" i="1" s="1"/>
  <c r="F52" i="1"/>
  <c r="O52" i="1" s="1"/>
  <c r="J29" i="1"/>
  <c r="M29" i="1"/>
  <c r="K161" i="1"/>
  <c r="M93" i="1"/>
  <c r="H93" i="1"/>
  <c r="G93" i="1" s="1"/>
  <c r="O93" i="1"/>
  <c r="N93" i="1"/>
  <c r="L109" i="1"/>
  <c r="H109" i="1"/>
  <c r="G109" i="1" s="1"/>
  <c r="N106" i="1"/>
  <c r="K106" i="1"/>
  <c r="L106" i="1"/>
  <c r="H106" i="1"/>
  <c r="G106" i="1" s="1"/>
  <c r="L22" i="1"/>
  <c r="N22" i="1"/>
  <c r="I22" i="1"/>
  <c r="K22" i="1"/>
  <c r="J22" i="1"/>
  <c r="K154" i="1"/>
  <c r="L154" i="1"/>
  <c r="J154" i="1"/>
  <c r="I154" i="1"/>
  <c r="O154" i="1"/>
  <c r="I199" i="1"/>
  <c r="H199" i="1"/>
  <c r="G199" i="1" s="1"/>
  <c r="M199" i="1"/>
  <c r="N199" i="1"/>
  <c r="M19" i="1"/>
  <c r="J19" i="1"/>
  <c r="H19" i="1"/>
  <c r="G19" i="1" s="1"/>
  <c r="O19" i="1"/>
  <c r="L19" i="1"/>
  <c r="K19" i="1"/>
  <c r="J130" i="1"/>
  <c r="K130" i="1"/>
  <c r="M130" i="1"/>
  <c r="I130" i="1"/>
  <c r="L130" i="1"/>
  <c r="J69" i="1"/>
  <c r="K50" i="1"/>
  <c r="M50" i="1"/>
  <c r="I36" i="1"/>
  <c r="Q96" i="1"/>
  <c r="P24" i="1"/>
  <c r="I81" i="1"/>
  <c r="I54" i="1"/>
  <c r="H171" i="1"/>
  <c r="G171" i="1" s="1"/>
  <c r="M176" i="1"/>
  <c r="P62" i="1"/>
  <c r="K17" i="1"/>
  <c r="O146" i="1"/>
  <c r="I83" i="1"/>
  <c r="K10" i="1"/>
  <c r="M76" i="1"/>
  <c r="I74" i="1"/>
  <c r="H132" i="1"/>
  <c r="G132" i="1" s="1"/>
  <c r="I198" i="1"/>
  <c r="J73" i="1"/>
  <c r="I68" i="1"/>
  <c r="M138" i="1"/>
  <c r="L37" i="1"/>
  <c r="O8" i="1"/>
  <c r="H85" i="1"/>
  <c r="G85" i="1" s="1"/>
  <c r="H115" i="1"/>
  <c r="G115" i="1" s="1"/>
  <c r="K157" i="1"/>
  <c r="Q165" i="1"/>
  <c r="H204" i="1"/>
  <c r="G204" i="1" s="1"/>
  <c r="K168" i="1"/>
  <c r="M148" i="1"/>
  <c r="I39" i="1"/>
  <c r="Q189" i="1"/>
  <c r="I120" i="1"/>
  <c r="J90" i="1"/>
  <c r="J86" i="1"/>
  <c r="K40" i="1"/>
  <c r="P169" i="1"/>
  <c r="Q5" i="1"/>
  <c r="P119" i="1"/>
  <c r="H70" i="1"/>
  <c r="G70" i="1" s="1"/>
  <c r="Q180" i="1"/>
  <c r="K131" i="1"/>
  <c r="L145" i="1"/>
  <c r="P181" i="1"/>
  <c r="P61" i="1"/>
  <c r="P59" i="1"/>
  <c r="L183" i="1"/>
  <c r="K190" i="1"/>
  <c r="Q72" i="1"/>
  <c r="L58" i="1"/>
  <c r="L97" i="1"/>
  <c r="O160" i="1"/>
  <c r="N100" i="1"/>
  <c r="H174" i="1"/>
  <c r="G174" i="1" s="1"/>
  <c r="Q27" i="1"/>
  <c r="H195" i="1"/>
  <c r="G195" i="1" s="1"/>
  <c r="J78" i="1"/>
  <c r="K125" i="1"/>
  <c r="H170" i="1"/>
  <c r="G170" i="1" s="1"/>
  <c r="J116" i="1"/>
  <c r="N38" i="1"/>
  <c r="H200" i="1"/>
  <c r="G200" i="1" s="1"/>
  <c r="L152" i="1"/>
  <c r="P134" i="1"/>
  <c r="N46" i="1"/>
  <c r="I63" i="1"/>
  <c r="N44" i="1"/>
  <c r="H51" i="1"/>
  <c r="G51" i="1" s="1"/>
  <c r="M185" i="1"/>
  <c r="O192" i="1"/>
  <c r="O57" i="1"/>
  <c r="P101" i="1"/>
  <c r="P167" i="1"/>
  <c r="L207" i="1"/>
  <c r="H25" i="1"/>
  <c r="G25" i="1" s="1"/>
  <c r="K91" i="1"/>
  <c r="P191" i="1"/>
  <c r="Q202" i="1"/>
  <c r="L56" i="1"/>
  <c r="L203" i="1"/>
  <c r="I65" i="1"/>
  <c r="N144" i="1"/>
  <c r="M129" i="1"/>
  <c r="M23" i="1"/>
  <c r="L127" i="1"/>
  <c r="I111" i="1"/>
  <c r="M34" i="1"/>
  <c r="L208" i="1"/>
  <c r="M153" i="1"/>
  <c r="N137" i="1"/>
  <c r="L104" i="1"/>
  <c r="P79" i="1"/>
  <c r="N33" i="1"/>
  <c r="P84" i="1"/>
  <c r="K94" i="1"/>
  <c r="P18" i="1"/>
  <c r="P140" i="1"/>
  <c r="P193" i="1"/>
  <c r="N41" i="1"/>
  <c r="K196" i="1"/>
  <c r="N82" i="1"/>
  <c r="P53" i="1"/>
  <c r="M88" i="1"/>
  <c r="Q121" i="1"/>
  <c r="J177" i="1"/>
  <c r="M142" i="1"/>
  <c r="O155" i="1"/>
  <c r="J92" i="1"/>
  <c r="J55" i="1"/>
  <c r="H201" i="1"/>
  <c r="G201" i="1" s="1"/>
  <c r="K124" i="1"/>
  <c r="K32" i="1"/>
  <c r="P42" i="1"/>
  <c r="M71" i="1"/>
  <c r="O75" i="1"/>
  <c r="H188" i="1"/>
  <c r="G188" i="1" s="1"/>
  <c r="H87" i="1"/>
  <c r="G87" i="1" s="1"/>
  <c r="M64" i="1"/>
  <c r="Q126" i="1"/>
  <c r="M151" i="1"/>
  <c r="O29" i="1"/>
  <c r="J99" i="1"/>
  <c r="M47" i="1"/>
  <c r="J122" i="1"/>
  <c r="Q107" i="1"/>
  <c r="O162" i="1"/>
  <c r="L77" i="1"/>
  <c r="L205" i="1"/>
  <c r="O50" i="1"/>
  <c r="K141" i="1"/>
  <c r="O43" i="1"/>
  <c r="H105" i="1"/>
  <c r="G105" i="1" s="1"/>
  <c r="P128" i="1"/>
  <c r="Q7" i="1"/>
  <c r="O89" i="1"/>
  <c r="J80" i="1"/>
  <c r="M110" i="1"/>
  <c r="N110" i="1"/>
  <c r="L102" i="1"/>
  <c r="H102" i="1"/>
  <c r="G102" i="1" s="1"/>
  <c r="I172" i="1"/>
  <c r="L172" i="1"/>
  <c r="I205" i="1"/>
  <c r="J158" i="1"/>
  <c r="L194" i="1"/>
  <c r="M144" i="1"/>
  <c r="M147" i="1"/>
  <c r="L36" i="1"/>
  <c r="O104" i="1"/>
  <c r="H97" i="1"/>
  <c r="G97" i="1" s="1"/>
  <c r="L52" i="1"/>
  <c r="N95" i="1"/>
  <c r="H95" i="1"/>
  <c r="G95" i="1" s="1"/>
  <c r="M205" i="1"/>
  <c r="H158" i="1"/>
  <c r="G158" i="1" s="1"/>
  <c r="K158" i="1"/>
  <c r="J205" i="1"/>
  <c r="L158" i="1"/>
  <c r="M172" i="1"/>
  <c r="H161" i="1"/>
  <c r="G161" i="1" s="1"/>
  <c r="J147" i="1"/>
  <c r="K110" i="1"/>
  <c r="I95" i="1"/>
  <c r="J50" i="1"/>
  <c r="N50" i="1"/>
  <c r="M109" i="1"/>
  <c r="K109" i="1"/>
  <c r="K29" i="1"/>
  <c r="I29" i="1"/>
  <c r="K99" i="1"/>
  <c r="L99" i="1"/>
  <c r="J18" i="1"/>
  <c r="O172" i="1"/>
  <c r="K172" i="1"/>
  <c r="K194" i="1"/>
  <c r="K69" i="1"/>
  <c r="O98" i="1"/>
  <c r="H79" i="1"/>
  <c r="G79" i="1" s="1"/>
  <c r="H110" i="1"/>
  <c r="G110" i="1" s="1"/>
  <c r="M95" i="1"/>
  <c r="L95" i="1"/>
  <c r="J36" i="1"/>
  <c r="N36" i="1"/>
  <c r="K137" i="1"/>
  <c r="I194" i="1"/>
  <c r="O69" i="1"/>
  <c r="I129" i="1"/>
  <c r="K43" i="1"/>
  <c r="I110" i="1"/>
  <c r="O102" i="1"/>
  <c r="O23" i="1"/>
  <c r="I100" i="1"/>
  <c r="J9" i="1"/>
  <c r="O9" i="1"/>
  <c r="O72" i="1"/>
  <c r="O183" i="1"/>
  <c r="M69" i="1"/>
  <c r="J172" i="1"/>
  <c r="H205" i="1"/>
  <c r="G205" i="1" s="1"/>
  <c r="L186" i="1"/>
  <c r="K205" i="1"/>
  <c r="I158" i="1"/>
  <c r="L161" i="1"/>
  <c r="M194" i="1"/>
  <c r="J194" i="1"/>
  <c r="H69" i="1"/>
  <c r="G69" i="1" s="1"/>
  <c r="N69" i="1"/>
  <c r="O194" i="1"/>
  <c r="J52" i="1"/>
  <c r="I99" i="1"/>
  <c r="O109" i="1"/>
  <c r="M97" i="1"/>
  <c r="K48" i="1"/>
  <c r="H50" i="1"/>
  <c r="G50" i="1" s="1"/>
  <c r="H99" i="1"/>
  <c r="G99" i="1" s="1"/>
  <c r="O22" i="1"/>
  <c r="I19" i="1"/>
  <c r="H22" i="1"/>
  <c r="G22" i="1" s="1"/>
  <c r="L50" i="1"/>
  <c r="I50" i="1"/>
  <c r="I109" i="1"/>
  <c r="J93" i="1"/>
  <c r="M186" i="1"/>
  <c r="J105" i="1"/>
  <c r="L93" i="1"/>
  <c r="M122" i="1"/>
  <c r="M206" i="1"/>
  <c r="L82" i="1"/>
  <c r="N92" i="1"/>
  <c r="I32" i="1"/>
  <c r="O79" i="1"/>
  <c r="N53" i="1"/>
  <c r="L43" i="1"/>
  <c r="M36" i="1"/>
  <c r="J102" i="1"/>
  <c r="I71" i="1"/>
  <c r="K75" i="1"/>
  <c r="I184" i="1"/>
  <c r="J124" i="1"/>
  <c r="K206" i="1"/>
  <c r="J32" i="1"/>
  <c r="K82" i="1"/>
  <c r="L113" i="1"/>
  <c r="K102" i="1"/>
  <c r="O36" i="1"/>
  <c r="N104" i="1"/>
  <c r="O110" i="1"/>
  <c r="N102" i="1"/>
  <c r="K95" i="1"/>
  <c r="L124" i="1"/>
  <c r="I206" i="1"/>
  <c r="N32" i="1"/>
  <c r="L32" i="1"/>
  <c r="L135" i="1"/>
  <c r="M82" i="1"/>
  <c r="J206" i="1"/>
  <c r="H32" i="1"/>
  <c r="G32" i="1" s="1"/>
  <c r="K135" i="1"/>
  <c r="H82" i="1"/>
  <c r="G82" i="1" s="1"/>
  <c r="M135" i="1"/>
  <c r="N135" i="1"/>
  <c r="L206" i="1"/>
  <c r="M32" i="1"/>
  <c r="O186" i="1"/>
  <c r="H125" i="1"/>
  <c r="G125" i="1" s="1"/>
  <c r="M28" i="1"/>
  <c r="I28" i="1"/>
  <c r="J134" i="1"/>
  <c r="O32" i="1"/>
  <c r="Q32" i="1"/>
  <c r="P32" i="1"/>
  <c r="Q206" i="1"/>
  <c r="P206" i="1"/>
  <c r="L184" i="1"/>
  <c r="P135" i="1"/>
  <c r="Q135" i="1"/>
  <c r="H92" i="1"/>
  <c r="G92" i="1" s="1"/>
  <c r="Q155" i="1"/>
  <c r="P142" i="1"/>
  <c r="P64" i="1"/>
  <c r="P82" i="1"/>
  <c r="Q82" i="1"/>
  <c r="H151" i="1"/>
  <c r="G151" i="1" s="1"/>
  <c r="L125" i="1"/>
  <c r="N186" i="1"/>
  <c r="L185" i="1"/>
  <c r="O28" i="1"/>
  <c r="L134" i="1"/>
  <c r="P50" i="1"/>
  <c r="Q50" i="1"/>
  <c r="J109" i="1"/>
  <c r="P109" i="1"/>
  <c r="Q109" i="1"/>
  <c r="Q29" i="1"/>
  <c r="P29" i="1"/>
  <c r="P154" i="1"/>
  <c r="Q154" i="1"/>
  <c r="Q106" i="1"/>
  <c r="P106" i="1"/>
  <c r="Q30" i="1"/>
  <c r="Q99" i="1"/>
  <c r="P99" i="1"/>
  <c r="P199" i="1"/>
  <c r="Q199" i="1"/>
  <c r="J140" i="1"/>
  <c r="Q105" i="1"/>
  <c r="K18" i="1"/>
  <c r="P93" i="1"/>
  <c r="Q93" i="1"/>
  <c r="N19" i="1"/>
  <c r="P19" i="1"/>
  <c r="Q19" i="1"/>
  <c r="O94" i="1"/>
  <c r="M22" i="1"/>
  <c r="Q22" i="1"/>
  <c r="P22" i="1"/>
  <c r="Q84" i="1"/>
  <c r="J150" i="1"/>
  <c r="P150" i="1"/>
  <c r="Q150" i="1"/>
  <c r="H130" i="1"/>
  <c r="G130" i="1" s="1"/>
  <c r="P130" i="1"/>
  <c r="Q130" i="1"/>
  <c r="P80" i="1"/>
  <c r="L200" i="1"/>
  <c r="N28" i="1"/>
  <c r="M170" i="1"/>
  <c r="O134" i="1"/>
  <c r="I79" i="1"/>
  <c r="N194" i="1"/>
  <c r="P194" i="1"/>
  <c r="Q194" i="1"/>
  <c r="P137" i="1"/>
  <c r="P43" i="1"/>
  <c r="P161" i="1"/>
  <c r="L110" i="1"/>
  <c r="P110" i="1"/>
  <c r="Q110" i="1"/>
  <c r="L34" i="1"/>
  <c r="P102" i="1"/>
  <c r="Q102" i="1"/>
  <c r="N158" i="1"/>
  <c r="Q158" i="1"/>
  <c r="P158" i="1"/>
  <c r="N205" i="1"/>
  <c r="Q205" i="1"/>
  <c r="P205" i="1"/>
  <c r="P111" i="1"/>
  <c r="H36" i="1"/>
  <c r="G36" i="1" s="1"/>
  <c r="P36" i="1"/>
  <c r="Q36" i="1"/>
  <c r="H172" i="1"/>
  <c r="G172" i="1" s="1"/>
  <c r="P172" i="1"/>
  <c r="Q172" i="1"/>
  <c r="P52" i="1"/>
  <c r="O95" i="1"/>
  <c r="Q95" i="1"/>
  <c r="P95" i="1"/>
  <c r="L129" i="1"/>
  <c r="L69" i="1"/>
  <c r="P69" i="1"/>
  <c r="Q69" i="1"/>
  <c r="P144" i="1"/>
  <c r="P26" i="1"/>
  <c r="Q26" i="1"/>
  <c r="P147" i="1"/>
  <c r="Q147" i="1"/>
  <c r="J42" i="1"/>
  <c r="Q56" i="1"/>
  <c r="I91" i="1"/>
  <c r="P91" i="1"/>
  <c r="Q91" i="1"/>
  <c r="Q25" i="1"/>
  <c r="J57" i="1"/>
  <c r="L192" i="1"/>
  <c r="J25" i="1"/>
  <c r="M91" i="1"/>
  <c r="P27" i="1"/>
  <c r="Q174" i="1"/>
  <c r="Q143" i="1"/>
  <c r="K97" i="1"/>
  <c r="P97" i="1"/>
  <c r="P9" i="1"/>
  <c r="Q9" i="1"/>
  <c r="I66" i="1"/>
  <c r="Q190" i="1"/>
  <c r="P183" i="1"/>
  <c r="P156" i="1"/>
  <c r="Q181" i="1"/>
  <c r="P149" i="1"/>
  <c r="Q149" i="1"/>
  <c r="P113" i="1"/>
  <c r="N180" i="1"/>
  <c r="P180" i="1"/>
  <c r="Q48" i="1"/>
  <c r="Q40" i="1"/>
  <c r="P86" i="1"/>
  <c r="Q86" i="1"/>
  <c r="P90" i="1"/>
  <c r="Q101" i="1"/>
  <c r="P192" i="1"/>
  <c r="Q185" i="1"/>
  <c r="P44" i="1"/>
  <c r="Q44" i="1"/>
  <c r="P186" i="1"/>
  <c r="Q186" i="1"/>
  <c r="O133" i="1"/>
  <c r="P46" i="1"/>
  <c r="N134" i="1"/>
  <c r="P152" i="1"/>
  <c r="J170" i="1"/>
  <c r="P170" i="1"/>
  <c r="P28" i="1"/>
  <c r="Q28" i="1"/>
  <c r="P125" i="1"/>
  <c r="I170" i="1"/>
  <c r="I200" i="1"/>
  <c r="O167" i="1"/>
  <c r="I125" i="1"/>
  <c r="K28" i="1"/>
  <c r="H101" i="1"/>
  <c r="G101" i="1" s="1"/>
  <c r="O148" i="1"/>
  <c r="Q148" i="1"/>
  <c r="P168" i="1"/>
  <c r="P204" i="1"/>
  <c r="P165" i="1"/>
  <c r="P157" i="1"/>
  <c r="Q157" i="1"/>
  <c r="H123" i="1"/>
  <c r="G123" i="1" s="1"/>
  <c r="P123" i="1"/>
  <c r="Q123" i="1"/>
  <c r="Q115" i="1"/>
  <c r="Q37" i="1"/>
  <c r="Q138" i="1"/>
  <c r="P68" i="1"/>
  <c r="P73" i="1"/>
  <c r="Q74" i="1"/>
  <c r="N76" i="1"/>
  <c r="P76" i="1"/>
  <c r="Q76" i="1"/>
  <c r="P10" i="1"/>
  <c r="J62" i="1"/>
  <c r="Q176" i="1"/>
  <c r="P171" i="1"/>
  <c r="P96" i="1"/>
  <c r="H159" i="1"/>
  <c r="G159" i="1" s="1"/>
  <c r="P159" i="1"/>
  <c r="Q159" i="1"/>
  <c r="O64" i="1"/>
  <c r="I142" i="1"/>
  <c r="O62" i="1"/>
  <c r="N87" i="1"/>
  <c r="N109" i="1"/>
  <c r="L138" i="1"/>
  <c r="J198" i="1"/>
  <c r="J138" i="1"/>
  <c r="I123" i="1"/>
  <c r="O171" i="1"/>
  <c r="M74" i="1"/>
  <c r="H76" i="1"/>
  <c r="G76" i="1" s="1"/>
  <c r="O73" i="1"/>
  <c r="H62" i="1"/>
  <c r="G62" i="1" s="1"/>
  <c r="K138" i="1"/>
  <c r="J76" i="1"/>
  <c r="K79" i="1"/>
  <c r="O123" i="1"/>
  <c r="L168" i="1"/>
  <c r="J148" i="1"/>
  <c r="K76" i="1"/>
  <c r="L76" i="1"/>
  <c r="J68" i="1"/>
  <c r="L171" i="1"/>
  <c r="M123" i="1"/>
  <c r="M157" i="1"/>
  <c r="L148" i="1"/>
  <c r="L73" i="1"/>
  <c r="O68" i="1"/>
  <c r="N37" i="1"/>
  <c r="M171" i="1"/>
  <c r="H148" i="1"/>
  <c r="G148" i="1" s="1"/>
  <c r="N62" i="1"/>
  <c r="M159" i="1"/>
  <c r="L10" i="1"/>
  <c r="N159" i="1"/>
  <c r="L159" i="1"/>
  <c r="J159" i="1"/>
  <c r="I159" i="1"/>
  <c r="K33" i="1"/>
  <c r="I97" i="1"/>
  <c r="L27" i="1"/>
  <c r="J27" i="1"/>
  <c r="K27" i="1"/>
  <c r="H191" i="1"/>
  <c r="G191" i="1" s="1"/>
  <c r="O191" i="1"/>
  <c r="J101" i="1"/>
  <c r="I101" i="1"/>
  <c r="H44" i="1"/>
  <c r="G44" i="1" s="1"/>
  <c r="I186" i="1"/>
  <c r="J186" i="1"/>
  <c r="M101" i="1"/>
  <c r="K57" i="1"/>
  <c r="K42" i="1"/>
  <c r="O25" i="1"/>
  <c r="H91" i="1"/>
  <c r="G91" i="1" s="1"/>
  <c r="K116" i="1"/>
  <c r="O174" i="1"/>
  <c r="M174" i="1"/>
  <c r="I143" i="1"/>
  <c r="H9" i="1"/>
  <c r="G9" i="1" s="1"/>
  <c r="N9" i="1"/>
  <c r="M58" i="1"/>
  <c r="L190" i="1"/>
  <c r="N113" i="1"/>
  <c r="O70" i="1"/>
  <c r="L40" i="1"/>
  <c r="I40" i="1"/>
  <c r="M86" i="1"/>
  <c r="L86" i="1"/>
  <c r="N86" i="1"/>
  <c r="O86" i="1"/>
  <c r="K86" i="1"/>
  <c r="I86" i="1"/>
  <c r="H86" i="1"/>
  <c r="G86" i="1" s="1"/>
  <c r="L90" i="1"/>
  <c r="I90" i="1"/>
  <c r="O90" i="1"/>
  <c r="O91" i="1"/>
  <c r="I42" i="1"/>
  <c r="J91" i="1"/>
  <c r="M39" i="1"/>
  <c r="M204" i="1"/>
  <c r="L204" i="1"/>
  <c r="L123" i="1"/>
  <c r="N123" i="1"/>
  <c r="M115" i="1"/>
  <c r="L68" i="1"/>
  <c r="K73" i="1"/>
  <c r="H74" i="1"/>
  <c r="G74" i="1" s="1"/>
  <c r="J74" i="1"/>
  <c r="I76" i="1"/>
  <c r="O76" i="1"/>
  <c r="L96" i="1"/>
  <c r="M96" i="1"/>
  <c r="I96" i="1"/>
  <c r="H96" i="1"/>
  <c r="G96" i="1" s="1"/>
  <c r="N96" i="1"/>
  <c r="M42" i="1"/>
  <c r="O56" i="1"/>
  <c r="K44" i="1"/>
  <c r="L91" i="1"/>
  <c r="H206" i="1"/>
  <c r="G206" i="1" s="1"/>
  <c r="N206" i="1"/>
  <c r="O135" i="1"/>
  <c r="I135" i="1"/>
  <c r="J135" i="1"/>
  <c r="M92" i="1"/>
  <c r="O92" i="1"/>
  <c r="H142" i="1"/>
  <c r="G142" i="1" s="1"/>
  <c r="H64" i="1"/>
  <c r="G64" i="1" s="1"/>
  <c r="N64" i="1"/>
  <c r="I53" i="1"/>
  <c r="J53" i="1"/>
  <c r="O82" i="1"/>
  <c r="I82" i="1"/>
  <c r="J82" i="1"/>
  <c r="J41" i="1"/>
  <c r="K101" i="1"/>
  <c r="N57" i="1"/>
  <c r="K46" i="1"/>
  <c r="H42" i="1"/>
  <c r="G42" i="1" s="1"/>
  <c r="L44" i="1"/>
  <c r="I25" i="1"/>
  <c r="M195" i="1"/>
  <c r="N29" i="1"/>
  <c r="H29" i="1"/>
  <c r="G29" i="1" s="1"/>
  <c r="H154" i="1"/>
  <c r="G154" i="1" s="1"/>
  <c r="N154" i="1"/>
  <c r="O106" i="1"/>
  <c r="M106" i="1"/>
  <c r="I106" i="1"/>
  <c r="O99" i="1"/>
  <c r="M99" i="1"/>
  <c r="J199" i="1"/>
  <c r="L199" i="1"/>
  <c r="I93" i="1"/>
  <c r="K93" i="1"/>
  <c r="L197" i="1"/>
  <c r="L80" i="1"/>
  <c r="H80" i="1"/>
  <c r="G80" i="1" s="1"/>
  <c r="H46" i="1"/>
  <c r="G46" i="1" s="1"/>
  <c r="I46" i="1"/>
  <c r="J44" i="1"/>
  <c r="L25" i="1"/>
  <c r="N91" i="1"/>
  <c r="O38" i="1"/>
  <c r="M102" i="1"/>
  <c r="I102" i="1"/>
  <c r="N111" i="1"/>
  <c r="H52" i="1"/>
  <c r="G52" i="1" s="1"/>
  <c r="M26" i="1"/>
  <c r="K26" i="1"/>
  <c r="J26" i="1"/>
  <c r="L26" i="1"/>
  <c r="H26" i="1"/>
  <c r="G26" i="1" s="1"/>
  <c r="N26" i="1"/>
  <c r="O26" i="1"/>
  <c r="J65" i="1"/>
  <c r="H65" i="1"/>
  <c r="G65" i="1" s="1"/>
  <c r="I147" i="1"/>
  <c r="H147" i="1"/>
  <c r="G147" i="1" s="1"/>
  <c r="N147" i="1"/>
  <c r="O147" i="1"/>
  <c r="O161" i="1" l="1"/>
  <c r="N161" i="1"/>
  <c r="M161" i="1"/>
  <c r="J161" i="1"/>
  <c r="Q161" i="1"/>
  <c r="Q52" i="1"/>
  <c r="N52" i="1"/>
  <c r="K52" i="1"/>
  <c r="I52" i="1"/>
  <c r="R52" i="1" s="1"/>
  <c r="M52" i="1"/>
  <c r="M57" i="1"/>
  <c r="K24" i="1"/>
  <c r="K174" i="1"/>
  <c r="N174" i="1"/>
  <c r="J202" i="1"/>
  <c r="J176" i="1"/>
  <c r="K176" i="1"/>
  <c r="I176" i="1"/>
  <c r="M168" i="1"/>
  <c r="N168" i="1"/>
  <c r="I168" i="1"/>
  <c r="O87" i="1"/>
  <c r="P176" i="1"/>
  <c r="P132" i="1"/>
  <c r="N68" i="1"/>
  <c r="Q168" i="1"/>
  <c r="I57" i="1"/>
  <c r="M152" i="1"/>
  <c r="P70" i="1"/>
  <c r="Q61" i="1"/>
  <c r="P174" i="1"/>
  <c r="Q43" i="1"/>
  <c r="Q87" i="1"/>
  <c r="Q122" i="1"/>
  <c r="P155" i="1"/>
  <c r="N152" i="1"/>
  <c r="I43" i="1"/>
  <c r="N18" i="1"/>
  <c r="M43" i="1"/>
  <c r="I87" i="1"/>
  <c r="L57" i="1"/>
  <c r="K160" i="1"/>
  <c r="I174" i="1"/>
  <c r="J174" i="1"/>
  <c r="L176" i="1"/>
  <c r="N176" i="1"/>
  <c r="J168" i="1"/>
  <c r="M68" i="1"/>
  <c r="Q24" i="1"/>
  <c r="H176" i="1"/>
  <c r="G176" i="1" s="1"/>
  <c r="O168" i="1"/>
  <c r="Q70" i="1"/>
  <c r="P57" i="1"/>
  <c r="Q104" i="1"/>
  <c r="Q18" i="1"/>
  <c r="H57" i="1"/>
  <c r="G57" i="1" s="1"/>
  <c r="P87" i="1"/>
  <c r="P122" i="1"/>
  <c r="N122" i="1"/>
  <c r="H104" i="1"/>
  <c r="G104" i="1" s="1"/>
  <c r="H18" i="1"/>
  <c r="G18" i="1" s="1"/>
  <c r="N43" i="1"/>
  <c r="L70" i="1"/>
  <c r="K152" i="1"/>
  <c r="J144" i="1"/>
  <c r="I104" i="1"/>
  <c r="H43" i="1"/>
  <c r="G43" i="1" s="1"/>
  <c r="J43" i="1"/>
  <c r="M87" i="1"/>
  <c r="K68" i="1"/>
  <c r="I70" i="1"/>
  <c r="L174" i="1"/>
  <c r="O176" i="1"/>
  <c r="H168" i="1"/>
  <c r="G168" i="1" s="1"/>
  <c r="H68" i="1"/>
  <c r="G68" i="1" s="1"/>
  <c r="O132" i="1"/>
  <c r="L87" i="1"/>
  <c r="Q68" i="1"/>
  <c r="J152" i="1"/>
  <c r="O152" i="1"/>
  <c r="Q152" i="1"/>
  <c r="Q183" i="1"/>
  <c r="Q57" i="1"/>
  <c r="Q144" i="1"/>
  <c r="P104" i="1"/>
  <c r="Q88" i="1"/>
  <c r="K87" i="1"/>
  <c r="J87" i="1"/>
  <c r="M104" i="1"/>
  <c r="J70" i="1"/>
  <c r="O144" i="1"/>
  <c r="H183" i="1"/>
  <c r="G183" i="1" s="1"/>
  <c r="I144" i="1"/>
  <c r="K144" i="1"/>
  <c r="Q77" i="1"/>
  <c r="I141" i="1"/>
  <c r="I94" i="1"/>
  <c r="J94" i="1"/>
  <c r="M146" i="1"/>
  <c r="N198" i="1"/>
  <c r="P201" i="1"/>
  <c r="H141" i="1"/>
  <c r="G141" i="1" s="1"/>
  <c r="H146" i="1"/>
  <c r="G146" i="1" s="1"/>
  <c r="J8" i="1"/>
  <c r="Q58" i="1"/>
  <c r="Q100" i="1"/>
  <c r="O77" i="1"/>
  <c r="P121" i="1"/>
  <c r="K127" i="1"/>
  <c r="J58" i="1"/>
  <c r="H207" i="1"/>
  <c r="G207" i="1" s="1"/>
  <c r="H41" i="1"/>
  <c r="G41" i="1" s="1"/>
  <c r="Q127" i="1"/>
  <c r="L151" i="1"/>
  <c r="M38" i="1"/>
  <c r="K78" i="1"/>
  <c r="L63" i="1"/>
  <c r="N78" i="1"/>
  <c r="P81" i="1"/>
  <c r="P146" i="1"/>
  <c r="Q169" i="1"/>
  <c r="Q145" i="1"/>
  <c r="Q59" i="1"/>
  <c r="K185" i="1"/>
  <c r="P47" i="1"/>
  <c r="K193" i="1"/>
  <c r="N121" i="1"/>
  <c r="K195" i="1"/>
  <c r="O201" i="1"/>
  <c r="L64" i="1"/>
  <c r="J79" i="1"/>
  <c r="H145" i="1"/>
  <c r="G145" i="1" s="1"/>
  <c r="N34" i="1"/>
  <c r="L81" i="1"/>
  <c r="L78" i="1"/>
  <c r="J165" i="1"/>
  <c r="Q198" i="1"/>
  <c r="P189" i="1"/>
  <c r="P208" i="1"/>
  <c r="Q128" i="1"/>
  <c r="P41" i="1"/>
  <c r="H107" i="1"/>
  <c r="G107" i="1" s="1"/>
  <c r="Q141" i="1"/>
  <c r="J64" i="1"/>
  <c r="I151" i="1"/>
  <c r="I64" i="1"/>
  <c r="N84" i="1"/>
  <c r="I59" i="1"/>
  <c r="K59" i="1"/>
  <c r="L79" i="1"/>
  <c r="R79" i="1" s="1"/>
  <c r="N170" i="1"/>
  <c r="Q207" i="1"/>
  <c r="J56" i="1"/>
  <c r="L75" i="1"/>
  <c r="M51" i="1"/>
  <c r="H63" i="1"/>
  <c r="G63" i="1" s="1"/>
  <c r="I37" i="1"/>
  <c r="K37" i="1"/>
  <c r="M77" i="1"/>
  <c r="P8" i="1"/>
  <c r="P195" i="1"/>
  <c r="Q38" i="1"/>
  <c r="Q63" i="1"/>
  <c r="P34" i="1"/>
  <c r="J77" i="1"/>
  <c r="Q33" i="1"/>
  <c r="Q94" i="1"/>
  <c r="P105" i="1"/>
  <c r="Q151" i="1"/>
  <c r="L126" i="1"/>
  <c r="Q55" i="1"/>
  <c r="O55" i="1"/>
  <c r="I107" i="1"/>
  <c r="K55" i="1"/>
  <c r="J201" i="1"/>
  <c r="J137" i="1"/>
  <c r="N97" i="1"/>
  <c r="K129" i="1"/>
  <c r="K200" i="1"/>
  <c r="R32" i="1"/>
  <c r="I177" i="1"/>
  <c r="O153" i="1"/>
  <c r="O34" i="1"/>
  <c r="N117" i="1"/>
  <c r="I117" i="1"/>
  <c r="N20" i="1"/>
  <c r="O20" i="1"/>
  <c r="J163" i="1"/>
  <c r="P163" i="1"/>
  <c r="J118" i="1"/>
  <c r="Q118" i="1"/>
  <c r="M118" i="1"/>
  <c r="L166" i="1"/>
  <c r="M166" i="1"/>
  <c r="L21" i="1"/>
  <c r="J21" i="1"/>
  <c r="J49" i="1"/>
  <c r="M49" i="1"/>
  <c r="L35" i="1"/>
  <c r="H35" i="1"/>
  <c r="G35" i="1" s="1"/>
  <c r="J35" i="1"/>
  <c r="I103" i="1"/>
  <c r="K103" i="1"/>
  <c r="O31" i="1"/>
  <c r="P31" i="1"/>
  <c r="K136" i="1"/>
  <c r="Q136" i="1"/>
  <c r="H136" i="1"/>
  <c r="G136" i="1" s="1"/>
  <c r="H182" i="1"/>
  <c r="G182" i="1" s="1"/>
  <c r="I182" i="1"/>
  <c r="N114" i="1"/>
  <c r="K114" i="1"/>
  <c r="O114" i="1"/>
  <c r="N108" i="1"/>
  <c r="L108" i="1"/>
  <c r="L45" i="1"/>
  <c r="J45" i="1"/>
  <c r="Q45" i="1"/>
  <c r="J139" i="1"/>
  <c r="L139" i="1"/>
  <c r="I112" i="1"/>
  <c r="Q112" i="1"/>
  <c r="I60" i="1"/>
  <c r="Q60" i="1"/>
  <c r="N164" i="1"/>
  <c r="O164" i="1"/>
  <c r="I187" i="1"/>
  <c r="K187" i="1"/>
  <c r="P187" i="1"/>
  <c r="O187" i="1"/>
  <c r="J39" i="1"/>
  <c r="K132" i="1"/>
  <c r="M37" i="1"/>
  <c r="M187" i="1"/>
  <c r="N132" i="1"/>
  <c r="Q117" i="1"/>
  <c r="Q162" i="1"/>
  <c r="N162" i="1"/>
  <c r="K162" i="1"/>
  <c r="J162" i="1"/>
  <c r="H162" i="1"/>
  <c r="G162" i="1" s="1"/>
  <c r="M162" i="1"/>
  <c r="I162" i="1"/>
  <c r="P162" i="1"/>
  <c r="Q173" i="1"/>
  <c r="I173" i="1"/>
  <c r="J173" i="1"/>
  <c r="P173" i="1"/>
  <c r="J71" i="1"/>
  <c r="N71" i="1"/>
  <c r="L71" i="1"/>
  <c r="O71" i="1"/>
  <c r="Q71" i="1"/>
  <c r="J88" i="1"/>
  <c r="O88" i="1"/>
  <c r="H88" i="1"/>
  <c r="G88" i="1" s="1"/>
  <c r="L88" i="1"/>
  <c r="K88" i="1"/>
  <c r="N88" i="1"/>
  <c r="I88" i="1"/>
  <c r="P67" i="1"/>
  <c r="Q67" i="1"/>
  <c r="O208" i="1"/>
  <c r="I208" i="1"/>
  <c r="Q208" i="1"/>
  <c r="L202" i="1"/>
  <c r="H202" i="1"/>
  <c r="G202" i="1" s="1"/>
  <c r="I202" i="1"/>
  <c r="P202" i="1"/>
  <c r="O202" i="1"/>
  <c r="J46" i="1"/>
  <c r="L46" i="1"/>
  <c r="R46" i="1" s="1"/>
  <c r="Q46" i="1"/>
  <c r="J195" i="1"/>
  <c r="Q195" i="1"/>
  <c r="L195" i="1"/>
  <c r="P72" i="1"/>
  <c r="K72" i="1"/>
  <c r="J72" i="1"/>
  <c r="I72" i="1"/>
  <c r="L131" i="1"/>
  <c r="P131" i="1"/>
  <c r="Q131" i="1"/>
  <c r="I131" i="1"/>
  <c r="O39" i="1"/>
  <c r="P39" i="1"/>
  <c r="N39" i="1"/>
  <c r="L39" i="1"/>
  <c r="Q39" i="1"/>
  <c r="H39" i="1"/>
  <c r="G39" i="1" s="1"/>
  <c r="O37" i="1"/>
  <c r="P37" i="1"/>
  <c r="J37" i="1"/>
  <c r="O17" i="1"/>
  <c r="M17" i="1"/>
  <c r="Q17" i="1"/>
  <c r="I17" i="1"/>
  <c r="O49" i="1"/>
  <c r="L55" i="1"/>
  <c r="J24" i="1"/>
  <c r="K39" i="1"/>
  <c r="K202" i="1"/>
  <c r="H37" i="1"/>
  <c r="G37" i="1" s="1"/>
  <c r="Q139" i="1"/>
  <c r="P71" i="1"/>
  <c r="O136" i="1"/>
  <c r="P88" i="1"/>
  <c r="L162" i="1"/>
  <c r="J208" i="1"/>
  <c r="M208" i="1"/>
  <c r="M163" i="1"/>
  <c r="K182" i="1"/>
  <c r="N55" i="1"/>
  <c r="M55" i="1"/>
  <c r="P55" i="1"/>
  <c r="I55" i="1"/>
  <c r="H55" i="1"/>
  <c r="G55" i="1" s="1"/>
  <c r="M193" i="1"/>
  <c r="J193" i="1"/>
  <c r="O193" i="1"/>
  <c r="Q193" i="1"/>
  <c r="H98" i="1"/>
  <c r="G98" i="1" s="1"/>
  <c r="J98" i="1"/>
  <c r="P98" i="1"/>
  <c r="I98" i="1"/>
  <c r="Q98" i="1"/>
  <c r="L98" i="1"/>
  <c r="K98" i="1"/>
  <c r="I23" i="1"/>
  <c r="N23" i="1"/>
  <c r="Q23" i="1"/>
  <c r="K23" i="1"/>
  <c r="P23" i="1"/>
  <c r="L23" i="1"/>
  <c r="M167" i="1"/>
  <c r="K167" i="1"/>
  <c r="Q167" i="1"/>
  <c r="I167" i="1"/>
  <c r="L167" i="1"/>
  <c r="H167" i="1"/>
  <c r="G167" i="1" s="1"/>
  <c r="J51" i="1"/>
  <c r="P51" i="1"/>
  <c r="N51" i="1"/>
  <c r="Q51" i="1"/>
  <c r="I51" i="1"/>
  <c r="L51" i="1"/>
  <c r="K51" i="1"/>
  <c r="H116" i="1"/>
  <c r="G116" i="1" s="1"/>
  <c r="Q116" i="1"/>
  <c r="O116" i="1"/>
  <c r="N116" i="1"/>
  <c r="P116" i="1"/>
  <c r="L116" i="1"/>
  <c r="P160" i="1"/>
  <c r="N160" i="1"/>
  <c r="Q160" i="1"/>
  <c r="I160" i="1"/>
  <c r="M61" i="1"/>
  <c r="L61" i="1"/>
  <c r="J179" i="1"/>
  <c r="Q179" i="1"/>
  <c r="L179" i="1"/>
  <c r="H179" i="1"/>
  <c r="G179" i="1" s="1"/>
  <c r="N179" i="1"/>
  <c r="K179" i="1"/>
  <c r="I132" i="1"/>
  <c r="Q132" i="1"/>
  <c r="J132" i="1"/>
  <c r="H24" i="1"/>
  <c r="G24" i="1" s="1"/>
  <c r="I24" i="1"/>
  <c r="O24" i="1"/>
  <c r="N24" i="1"/>
  <c r="L24" i="1"/>
  <c r="I116" i="1"/>
  <c r="O51" i="1"/>
  <c r="N202" i="1"/>
  <c r="L17" i="1"/>
  <c r="M132" i="1"/>
  <c r="O179" i="1"/>
  <c r="M179" i="1"/>
  <c r="P17" i="1"/>
  <c r="H71" i="1"/>
  <c r="G71" i="1" s="1"/>
  <c r="P196" i="1"/>
  <c r="O203" i="1"/>
  <c r="N188" i="1"/>
  <c r="I166" i="1"/>
  <c r="M24" i="1"/>
  <c r="J131" i="1"/>
  <c r="M160" i="1"/>
  <c r="I195" i="1"/>
  <c r="M116" i="1"/>
  <c r="M202" i="1"/>
  <c r="I179" i="1"/>
  <c r="J85" i="1"/>
  <c r="K71" i="1"/>
  <c r="L132" i="1"/>
  <c r="H17" i="1"/>
  <c r="G17" i="1" s="1"/>
  <c r="P179" i="1"/>
  <c r="N67" i="1"/>
  <c r="P21" i="1"/>
  <c r="H173" i="1"/>
  <c r="G173" i="1" s="1"/>
  <c r="P126" i="1"/>
  <c r="M98" i="1"/>
  <c r="N98" i="1"/>
  <c r="M72" i="1"/>
  <c r="N40" i="1"/>
  <c r="J190" i="1"/>
  <c r="M44" i="1"/>
  <c r="I191" i="1"/>
  <c r="O27" i="1"/>
  <c r="O42" i="1"/>
  <c r="H157" i="1"/>
  <c r="G157" i="1" s="1"/>
  <c r="M62" i="1"/>
  <c r="I138" i="1"/>
  <c r="I62" i="1"/>
  <c r="J157" i="1"/>
  <c r="K148" i="1"/>
  <c r="L92" i="1"/>
  <c r="J96" i="1"/>
  <c r="P148" i="1"/>
  <c r="Q170" i="1"/>
  <c r="P40" i="1"/>
  <c r="O181" i="1"/>
  <c r="Q97" i="1"/>
  <c r="I27" i="1"/>
  <c r="Q34" i="1"/>
  <c r="O170" i="1"/>
  <c r="K64" i="1"/>
  <c r="I92" i="1"/>
  <c r="I84" i="1"/>
  <c r="I105" i="1"/>
  <c r="O40" i="1"/>
  <c r="H129" i="1"/>
  <c r="J129" i="1"/>
  <c r="K34" i="1"/>
  <c r="R199" i="1"/>
  <c r="K96" i="1"/>
  <c r="N74" i="1"/>
  <c r="I44" i="1"/>
  <c r="R44" i="1" s="1"/>
  <c r="O101" i="1"/>
  <c r="N27" i="1"/>
  <c r="N148" i="1"/>
  <c r="O157" i="1"/>
  <c r="L74" i="1"/>
  <c r="R74" i="1" s="1"/>
  <c r="L157" i="1"/>
  <c r="Q62" i="1"/>
  <c r="P74" i="1"/>
  <c r="P138" i="1"/>
  <c r="N157" i="1"/>
  <c r="I134" i="1"/>
  <c r="Q134" i="1"/>
  <c r="P190" i="1"/>
  <c r="L191" i="1"/>
  <c r="Q191" i="1"/>
  <c r="Q42" i="1"/>
  <c r="Q129" i="1"/>
  <c r="Q79" i="1"/>
  <c r="Q140" i="1"/>
  <c r="H134" i="1"/>
  <c r="G134" i="1" s="1"/>
  <c r="Q53" i="1"/>
  <c r="P107" i="1"/>
  <c r="Q92" i="1"/>
  <c r="K92" i="1"/>
  <c r="I34" i="1"/>
  <c r="M181" i="1"/>
  <c r="H190" i="1"/>
  <c r="G190" i="1" s="1"/>
  <c r="L170" i="1"/>
  <c r="R170" i="1" s="1"/>
  <c r="O129" i="1"/>
  <c r="N129" i="1"/>
  <c r="L42" i="1"/>
  <c r="R42" i="1" s="1"/>
  <c r="N42" i="1"/>
  <c r="O96" i="1"/>
  <c r="O44" i="1"/>
  <c r="K191" i="1"/>
  <c r="M27" i="1"/>
  <c r="H27" i="1"/>
  <c r="G27" i="1" s="1"/>
  <c r="L62" i="1"/>
  <c r="O138" i="1"/>
  <c r="K62" i="1"/>
  <c r="O74" i="1"/>
  <c r="I148" i="1"/>
  <c r="R148" i="1" s="1"/>
  <c r="I157" i="1"/>
  <c r="H138" i="1"/>
  <c r="G138" i="1" s="1"/>
  <c r="K74" i="1"/>
  <c r="N138" i="1"/>
  <c r="J191" i="1"/>
  <c r="P129" i="1"/>
  <c r="K170" i="1"/>
  <c r="Q64" i="1"/>
  <c r="P92" i="1"/>
  <c r="J34" i="1"/>
  <c r="I190" i="1"/>
  <c r="H34" i="1"/>
  <c r="G34" i="1" s="1"/>
  <c r="H118" i="1"/>
  <c r="G118" i="1" s="1"/>
  <c r="K20" i="1"/>
  <c r="M20" i="1"/>
  <c r="H45" i="1"/>
  <c r="G45" i="1" s="1"/>
  <c r="J108" i="1"/>
  <c r="L136" i="1"/>
  <c r="M164" i="1"/>
  <c r="M54" i="1"/>
  <c r="J187" i="1"/>
  <c r="Q54" i="1"/>
  <c r="L187" i="1"/>
  <c r="Q85" i="1"/>
  <c r="I114" i="1"/>
  <c r="H31" i="1"/>
  <c r="G31" i="1" s="1"/>
  <c r="Q119" i="1"/>
  <c r="P60" i="1"/>
  <c r="P112" i="1"/>
  <c r="P139" i="1"/>
  <c r="P45" i="1"/>
  <c r="P136" i="1"/>
  <c r="Q203" i="1"/>
  <c r="P117" i="1"/>
  <c r="P89" i="1"/>
  <c r="L163" i="1"/>
  <c r="M136" i="1"/>
  <c r="P118" i="1"/>
  <c r="L196" i="1"/>
  <c r="J136" i="1"/>
  <c r="O196" i="1"/>
  <c r="H117" i="1"/>
  <c r="G117" i="1" s="1"/>
  <c r="H177" i="1"/>
  <c r="G177" i="1" s="1"/>
  <c r="I136" i="1"/>
  <c r="M182" i="1"/>
  <c r="H103" i="1"/>
  <c r="G103" i="1" s="1"/>
  <c r="O117" i="1"/>
  <c r="K35" i="1"/>
  <c r="I49" i="1"/>
  <c r="M114" i="1"/>
  <c r="I118" i="1"/>
  <c r="J20" i="1"/>
  <c r="J166" i="1"/>
  <c r="H164" i="1"/>
  <c r="G164" i="1" s="1"/>
  <c r="M45" i="1"/>
  <c r="K108" i="1"/>
  <c r="M108" i="1"/>
  <c r="H120" i="1"/>
  <c r="G120" i="1" s="1"/>
  <c r="K83" i="1"/>
  <c r="N83" i="1"/>
  <c r="L85" i="1"/>
  <c r="H54" i="1"/>
  <c r="G54" i="1" s="1"/>
  <c r="N187" i="1"/>
  <c r="O54" i="1"/>
  <c r="P54" i="1"/>
  <c r="P85" i="1"/>
  <c r="L114" i="1"/>
  <c r="N60" i="1"/>
  <c r="O112" i="1"/>
  <c r="N139" i="1"/>
  <c r="M31" i="1"/>
  <c r="P203" i="1"/>
  <c r="Q35" i="1"/>
  <c r="J117" i="1"/>
  <c r="Q89" i="1"/>
  <c r="L182" i="1"/>
  <c r="Q177" i="1"/>
  <c r="M117" i="1"/>
  <c r="H89" i="1"/>
  <c r="G89" i="1" s="1"/>
  <c r="M139" i="1"/>
  <c r="N35" i="1"/>
  <c r="J188" i="1"/>
  <c r="H203" i="1"/>
  <c r="G203" i="1" s="1"/>
  <c r="H127" i="1"/>
  <c r="G127" i="1" s="1"/>
  <c r="O35" i="1"/>
  <c r="H49" i="1"/>
  <c r="G49" i="1" s="1"/>
  <c r="L49" i="1"/>
  <c r="N118" i="1"/>
  <c r="H20" i="1"/>
  <c r="G20" i="1" s="1"/>
  <c r="L164" i="1"/>
  <c r="O108" i="1"/>
  <c r="N85" i="1"/>
  <c r="M85" i="1"/>
  <c r="L54" i="1"/>
  <c r="N54" i="1"/>
  <c r="K85" i="1"/>
  <c r="M83" i="1"/>
  <c r="J54" i="1"/>
  <c r="Q83" i="1"/>
  <c r="O85" i="1"/>
  <c r="Q164" i="1"/>
  <c r="J182" i="1"/>
  <c r="Q114" i="1"/>
  <c r="Q120" i="1"/>
  <c r="Q182" i="1"/>
  <c r="Q103" i="1"/>
  <c r="P35" i="1"/>
  <c r="M89" i="1"/>
  <c r="Q20" i="1"/>
  <c r="P177" i="1"/>
  <c r="N182" i="1"/>
  <c r="H196" i="1"/>
  <c r="G196" i="1" s="1"/>
  <c r="N166" i="1"/>
  <c r="L117" i="1"/>
  <c r="J60" i="1"/>
  <c r="N103" i="1"/>
  <c r="I35" i="1"/>
  <c r="H60" i="1"/>
  <c r="G60" i="1" s="1"/>
  <c r="H47" i="1"/>
  <c r="G47" i="1" s="1"/>
  <c r="K203" i="1"/>
  <c r="O188" i="1"/>
  <c r="M103" i="1"/>
  <c r="L188" i="1"/>
  <c r="K166" i="1"/>
  <c r="J164" i="1"/>
  <c r="K49" i="1"/>
  <c r="K118" i="1"/>
  <c r="L118" i="1"/>
  <c r="L20" i="1"/>
  <c r="K164" i="1"/>
  <c r="I45" i="1"/>
  <c r="H108" i="1"/>
  <c r="G108" i="1" s="1"/>
  <c r="K54" i="1"/>
  <c r="I85" i="1"/>
  <c r="H83" i="1"/>
  <c r="G83" i="1" s="1"/>
  <c r="P83" i="1"/>
  <c r="P164" i="1"/>
  <c r="Q108" i="1"/>
  <c r="P114" i="1"/>
  <c r="P120" i="1"/>
  <c r="P182" i="1"/>
  <c r="P103" i="1"/>
  <c r="Q188" i="1"/>
  <c r="J31" i="1"/>
  <c r="Q49" i="1"/>
  <c r="I31" i="1"/>
  <c r="O182" i="1"/>
  <c r="P20" i="1"/>
  <c r="P166" i="1"/>
  <c r="M196" i="1"/>
  <c r="K117" i="1"/>
  <c r="I21" i="1"/>
  <c r="N112" i="1"/>
  <c r="L60" i="1"/>
  <c r="M203" i="1"/>
  <c r="L112" i="1"/>
  <c r="N203" i="1"/>
  <c r="O103" i="1"/>
  <c r="M35" i="1"/>
  <c r="N49" i="1"/>
  <c r="O118" i="1"/>
  <c r="I20" i="1"/>
  <c r="H187" i="1"/>
  <c r="G187" i="1" s="1"/>
  <c r="I164" i="1"/>
  <c r="I108" i="1"/>
  <c r="J114" i="1"/>
  <c r="Q187" i="1"/>
  <c r="P108" i="1"/>
  <c r="Q31" i="1"/>
  <c r="N136" i="1"/>
  <c r="P188" i="1"/>
  <c r="P49" i="1"/>
  <c r="Q21" i="1"/>
  <c r="Q163" i="1"/>
  <c r="H114" i="1"/>
  <c r="G114" i="1" s="1"/>
  <c r="N31" i="1"/>
  <c r="Q196" i="1"/>
  <c r="Q166" i="1"/>
  <c r="K31" i="1"/>
  <c r="I196" i="1"/>
  <c r="O166" i="1"/>
  <c r="H166" i="1"/>
  <c r="G166" i="1" s="1"/>
  <c r="R19" i="1"/>
  <c r="L31" i="1"/>
  <c r="H112" i="1"/>
  <c r="G112" i="1" s="1"/>
  <c r="I188" i="1"/>
  <c r="R106" i="1"/>
  <c r="R154" i="1"/>
  <c r="R130" i="1"/>
  <c r="R109" i="1"/>
  <c r="R22" i="1"/>
  <c r="H184" i="1"/>
  <c r="K184" i="1"/>
  <c r="N184" i="1"/>
  <c r="O30" i="1"/>
  <c r="N30" i="1"/>
  <c r="L30" i="1"/>
  <c r="J30" i="1"/>
  <c r="M178" i="1"/>
  <c r="O178" i="1"/>
  <c r="H178" i="1"/>
  <c r="G178" i="1" s="1"/>
  <c r="L178" i="1"/>
  <c r="K178" i="1"/>
  <c r="O6" i="1"/>
  <c r="L6" i="1"/>
  <c r="K6" i="1"/>
  <c r="J197" i="1"/>
  <c r="N197" i="1"/>
  <c r="I197" i="1"/>
  <c r="O197" i="1"/>
  <c r="K197" i="1"/>
  <c r="H197" i="1"/>
  <c r="G197" i="1" s="1"/>
  <c r="I175" i="1"/>
  <c r="J175" i="1"/>
  <c r="N175" i="1"/>
  <c r="O175" i="1"/>
  <c r="M175" i="1"/>
  <c r="L175" i="1"/>
  <c r="K175" i="1"/>
  <c r="H175" i="1"/>
  <c r="G175" i="1" s="1"/>
  <c r="I133" i="1"/>
  <c r="K133" i="1"/>
  <c r="J143" i="1"/>
  <c r="M143" i="1"/>
  <c r="O66" i="1"/>
  <c r="H66" i="1"/>
  <c r="G66" i="1" s="1"/>
  <c r="J66" i="1"/>
  <c r="M66" i="1"/>
  <c r="N66" i="1"/>
  <c r="K66" i="1"/>
  <c r="L66" i="1"/>
  <c r="I156" i="1"/>
  <c r="K156" i="1"/>
  <c r="O156" i="1"/>
  <c r="M156" i="1"/>
  <c r="J156" i="1"/>
  <c r="N156" i="1"/>
  <c r="H156" i="1"/>
  <c r="G156" i="1" s="1"/>
  <c r="M113" i="1"/>
  <c r="O113" i="1"/>
  <c r="K113" i="1"/>
  <c r="J113" i="1"/>
  <c r="O48" i="1"/>
  <c r="L48" i="1"/>
  <c r="J48" i="1"/>
  <c r="M48" i="1"/>
  <c r="K65" i="1"/>
  <c r="I80" i="1"/>
  <c r="R80" i="1" s="1"/>
  <c r="M197" i="1"/>
  <c r="O41" i="1"/>
  <c r="K25" i="1"/>
  <c r="K81" i="1"/>
  <c r="O115" i="1"/>
  <c r="J204" i="1"/>
  <c r="M25" i="1"/>
  <c r="K90" i="1"/>
  <c r="H113" i="1"/>
  <c r="G113" i="1" s="1"/>
  <c r="H143" i="1"/>
  <c r="G143" i="1" s="1"/>
  <c r="O78" i="1"/>
  <c r="N165" i="1"/>
  <c r="N146" i="1"/>
  <c r="O198" i="1"/>
  <c r="I73" i="1"/>
  <c r="H81" i="1"/>
  <c r="G81" i="1" s="1"/>
  <c r="J171" i="1"/>
  <c r="N73" i="1"/>
  <c r="O204" i="1"/>
  <c r="H8" i="1"/>
  <c r="G8" i="1" s="1"/>
  <c r="I8" i="1"/>
  <c r="M8" i="1"/>
  <c r="K142" i="1"/>
  <c r="Q81" i="1"/>
  <c r="Q171" i="1"/>
  <c r="Q146" i="1"/>
  <c r="Q10" i="1"/>
  <c r="P198" i="1"/>
  <c r="Q73" i="1"/>
  <c r="Q8" i="1"/>
  <c r="P115" i="1"/>
  <c r="Q204" i="1"/>
  <c r="M207" i="1"/>
  <c r="Q125" i="1"/>
  <c r="Q90" i="1"/>
  <c r="P145" i="1"/>
  <c r="Q156" i="1"/>
  <c r="P143" i="1"/>
  <c r="P207" i="1"/>
  <c r="P56" i="1"/>
  <c r="P127" i="1"/>
  <c r="M137" i="1"/>
  <c r="O200" i="1"/>
  <c r="Q80" i="1"/>
  <c r="P94" i="1"/>
  <c r="P151" i="1"/>
  <c r="P77" i="1"/>
  <c r="L142" i="1"/>
  <c r="R142" i="1" s="1"/>
  <c r="Q178" i="1"/>
  <c r="Q201" i="1"/>
  <c r="P141" i="1"/>
  <c r="I77" i="1"/>
  <c r="K201" i="1"/>
  <c r="O141" i="1"/>
  <c r="N124" i="1"/>
  <c r="I113" i="1"/>
  <c r="M6" i="1"/>
  <c r="J184" i="1"/>
  <c r="N7" i="1"/>
  <c r="N94" i="1"/>
  <c r="K111" i="1"/>
  <c r="O143" i="1"/>
  <c r="M59" i="1"/>
  <c r="L111" i="1"/>
  <c r="I47" i="1"/>
  <c r="K153" i="1"/>
  <c r="I153" i="1"/>
  <c r="K89" i="1"/>
  <c r="L89" i="1"/>
  <c r="I89" i="1"/>
  <c r="N89" i="1"/>
  <c r="J89" i="1"/>
  <c r="K163" i="1"/>
  <c r="N163" i="1"/>
  <c r="I163" i="1"/>
  <c r="H163" i="1"/>
  <c r="G163" i="1" s="1"/>
  <c r="O163" i="1"/>
  <c r="M188" i="1"/>
  <c r="K188" i="1"/>
  <c r="M177" i="1"/>
  <c r="L177" i="1"/>
  <c r="N177" i="1"/>
  <c r="O177" i="1"/>
  <c r="K177" i="1"/>
  <c r="J196" i="1"/>
  <c r="N196" i="1"/>
  <c r="K21" i="1"/>
  <c r="O21" i="1"/>
  <c r="M21" i="1"/>
  <c r="N21" i="1"/>
  <c r="H21" i="1"/>
  <c r="G21" i="1" s="1"/>
  <c r="J103" i="1"/>
  <c r="L103" i="1"/>
  <c r="I203" i="1"/>
  <c r="J203" i="1"/>
  <c r="K45" i="1"/>
  <c r="N45" i="1"/>
  <c r="O45" i="1"/>
  <c r="I139" i="1"/>
  <c r="K139" i="1"/>
  <c r="O139" i="1"/>
  <c r="H139" i="1"/>
  <c r="G139" i="1" s="1"/>
  <c r="K112" i="1"/>
  <c r="M112" i="1"/>
  <c r="J112" i="1"/>
  <c r="M60" i="1"/>
  <c r="O60" i="1"/>
  <c r="K60" i="1"/>
  <c r="I119" i="1"/>
  <c r="O119" i="1"/>
  <c r="L119" i="1"/>
  <c r="M119" i="1"/>
  <c r="H119" i="1"/>
  <c r="G119" i="1" s="1"/>
  <c r="N119" i="1"/>
  <c r="J119" i="1"/>
  <c r="K119" i="1"/>
  <c r="J120" i="1"/>
  <c r="M120" i="1"/>
  <c r="K120" i="1"/>
  <c r="N120" i="1"/>
  <c r="L120" i="1"/>
  <c r="O120" i="1"/>
  <c r="L83" i="1"/>
  <c r="J83" i="1"/>
  <c r="O83" i="1"/>
  <c r="P178" i="1"/>
  <c r="M184" i="1"/>
  <c r="H6" i="1"/>
  <c r="G6" i="1" s="1"/>
  <c r="K30" i="1"/>
  <c r="L100" i="1"/>
  <c r="J100" i="1"/>
  <c r="M100" i="1"/>
  <c r="H165" i="1"/>
  <c r="G165" i="1" s="1"/>
  <c r="I165" i="1"/>
  <c r="N141" i="1"/>
  <c r="N8" i="1"/>
  <c r="K204" i="1"/>
  <c r="N90" i="1"/>
  <c r="I58" i="1"/>
  <c r="H78" i="1"/>
  <c r="G78" i="1" s="1"/>
  <c r="J63" i="1"/>
  <c r="J207" i="1"/>
  <c r="H33" i="1"/>
  <c r="G33" i="1" s="1"/>
  <c r="M10" i="1"/>
  <c r="N10" i="1"/>
  <c r="I10" i="1"/>
  <c r="J81" i="1"/>
  <c r="L115" i="1"/>
  <c r="K77" i="1"/>
  <c r="N77" i="1"/>
  <c r="O81" i="1"/>
  <c r="N171" i="1"/>
  <c r="L146" i="1"/>
  <c r="H10" i="1"/>
  <c r="G10" i="1" s="1"/>
  <c r="K198" i="1"/>
  <c r="M73" i="1"/>
  <c r="K8" i="1"/>
  <c r="N115" i="1"/>
  <c r="M165" i="1"/>
  <c r="I204" i="1"/>
  <c r="R204" i="1" s="1"/>
  <c r="K63" i="1"/>
  <c r="N207" i="1"/>
  <c r="H192" i="1"/>
  <c r="G192" i="1" s="1"/>
  <c r="J200" i="1"/>
  <c r="Q78" i="1"/>
  <c r="J125" i="1"/>
  <c r="Q200" i="1"/>
  <c r="P63" i="1"/>
  <c r="P185" i="1"/>
  <c r="P48" i="1"/>
  <c r="L156" i="1"/>
  <c r="P100" i="1"/>
  <c r="P25" i="1"/>
  <c r="Q153" i="1"/>
  <c r="P33" i="1"/>
  <c r="Q175" i="1"/>
  <c r="P30" i="1"/>
  <c r="K192" i="1"/>
  <c r="Q6" i="1"/>
  <c r="H124" i="1"/>
  <c r="G124" i="1" s="1"/>
  <c r="J142" i="1"/>
  <c r="K151" i="1"/>
  <c r="I124" i="1"/>
  <c r="I7" i="1"/>
  <c r="K100" i="1"/>
  <c r="H48" i="1"/>
  <c r="G48" i="1" s="1"/>
  <c r="N145" i="1"/>
  <c r="M111" i="1"/>
  <c r="H137" i="1"/>
  <c r="G137" i="1" s="1"/>
  <c r="L137" i="1"/>
  <c r="J128" i="1"/>
  <c r="H128" i="1"/>
  <c r="G128" i="1" s="1"/>
  <c r="N128" i="1"/>
  <c r="M128" i="1"/>
  <c r="I128" i="1"/>
  <c r="O128" i="1"/>
  <c r="K128" i="1"/>
  <c r="L128" i="1"/>
  <c r="L173" i="1"/>
  <c r="O173" i="1"/>
  <c r="N173" i="1"/>
  <c r="K173" i="1"/>
  <c r="M173" i="1"/>
  <c r="N126" i="1"/>
  <c r="J126" i="1"/>
  <c r="M126" i="1"/>
  <c r="O126" i="1"/>
  <c r="K126" i="1"/>
  <c r="I126" i="1"/>
  <c r="H126" i="1"/>
  <c r="G126" i="1" s="1"/>
  <c r="H193" i="1"/>
  <c r="G193" i="1" s="1"/>
  <c r="I193" i="1"/>
  <c r="L193" i="1"/>
  <c r="N193" i="1"/>
  <c r="J67" i="1"/>
  <c r="H67" i="1"/>
  <c r="G67" i="1" s="1"/>
  <c r="O67" i="1"/>
  <c r="L67" i="1"/>
  <c r="K67" i="1"/>
  <c r="I67" i="1"/>
  <c r="M67" i="1"/>
  <c r="K208" i="1"/>
  <c r="N208" i="1"/>
  <c r="H208" i="1"/>
  <c r="G208" i="1" s="1"/>
  <c r="J23" i="1"/>
  <c r="H23" i="1"/>
  <c r="G23" i="1" s="1"/>
  <c r="N167" i="1"/>
  <c r="J167" i="1"/>
  <c r="M46" i="1"/>
  <c r="O46" i="1"/>
  <c r="O195" i="1"/>
  <c r="N195" i="1"/>
  <c r="H160" i="1"/>
  <c r="G160" i="1" s="1"/>
  <c r="J160" i="1"/>
  <c r="L160" i="1"/>
  <c r="L72" i="1"/>
  <c r="N72" i="1"/>
  <c r="H72" i="1"/>
  <c r="G72" i="1" s="1"/>
  <c r="J61" i="1"/>
  <c r="O61" i="1"/>
  <c r="I61" i="1"/>
  <c r="H61" i="1"/>
  <c r="G61" i="1" s="1"/>
  <c r="N61" i="1"/>
  <c r="K61" i="1"/>
  <c r="O131" i="1"/>
  <c r="H131" i="1"/>
  <c r="G131" i="1" s="1"/>
  <c r="N131" i="1"/>
  <c r="M131" i="1"/>
  <c r="I169" i="1"/>
  <c r="J169" i="1"/>
  <c r="M169" i="1"/>
  <c r="H169" i="1"/>
  <c r="G169" i="1" s="1"/>
  <c r="N169" i="1"/>
  <c r="O169" i="1"/>
  <c r="K169" i="1"/>
  <c r="L169" i="1"/>
  <c r="N17" i="1"/>
  <c r="J17" i="1"/>
  <c r="O124" i="1"/>
  <c r="I137" i="1"/>
  <c r="N47" i="1"/>
  <c r="L47" i="1"/>
  <c r="O47" i="1"/>
  <c r="J47" i="1"/>
  <c r="M75" i="1"/>
  <c r="N75" i="1"/>
  <c r="H75" i="1"/>
  <c r="G75" i="1" s="1"/>
  <c r="I75" i="1"/>
  <c r="J75" i="1"/>
  <c r="I201" i="1"/>
  <c r="M201" i="1"/>
  <c r="I121" i="1"/>
  <c r="L121" i="1"/>
  <c r="M121" i="1"/>
  <c r="K121" i="1"/>
  <c r="H121" i="1"/>
  <c r="G121" i="1" s="1"/>
  <c r="O121" i="1"/>
  <c r="J121" i="1"/>
  <c r="O185" i="1"/>
  <c r="I185" i="1"/>
  <c r="H59" i="1"/>
  <c r="G59" i="1" s="1"/>
  <c r="N59" i="1"/>
  <c r="K5" i="1"/>
  <c r="M5" i="1"/>
  <c r="I5" i="1"/>
  <c r="N5" i="1"/>
  <c r="O5" i="1"/>
  <c r="J5" i="1"/>
  <c r="O65" i="1"/>
  <c r="I41" i="1"/>
  <c r="O142" i="1"/>
  <c r="L65" i="1"/>
  <c r="R65" i="1" s="1"/>
  <c r="H56" i="1"/>
  <c r="G56" i="1" s="1"/>
  <c r="J178" i="1"/>
  <c r="N81" i="1"/>
  <c r="L8" i="1"/>
  <c r="O165" i="1"/>
  <c r="I56" i="1"/>
  <c r="M90" i="1"/>
  <c r="L59" i="1"/>
  <c r="O58" i="1"/>
  <c r="O63" i="1"/>
  <c r="I78" i="1"/>
  <c r="J38" i="1"/>
  <c r="J192" i="1"/>
  <c r="I207" i="1"/>
  <c r="M33" i="1"/>
  <c r="J10" i="1"/>
  <c r="K115" i="1"/>
  <c r="M198" i="1"/>
  <c r="N204" i="1"/>
  <c r="M81" i="1"/>
  <c r="K171" i="1"/>
  <c r="N185" i="1"/>
  <c r="P78" i="1"/>
  <c r="P200" i="1"/>
  <c r="P133" i="1"/>
  <c r="J185" i="1"/>
  <c r="P5" i="1"/>
  <c r="I48" i="1"/>
  <c r="Q66" i="1"/>
  <c r="O207" i="1"/>
  <c r="N25" i="1"/>
  <c r="Q65" i="1"/>
  <c r="P153" i="1"/>
  <c r="M133" i="1"/>
  <c r="P175" i="1"/>
  <c r="Q197" i="1"/>
  <c r="I30" i="1"/>
  <c r="N125" i="1"/>
  <c r="P6" i="1"/>
  <c r="Q184" i="1"/>
  <c r="Q75" i="1"/>
  <c r="Q124" i="1"/>
  <c r="H185" i="1"/>
  <c r="G185" i="1" s="1"/>
  <c r="L133" i="1"/>
  <c r="M141" i="1"/>
  <c r="N142" i="1"/>
  <c r="J6" i="1"/>
  <c r="I6" i="1"/>
  <c r="N201" i="1"/>
  <c r="O100" i="1"/>
  <c r="N143" i="1"/>
  <c r="N48" i="1"/>
  <c r="H153" i="1"/>
  <c r="G153" i="1" s="1"/>
  <c r="O137" i="1"/>
  <c r="O105" i="1"/>
  <c r="N105" i="1"/>
  <c r="K105" i="1"/>
  <c r="L105" i="1"/>
  <c r="M105" i="1"/>
  <c r="M107" i="1"/>
  <c r="K107" i="1"/>
  <c r="J107" i="1"/>
  <c r="O107" i="1"/>
  <c r="N107" i="1"/>
  <c r="L107" i="1"/>
  <c r="H53" i="1"/>
  <c r="G53" i="1" s="1"/>
  <c r="K53" i="1"/>
  <c r="M53" i="1"/>
  <c r="O53" i="1"/>
  <c r="L53" i="1"/>
  <c r="I140" i="1"/>
  <c r="O140" i="1"/>
  <c r="M140" i="1"/>
  <c r="N140" i="1"/>
  <c r="H140" i="1"/>
  <c r="G140" i="1" s="1"/>
  <c r="L140" i="1"/>
  <c r="K140" i="1"/>
  <c r="H84" i="1"/>
  <c r="G84" i="1" s="1"/>
  <c r="L84" i="1"/>
  <c r="O84" i="1"/>
  <c r="M84" i="1"/>
  <c r="K84" i="1"/>
  <c r="J84" i="1"/>
  <c r="M79" i="1"/>
  <c r="N79" i="1"/>
  <c r="N191" i="1"/>
  <c r="M191" i="1"/>
  <c r="L101" i="1"/>
  <c r="R101" i="1" s="1"/>
  <c r="N101" i="1"/>
  <c r="K134" i="1"/>
  <c r="M134" i="1"/>
  <c r="J97" i="1"/>
  <c r="O97" i="1"/>
  <c r="M190" i="1"/>
  <c r="N190" i="1"/>
  <c r="O190" i="1"/>
  <c r="I181" i="1"/>
  <c r="H181" i="1"/>
  <c r="G181" i="1" s="1"/>
  <c r="J181" i="1"/>
  <c r="N181" i="1"/>
  <c r="L181" i="1"/>
  <c r="K181" i="1"/>
  <c r="L180" i="1"/>
  <c r="J180" i="1"/>
  <c r="I180" i="1"/>
  <c r="M180" i="1"/>
  <c r="O180" i="1"/>
  <c r="K180" i="1"/>
  <c r="H180" i="1"/>
  <c r="G180" i="1" s="1"/>
  <c r="H40" i="1"/>
  <c r="M40" i="1"/>
  <c r="J40" i="1"/>
  <c r="O184" i="1"/>
  <c r="H111" i="1"/>
  <c r="G111" i="1" s="1"/>
  <c r="J7" i="1"/>
  <c r="M7" i="1"/>
  <c r="O7" i="1"/>
  <c r="H7" i="1"/>
  <c r="G7" i="1" s="1"/>
  <c r="K7" i="1"/>
  <c r="L7" i="1"/>
  <c r="N151" i="1"/>
  <c r="O151" i="1"/>
  <c r="J151" i="1"/>
  <c r="L94" i="1"/>
  <c r="H94" i="1"/>
  <c r="G94" i="1" s="1"/>
  <c r="J33" i="1"/>
  <c r="L33" i="1"/>
  <c r="O33" i="1"/>
  <c r="I127" i="1"/>
  <c r="O127" i="1"/>
  <c r="H58" i="1"/>
  <c r="G58" i="1" s="1"/>
  <c r="N58" i="1"/>
  <c r="M145" i="1"/>
  <c r="I145" i="1"/>
  <c r="K145" i="1"/>
  <c r="J145" i="1"/>
  <c r="I189" i="1"/>
  <c r="L189" i="1"/>
  <c r="K189" i="1"/>
  <c r="M189" i="1"/>
  <c r="O189" i="1"/>
  <c r="J189" i="1"/>
  <c r="H189" i="1"/>
  <c r="G189" i="1" s="1"/>
  <c r="N189" i="1"/>
  <c r="K146" i="1"/>
  <c r="I146" i="1"/>
  <c r="N127" i="1"/>
  <c r="N153" i="1"/>
  <c r="N80" i="1"/>
  <c r="N56" i="1"/>
  <c r="L153" i="1"/>
  <c r="K80" i="1"/>
  <c r="L41" i="1"/>
  <c r="N65" i="1"/>
  <c r="M65" i="1"/>
  <c r="J111" i="1"/>
  <c r="M56" i="1"/>
  <c r="O80" i="1"/>
  <c r="M80" i="1"/>
  <c r="L38" i="1"/>
  <c r="K41" i="1"/>
  <c r="M41" i="1"/>
  <c r="N178" i="1"/>
  <c r="K38" i="1"/>
  <c r="H73" i="1"/>
  <c r="G73" i="1" s="1"/>
  <c r="J115" i="1"/>
  <c r="L165" i="1"/>
  <c r="H38" i="1"/>
  <c r="G38" i="1" s="1"/>
  <c r="H90" i="1"/>
  <c r="O59" i="1"/>
  <c r="K143" i="1"/>
  <c r="K56" i="1"/>
  <c r="M63" i="1"/>
  <c r="M78" i="1"/>
  <c r="I38" i="1"/>
  <c r="N192" i="1"/>
  <c r="I33" i="1"/>
  <c r="O10" i="1"/>
  <c r="K165" i="1"/>
  <c r="H198" i="1"/>
  <c r="G198" i="1" s="1"/>
  <c r="I115" i="1"/>
  <c r="J146" i="1"/>
  <c r="L198" i="1"/>
  <c r="I171" i="1"/>
  <c r="R171" i="1" s="1"/>
  <c r="H77" i="1"/>
  <c r="G77" i="1" s="1"/>
  <c r="J133" i="1"/>
  <c r="K207" i="1"/>
  <c r="P38" i="1"/>
  <c r="Q133" i="1"/>
  <c r="Q192" i="1"/>
  <c r="L5" i="1"/>
  <c r="Q113" i="1"/>
  <c r="P58" i="1"/>
  <c r="P66" i="1"/>
  <c r="M192" i="1"/>
  <c r="P65" i="1"/>
  <c r="Q111" i="1"/>
  <c r="Q137" i="1"/>
  <c r="M125" i="1"/>
  <c r="M200" i="1"/>
  <c r="P7" i="1"/>
  <c r="P197" i="1"/>
  <c r="Q47" i="1"/>
  <c r="H133" i="1"/>
  <c r="G133" i="1" s="1"/>
  <c r="Q41" i="1"/>
  <c r="N6" i="1"/>
  <c r="Q142" i="1"/>
  <c r="P184" i="1"/>
  <c r="P75" i="1"/>
  <c r="P124" i="1"/>
  <c r="N63" i="1"/>
  <c r="O125" i="1"/>
  <c r="I192" i="1"/>
  <c r="N133" i="1"/>
  <c r="M124" i="1"/>
  <c r="L141" i="1"/>
  <c r="J141" i="1"/>
  <c r="L201" i="1"/>
  <c r="I178" i="1"/>
  <c r="M94" i="1"/>
  <c r="K47" i="1"/>
  <c r="H30" i="1"/>
  <c r="G30" i="1" s="1"/>
  <c r="M30" i="1"/>
  <c r="O111" i="1"/>
  <c r="O145" i="1"/>
  <c r="J59" i="1"/>
  <c r="K58" i="1"/>
  <c r="L143" i="1"/>
  <c r="N200" i="1"/>
  <c r="J153" i="1"/>
  <c r="H100" i="1"/>
  <c r="G100" i="1" s="1"/>
  <c r="J127" i="1"/>
  <c r="M127" i="1"/>
  <c r="I122" i="1"/>
  <c r="O122" i="1"/>
  <c r="H122" i="1"/>
  <c r="G122" i="1" s="1"/>
  <c r="K122" i="1"/>
  <c r="L122" i="1"/>
  <c r="K155" i="1"/>
  <c r="L155" i="1"/>
  <c r="M155" i="1"/>
  <c r="J155" i="1"/>
  <c r="I155" i="1"/>
  <c r="H155" i="1"/>
  <c r="G155" i="1" s="1"/>
  <c r="N155" i="1"/>
  <c r="M18" i="1"/>
  <c r="L18" i="1"/>
  <c r="I18" i="1"/>
  <c r="O18" i="1"/>
  <c r="K150" i="1"/>
  <c r="L150" i="1"/>
  <c r="O150" i="1"/>
  <c r="H150" i="1"/>
  <c r="G150" i="1" s="1"/>
  <c r="N150" i="1"/>
  <c r="M150" i="1"/>
  <c r="I150" i="1"/>
  <c r="K104" i="1"/>
  <c r="J104" i="1"/>
  <c r="M158" i="1"/>
  <c r="O158" i="1"/>
  <c r="H144" i="1"/>
  <c r="G144" i="1" s="1"/>
  <c r="L144" i="1"/>
  <c r="H186" i="1"/>
  <c r="K186" i="1"/>
  <c r="H152" i="1"/>
  <c r="G152" i="1" s="1"/>
  <c r="I152" i="1"/>
  <c r="J28" i="1"/>
  <c r="H28" i="1"/>
  <c r="G28" i="1" s="1"/>
  <c r="L28" i="1"/>
  <c r="L9" i="1"/>
  <c r="M9" i="1"/>
  <c r="K9" i="1"/>
  <c r="I9" i="1"/>
  <c r="I183" i="1"/>
  <c r="M183" i="1"/>
  <c r="N183" i="1"/>
  <c r="K183" i="1"/>
  <c r="J183" i="1"/>
  <c r="M149" i="1"/>
  <c r="I149" i="1"/>
  <c r="H149" i="1"/>
  <c r="G149" i="1" s="1"/>
  <c r="N149" i="1"/>
  <c r="J149" i="1"/>
  <c r="L149" i="1"/>
  <c r="K149" i="1"/>
  <c r="O149" i="1"/>
  <c r="M70" i="1"/>
  <c r="N70" i="1"/>
  <c r="K70" i="1"/>
  <c r="J123" i="1"/>
  <c r="K123" i="1"/>
  <c r="K159" i="1"/>
  <c r="O159" i="1"/>
  <c r="R206" i="1"/>
  <c r="R93" i="1"/>
  <c r="R29" i="1"/>
  <c r="R69" i="1"/>
  <c r="R161" i="1"/>
  <c r="R194" i="1"/>
  <c r="R110" i="1"/>
  <c r="R158" i="1"/>
  <c r="R95" i="1"/>
  <c r="R97" i="1"/>
  <c r="R172" i="1"/>
  <c r="R205" i="1"/>
  <c r="R99" i="1"/>
  <c r="R102" i="1"/>
  <c r="R36" i="1"/>
  <c r="R50" i="1"/>
  <c r="R25" i="1"/>
  <c r="R91" i="1"/>
  <c r="R147" i="1"/>
  <c r="R135" i="1"/>
  <c r="R96" i="1"/>
  <c r="R26" i="1"/>
  <c r="R82" i="1"/>
  <c r="R76" i="1"/>
  <c r="R159" i="1"/>
  <c r="R200" i="1"/>
  <c r="R123" i="1"/>
  <c r="R86" i="1"/>
  <c r="R125" i="1"/>
  <c r="R176" i="1" l="1"/>
  <c r="R168" i="1"/>
  <c r="R70" i="1"/>
  <c r="R43" i="1"/>
  <c r="R174" i="1"/>
  <c r="R68" i="1"/>
  <c r="R40" i="1"/>
  <c r="G40" i="1"/>
  <c r="R90" i="1"/>
  <c r="G90" i="1"/>
  <c r="R179" i="1"/>
  <c r="R184" i="1"/>
  <c r="G184" i="1"/>
  <c r="R129" i="1"/>
  <c r="G129" i="1"/>
  <c r="R186" i="1"/>
  <c r="G186" i="1"/>
  <c r="R183" i="1"/>
  <c r="R104" i="1"/>
  <c r="R87" i="1"/>
  <c r="R57" i="1"/>
  <c r="R107" i="1"/>
  <c r="R145" i="1"/>
  <c r="R151" i="1"/>
  <c r="R207" i="1"/>
  <c r="R141" i="1"/>
  <c r="R81" i="1"/>
  <c r="R64" i="1"/>
  <c r="R37" i="1"/>
  <c r="R63" i="1"/>
  <c r="R33" i="1"/>
  <c r="R195" i="1"/>
  <c r="R128" i="1"/>
  <c r="R56" i="1"/>
  <c r="R187" i="1"/>
  <c r="R165" i="1"/>
  <c r="R149" i="1"/>
  <c r="R160" i="1"/>
  <c r="R143" i="1"/>
  <c r="R167" i="1"/>
  <c r="R181" i="1"/>
  <c r="R116" i="1"/>
  <c r="R8" i="1"/>
  <c r="R45" i="1"/>
  <c r="R103" i="1"/>
  <c r="R196" i="1"/>
  <c r="R155" i="1"/>
  <c r="R133" i="1"/>
  <c r="R189" i="1"/>
  <c r="R38" i="1"/>
  <c r="R10" i="1"/>
  <c r="R188" i="1"/>
  <c r="R94" i="1"/>
  <c r="R6" i="1"/>
  <c r="R77" i="1"/>
  <c r="R18" i="1"/>
  <c r="R114" i="1"/>
  <c r="R169" i="1"/>
  <c r="R131" i="1"/>
  <c r="R208" i="1"/>
  <c r="R164" i="1"/>
  <c r="R20" i="1"/>
  <c r="R21" i="1"/>
  <c r="R35" i="1"/>
  <c r="R152" i="1"/>
  <c r="R202" i="1"/>
  <c r="R62" i="1"/>
  <c r="R127" i="1"/>
  <c r="R190" i="1"/>
  <c r="R203" i="1"/>
  <c r="R23" i="1"/>
  <c r="R34" i="1"/>
  <c r="R182" i="1"/>
  <c r="R9" i="1"/>
  <c r="R144" i="1"/>
  <c r="R59" i="1"/>
  <c r="R119" i="1"/>
  <c r="R78" i="1"/>
  <c r="R24" i="1"/>
  <c r="R153" i="1"/>
  <c r="R72" i="1"/>
  <c r="R113" i="1"/>
  <c r="R67" i="1"/>
  <c r="R112" i="1"/>
  <c r="R66" i="1"/>
  <c r="R138" i="1"/>
  <c r="R163" i="1"/>
  <c r="R178" i="1"/>
  <c r="R137" i="1"/>
  <c r="R150" i="1"/>
  <c r="R54" i="1"/>
  <c r="R197" i="1"/>
  <c r="R121" i="1"/>
  <c r="R124" i="1"/>
  <c r="R175" i="1"/>
  <c r="R28" i="1"/>
  <c r="R117" i="1"/>
  <c r="R162" i="1"/>
  <c r="R48" i="1"/>
  <c r="R111" i="1"/>
  <c r="R31" i="1"/>
  <c r="R89" i="1"/>
  <c r="R30" i="1"/>
  <c r="R139" i="1"/>
  <c r="R100" i="1"/>
  <c r="R173" i="1"/>
  <c r="R41" i="1"/>
  <c r="R156" i="1"/>
  <c r="R17" i="1"/>
  <c r="R115" i="1"/>
  <c r="R177" i="1"/>
  <c r="R132" i="1"/>
  <c r="R27" i="1"/>
  <c r="R39" i="1"/>
  <c r="R105" i="1"/>
  <c r="R118" i="1"/>
  <c r="R71" i="1"/>
  <c r="R55" i="1"/>
  <c r="R201" i="1"/>
  <c r="R120" i="1"/>
  <c r="R185" i="1"/>
  <c r="R108" i="1"/>
  <c r="R136" i="1"/>
  <c r="R88" i="1"/>
  <c r="R73" i="1"/>
  <c r="R85" i="1"/>
  <c r="R134" i="1"/>
  <c r="R92" i="1"/>
  <c r="R51" i="1"/>
  <c r="R193" i="1"/>
  <c r="R157" i="1"/>
  <c r="R191" i="1"/>
  <c r="R98" i="1"/>
  <c r="R60" i="1"/>
  <c r="R166" i="1"/>
  <c r="R49" i="1"/>
  <c r="R58" i="1"/>
  <c r="R192" i="1"/>
  <c r="R61" i="1"/>
  <c r="R5" i="1"/>
  <c r="R75" i="1"/>
  <c r="R47" i="1"/>
  <c r="R126" i="1"/>
  <c r="R180" i="1"/>
  <c r="R84" i="1"/>
  <c r="R122" i="1"/>
  <c r="R140" i="1"/>
  <c r="R53" i="1"/>
  <c r="R146" i="1"/>
  <c r="R83" i="1"/>
  <c r="R198" i="1"/>
  <c r="R7" i="1"/>
</calcChain>
</file>

<file path=xl/sharedStrings.xml><?xml version="1.0" encoding="utf-8"?>
<sst xmlns="http://schemas.openxmlformats.org/spreadsheetml/2006/main" count="6887" uniqueCount="5809">
  <si>
    <t>商品代碼</t>
  </si>
  <si>
    <t>商品名稱</t>
  </si>
  <si>
    <t>時間</t>
  </si>
  <si>
    <t>成交價</t>
  </si>
  <si>
    <t>漲跌</t>
  </si>
  <si>
    <t>單量</t>
  </si>
  <si>
    <t>開盤價</t>
  </si>
  <si>
    <t>最高價</t>
  </si>
  <si>
    <t>最低價</t>
  </si>
  <si>
    <t>成交量</t>
  </si>
  <si>
    <t>買價</t>
  </si>
  <si>
    <t>賣價</t>
  </si>
  <si>
    <t>理論價</t>
  </si>
  <si>
    <t>漲停價</t>
  </si>
  <si>
    <t>跌停價</t>
  </si>
  <si>
    <t>資料更新日期</t>
  </si>
  <si>
    <t>買價1</t>
  </si>
  <si>
    <t>買價2</t>
  </si>
  <si>
    <t>買價3</t>
  </si>
  <si>
    <t>買價4</t>
  </si>
  <si>
    <t>買價5</t>
  </si>
  <si>
    <t>賣價1</t>
  </si>
  <si>
    <t>賣價2</t>
  </si>
  <si>
    <t>賣價3</t>
  </si>
  <si>
    <t>賣價4</t>
  </si>
  <si>
    <t>賣價5</t>
  </si>
  <si>
    <t>委買量1</t>
  </si>
  <si>
    <t>委買量2</t>
  </si>
  <si>
    <t>委買量3</t>
  </si>
  <si>
    <t>委買量4</t>
  </si>
  <si>
    <t>委買量5</t>
  </si>
  <si>
    <t>委賣量1</t>
  </si>
  <si>
    <t>委賣量2</t>
  </si>
  <si>
    <t>委賣量3</t>
  </si>
  <si>
    <t>委賣量4</t>
  </si>
  <si>
    <t>委賣量5</t>
  </si>
  <si>
    <t>●標的證券資訊</t>
  </si>
  <si>
    <t xml:space="preserve">股票期貨、
選擇權
商品代碼 </t>
  </si>
  <si>
    <t xml:space="preserve">標的證券 </t>
  </si>
  <si>
    <t xml:space="preserve">證券
代號 </t>
  </si>
  <si>
    <t xml:space="preserve">標的證券
簡稱 </t>
  </si>
  <si>
    <t>是否為標的</t>
  </si>
  <si>
    <t>標的證券</t>
  </si>
  <si>
    <t>標準型
證券
股數</t>
  </si>
  <si>
    <t>股票
期貨</t>
  </si>
  <si>
    <t>股票
選擇權</t>
  </si>
  <si>
    <t>上市
普通股</t>
  </si>
  <si>
    <t>上櫃
普通股</t>
  </si>
  <si>
    <t>上市
ETF</t>
  </si>
  <si>
    <t>CA</t>
  </si>
  <si>
    <t>南亞塑膠工業股份有限公司</t>
  </si>
  <si>
    <t>南亞</t>
  </si>
  <si>
    <t>●</t>
  </si>
  <si>
    <t>◎</t>
  </si>
  <si>
    <t>CB</t>
  </si>
  <si>
    <t>中國鋼鐵股份有限公司</t>
  </si>
  <si>
    <t>中鋼</t>
  </si>
  <si>
    <t>CC</t>
  </si>
  <si>
    <t>聯華電子股份有限公司</t>
  </si>
  <si>
    <t>聯電</t>
  </si>
  <si>
    <t>CD</t>
  </si>
  <si>
    <t>台灣積體電路製造股份有限公司</t>
  </si>
  <si>
    <t>台積電</t>
  </si>
  <si>
    <t>CE</t>
  </si>
  <si>
    <t>富邦金融控股股份有限公司</t>
  </si>
  <si>
    <t>富邦金</t>
  </si>
  <si>
    <t>CF</t>
  </si>
  <si>
    <t>台灣塑膠工業股份有限公司</t>
  </si>
  <si>
    <t>台塑</t>
  </si>
  <si>
    <t>CG</t>
  </si>
  <si>
    <t>仁寶電腦工業股份有限公司</t>
  </si>
  <si>
    <t>仁寶</t>
  </si>
  <si>
    <t>CH</t>
  </si>
  <si>
    <t>友達光電股份有限公司</t>
  </si>
  <si>
    <t>友達</t>
  </si>
  <si>
    <t>CJ</t>
  </si>
  <si>
    <t>華南金融控股股份有限公司</t>
  </si>
  <si>
    <t>華南金</t>
  </si>
  <si>
    <t>CK</t>
  </si>
  <si>
    <t>國泰金融控股股份有限公司</t>
  </si>
  <si>
    <t>國泰金</t>
  </si>
  <si>
    <t>CL</t>
  </si>
  <si>
    <t>兆豐金融控股股份有限公司</t>
  </si>
  <si>
    <t>兆豐金</t>
  </si>
  <si>
    <t>CM</t>
  </si>
  <si>
    <t>台新金融控股股份有限公司</t>
  </si>
  <si>
    <t>台新金</t>
  </si>
  <si>
    <t>CN</t>
  </si>
  <si>
    <t>中國信託金融控股股份有限公司</t>
  </si>
  <si>
    <t>中信金</t>
  </si>
  <si>
    <t>CQ</t>
  </si>
  <si>
    <t>統一企業股份有限公司</t>
  </si>
  <si>
    <t>統一</t>
  </si>
  <si>
    <t>CR</t>
  </si>
  <si>
    <t>遠東新世紀股份有限公司</t>
  </si>
  <si>
    <t>遠東新</t>
  </si>
  <si>
    <t>CS</t>
  </si>
  <si>
    <t>華新麗華股份有限公司</t>
  </si>
  <si>
    <t>華新</t>
  </si>
  <si>
    <t>CU</t>
  </si>
  <si>
    <t>中環股份有限公司</t>
  </si>
  <si>
    <t>中環</t>
  </si>
  <si>
    <t>CW</t>
  </si>
  <si>
    <t>佳世達科技股份有限公司</t>
  </si>
  <si>
    <t>佳世達</t>
  </si>
  <si>
    <t>CX</t>
  </si>
  <si>
    <t>大同股份有限公司</t>
  </si>
  <si>
    <t>大同</t>
  </si>
  <si>
    <t>CY</t>
  </si>
  <si>
    <t>南亞科技股份有限公司</t>
  </si>
  <si>
    <t>南亞科</t>
  </si>
  <si>
    <t>CZ</t>
  </si>
  <si>
    <t>長榮海運股份有限公司</t>
  </si>
  <si>
    <t>長榮</t>
  </si>
  <si>
    <t>DC</t>
  </si>
  <si>
    <t>彰化商業銀行股份有限公司</t>
  </si>
  <si>
    <t>彰銀</t>
  </si>
  <si>
    <t>DD</t>
  </si>
  <si>
    <t>新光金融控股股份有限公司</t>
  </si>
  <si>
    <t>新光金</t>
  </si>
  <si>
    <t>DE</t>
  </si>
  <si>
    <t>永豐金融控股股份有限公司</t>
  </si>
  <si>
    <t>永豐金</t>
  </si>
  <si>
    <t>DF</t>
  </si>
  <si>
    <t>台灣水泥股份有限公司</t>
  </si>
  <si>
    <t>台泥</t>
  </si>
  <si>
    <t>DG</t>
  </si>
  <si>
    <t>台灣化學纖維股份有限公司</t>
  </si>
  <si>
    <t>台化</t>
  </si>
  <si>
    <t>DH</t>
  </si>
  <si>
    <t>鴻海精密工業股份有限公司</t>
  </si>
  <si>
    <t>鴻海</t>
  </si>
  <si>
    <t>DI</t>
  </si>
  <si>
    <t>旺宏電子股份有限公司</t>
  </si>
  <si>
    <t>旺宏</t>
  </si>
  <si>
    <t>DJ</t>
  </si>
  <si>
    <t>華碩電腦股份有限公司</t>
  </si>
  <si>
    <t>華碩</t>
  </si>
  <si>
    <t>DK</t>
  </si>
  <si>
    <t>廣達電腦股份有限公司</t>
  </si>
  <si>
    <t>廣達</t>
  </si>
  <si>
    <t>DL</t>
  </si>
  <si>
    <t>中華電信股份有限公司</t>
  </si>
  <si>
    <t>中華電</t>
  </si>
  <si>
    <t>DN</t>
  </si>
  <si>
    <t>玉山金融控股股份有限公司</t>
  </si>
  <si>
    <t>玉山金</t>
  </si>
  <si>
    <t>DO</t>
  </si>
  <si>
    <t>元大金融控股股份有限公司</t>
  </si>
  <si>
    <t>元大金</t>
  </si>
  <si>
    <t>DP</t>
  </si>
  <si>
    <t xml:space="preserve">第一金融控股股份有限公司 </t>
  </si>
  <si>
    <t>第一金</t>
  </si>
  <si>
    <t>DQ</t>
  </si>
  <si>
    <t>群創光電股份有限公司</t>
  </si>
  <si>
    <t>群創</t>
  </si>
  <si>
    <t>DS</t>
  </si>
  <si>
    <t>宏碁股份有限公司</t>
  </si>
  <si>
    <t>宏碁</t>
  </si>
  <si>
    <t>DV</t>
  </si>
  <si>
    <t>聯發科技股份有限公司</t>
  </si>
  <si>
    <t>聯發科</t>
  </si>
  <si>
    <t>DW</t>
  </si>
  <si>
    <t>潤泰全球股份有限公司</t>
  </si>
  <si>
    <t>潤泰全</t>
  </si>
  <si>
    <t>DX</t>
  </si>
  <si>
    <t>緯創資通股份有限公司</t>
  </si>
  <si>
    <t>緯創</t>
  </si>
  <si>
    <t>DY</t>
  </si>
  <si>
    <t xml:space="preserve">亞洲水泥股份有限公司 </t>
  </si>
  <si>
    <t>亞泥</t>
  </si>
  <si>
    <t>DZ</t>
  </si>
  <si>
    <t>大成長城企業股份有限公司</t>
  </si>
  <si>
    <t>大成</t>
  </si>
  <si>
    <t>EE</t>
  </si>
  <si>
    <t xml:space="preserve">國喬石油化學股份有限公司 </t>
  </si>
  <si>
    <t>國喬</t>
  </si>
  <si>
    <t>EG</t>
  </si>
  <si>
    <t>中國石油化學工業開發股份有限公司</t>
  </si>
  <si>
    <t>中石化</t>
  </si>
  <si>
    <t>EH</t>
  </si>
  <si>
    <t xml:space="preserve">東陽實業廠股份有限公司 </t>
  </si>
  <si>
    <t>東陽</t>
  </si>
  <si>
    <t>EM</t>
  </si>
  <si>
    <t>東元電機股份有限公司</t>
  </si>
  <si>
    <t>東元</t>
  </si>
  <si>
    <t>EP</t>
  </si>
  <si>
    <t>亞德客國際集團</t>
  </si>
  <si>
    <t>亞德客-KY</t>
  </si>
  <si>
    <t>ER</t>
  </si>
  <si>
    <t>南僑投資控股股份有限公司</t>
  </si>
  <si>
    <t>南僑</t>
  </si>
  <si>
    <t>EY</t>
  </si>
  <si>
    <t>中國人造纖維股份有限公司</t>
  </si>
  <si>
    <t>中纖</t>
  </si>
  <si>
    <t>FE</t>
  </si>
  <si>
    <t>大成不銹鋼工業股份有限公司</t>
  </si>
  <si>
    <t>大成鋼</t>
  </si>
  <si>
    <t>FF</t>
  </si>
  <si>
    <t>上銀科技股份有限公司</t>
  </si>
  <si>
    <t>上銀</t>
  </si>
  <si>
    <t>FG</t>
  </si>
  <si>
    <t>川湖科技股份有限公司</t>
  </si>
  <si>
    <t>川湖</t>
  </si>
  <si>
    <t>FK</t>
  </si>
  <si>
    <t>正新橡膠工業股份有限公司</t>
  </si>
  <si>
    <t>正新</t>
  </si>
  <si>
    <t>FQ</t>
  </si>
  <si>
    <t>光寶科技股份有限公司</t>
  </si>
  <si>
    <t>光寶科</t>
  </si>
  <si>
    <t>FR</t>
  </si>
  <si>
    <t>台達電子工業股份有限公司</t>
  </si>
  <si>
    <t>台達電</t>
  </si>
  <si>
    <t>FT</t>
  </si>
  <si>
    <t>華通電腦股份有限公司</t>
  </si>
  <si>
    <t>華通</t>
  </si>
  <si>
    <t>FV</t>
  </si>
  <si>
    <t>精英電腦股份有限公司</t>
  </si>
  <si>
    <t>精英</t>
  </si>
  <si>
    <t>FW</t>
  </si>
  <si>
    <t>友訊科技股份有限公司</t>
  </si>
  <si>
    <t>友訊</t>
  </si>
  <si>
    <t>FY</t>
  </si>
  <si>
    <t>光磊科技股份有限公司</t>
  </si>
  <si>
    <t>光磊</t>
  </si>
  <si>
    <t>FZ</t>
  </si>
  <si>
    <t>華邦電子股份有限公司</t>
  </si>
  <si>
    <t>華邦電</t>
  </si>
  <si>
    <t>GA</t>
  </si>
  <si>
    <t>聯強國際股份有限公司</t>
  </si>
  <si>
    <t>聯強</t>
  </si>
  <si>
    <t>GC</t>
  </si>
  <si>
    <t>鴻準精密工業股份有限公司</t>
  </si>
  <si>
    <t>鴻準</t>
  </si>
  <si>
    <t>GH</t>
  </si>
  <si>
    <t>技嘉科技股份有限公司</t>
  </si>
  <si>
    <t>技嘉</t>
  </si>
  <si>
    <t>GI</t>
  </si>
  <si>
    <t>微星科技股份有限公司</t>
  </si>
  <si>
    <t>微星</t>
  </si>
  <si>
    <t>GJ</t>
  </si>
  <si>
    <t>瑞昱半導體股份有限公司</t>
  </si>
  <si>
    <t>瑞昱</t>
  </si>
  <si>
    <t>GL</t>
  </si>
  <si>
    <t>正崴精密工業股份有限公司</t>
  </si>
  <si>
    <t>正崴</t>
  </si>
  <si>
    <t>GM</t>
  </si>
  <si>
    <t>億光電子工業股份有限公司</t>
  </si>
  <si>
    <t>億光</t>
  </si>
  <si>
    <t>GN</t>
  </si>
  <si>
    <t>凌陽科技股份有限公司</t>
  </si>
  <si>
    <t>凌陽</t>
  </si>
  <si>
    <t>GO</t>
  </si>
  <si>
    <t>漢唐集成股份有限公司</t>
  </si>
  <si>
    <t>漢唐</t>
  </si>
  <si>
    <t>GR</t>
  </si>
  <si>
    <t>京元電子股份有限公司</t>
  </si>
  <si>
    <t>京元電子</t>
  </si>
  <si>
    <t>GU</t>
  </si>
  <si>
    <t>全新光電科技股份有限公司</t>
  </si>
  <si>
    <t>全新</t>
  </si>
  <si>
    <t>GW</t>
  </si>
  <si>
    <t>義隆電子股份有限公司</t>
  </si>
  <si>
    <t>義隆</t>
  </si>
  <si>
    <t>GX</t>
  </si>
  <si>
    <t>可成科技股份有限公司</t>
  </si>
  <si>
    <t>可成</t>
  </si>
  <si>
    <t>GZ</t>
  </si>
  <si>
    <t>兆赫電子股份有限公司</t>
  </si>
  <si>
    <t>兆赫</t>
  </si>
  <si>
    <t>HA</t>
  </si>
  <si>
    <t>瑞軒科技股份有限公司</t>
  </si>
  <si>
    <t>瑞軒</t>
  </si>
  <si>
    <t>HB</t>
  </si>
  <si>
    <t xml:space="preserve">華新科技股份有限公司 </t>
  </si>
  <si>
    <t>華新科</t>
  </si>
  <si>
    <t>HC</t>
  </si>
  <si>
    <t>宏達國際電子股份有限公司</t>
  </si>
  <si>
    <t>宏達電</t>
  </si>
  <si>
    <t>HH</t>
  </si>
  <si>
    <t>中華工程股份有限公司</t>
  </si>
  <si>
    <t>中工</t>
  </si>
  <si>
    <t>HI</t>
  </si>
  <si>
    <t>冠德建設股份有限公司</t>
  </si>
  <si>
    <t>冠德</t>
  </si>
  <si>
    <t>HL</t>
  </si>
  <si>
    <t>興富發建設股份有限公司</t>
  </si>
  <si>
    <t>興富發</t>
  </si>
  <si>
    <t>HO</t>
  </si>
  <si>
    <t>華固建設股份有限公司</t>
  </si>
  <si>
    <t>華固</t>
  </si>
  <si>
    <t>HS</t>
  </si>
  <si>
    <t>長榮航空股份有限公司</t>
  </si>
  <si>
    <t>長榮航</t>
  </si>
  <si>
    <t>HY</t>
  </si>
  <si>
    <t>中國人壽保險股份有限公司</t>
  </si>
  <si>
    <t>中壽</t>
  </si>
  <si>
    <t>IA</t>
  </si>
  <si>
    <t>臺灣中小企業銀行股份有限公司</t>
  </si>
  <si>
    <t>臺企銀</t>
  </si>
  <si>
    <t>IH</t>
  </si>
  <si>
    <t>台灣農林股份有限公司</t>
  </si>
  <si>
    <t>農林</t>
  </si>
  <si>
    <t>II</t>
  </si>
  <si>
    <t>晶豪科技股份有限公司</t>
  </si>
  <si>
    <t>晶豪科</t>
  </si>
  <si>
    <t>IJ</t>
  </si>
  <si>
    <t>大立光電股份有限公司</t>
  </si>
  <si>
    <t>大立光</t>
  </si>
  <si>
    <t>IM</t>
  </si>
  <si>
    <t>亞洲光學股份有限公司</t>
  </si>
  <si>
    <t>亞光</t>
  </si>
  <si>
    <t>IO</t>
  </si>
  <si>
    <t>聯詠科技股份有限公司</t>
  </si>
  <si>
    <t>聯詠</t>
  </si>
  <si>
    <t>IP</t>
  </si>
  <si>
    <t>智原科技股份有限公司</t>
  </si>
  <si>
    <t>智原</t>
  </si>
  <si>
    <t>IQ</t>
  </si>
  <si>
    <t>文曄科技股份有限公司</t>
  </si>
  <si>
    <t>文曄</t>
  </si>
  <si>
    <t>IR</t>
  </si>
  <si>
    <t>欣興電子股份有限公司</t>
  </si>
  <si>
    <t>欣興</t>
  </si>
  <si>
    <t>IT</t>
  </si>
  <si>
    <t>台灣晶技股份有限公司</t>
  </si>
  <si>
    <t>晶技</t>
  </si>
  <si>
    <t>IX</t>
  </si>
  <si>
    <t>景碩科技股份有限公司</t>
  </si>
  <si>
    <t>景碩</t>
  </si>
  <si>
    <t>IY</t>
  </si>
  <si>
    <t>新日興股份有限公司</t>
  </si>
  <si>
    <t>新日興</t>
  </si>
  <si>
    <t>IZ</t>
  </si>
  <si>
    <t>明泰科技股份有限公司</t>
  </si>
  <si>
    <t>明泰</t>
  </si>
  <si>
    <t>JB</t>
  </si>
  <si>
    <t>創意電子股份有限公司</t>
  </si>
  <si>
    <t>創意</t>
  </si>
  <si>
    <t>JF</t>
  </si>
  <si>
    <t>嘉澤端子工業股份有限公司</t>
  </si>
  <si>
    <t>嘉澤</t>
  </si>
  <si>
    <t>JN</t>
  </si>
  <si>
    <t>TPK Holding Co., Ltd.</t>
  </si>
  <si>
    <t>TPK-KY</t>
  </si>
  <si>
    <t>JP</t>
  </si>
  <si>
    <t>大聯大投資控股股份有限公司</t>
  </si>
  <si>
    <t>大聯大</t>
  </si>
  <si>
    <t>JS</t>
  </si>
  <si>
    <t>和碩聯合科技股份有限公司</t>
  </si>
  <si>
    <t>和碩</t>
  </si>
  <si>
    <t>JW</t>
  </si>
  <si>
    <t>長虹建設股份有限公司</t>
  </si>
  <si>
    <t>長虹</t>
  </si>
  <si>
    <t>JZ</t>
  </si>
  <si>
    <t>嘉聯益科技股份有限公司</t>
  </si>
  <si>
    <t>嘉聯益</t>
  </si>
  <si>
    <t>KA</t>
  </si>
  <si>
    <t>瑞儀光電股份有限公司</t>
  </si>
  <si>
    <t>瑞儀</t>
  </si>
  <si>
    <t>KB</t>
  </si>
  <si>
    <t>聯茂電子股份有限公司</t>
  </si>
  <si>
    <t>聯茂</t>
  </si>
  <si>
    <t>KC</t>
  </si>
  <si>
    <t>力成科技股份有限公司</t>
  </si>
  <si>
    <t>力成</t>
  </si>
  <si>
    <t>KD</t>
  </si>
  <si>
    <t>同欣電子工業股份有限公司</t>
  </si>
  <si>
    <t>同欣電</t>
  </si>
  <si>
    <t>KF</t>
  </si>
  <si>
    <t>康舒科技股份有限公司</t>
  </si>
  <si>
    <t>康舒</t>
  </si>
  <si>
    <t>KG</t>
  </si>
  <si>
    <t>啟碁科技股份有限公司</t>
  </si>
  <si>
    <t>啟碁</t>
  </si>
  <si>
    <t>KI</t>
  </si>
  <si>
    <t>台虹科技股份有限公司</t>
  </si>
  <si>
    <t>台虹</t>
  </si>
  <si>
    <t>KK</t>
  </si>
  <si>
    <t>達方電子股份有限公司</t>
  </si>
  <si>
    <t>達方</t>
  </si>
  <si>
    <t>KL</t>
  </si>
  <si>
    <t>寶成工業股份有限公司</t>
  </si>
  <si>
    <t>寶成</t>
  </si>
  <si>
    <t>KO</t>
  </si>
  <si>
    <t>宏全國際股份有限公司</t>
  </si>
  <si>
    <t>宏全</t>
  </si>
  <si>
    <t>KP</t>
  </si>
  <si>
    <t>潤泰創新國際股份有限公司</t>
  </si>
  <si>
    <t>潤泰新</t>
  </si>
  <si>
    <t>KS</t>
  </si>
  <si>
    <t>聚陽實業股份有限公司</t>
  </si>
  <si>
    <t>聚陽</t>
  </si>
  <si>
    <t>KW</t>
  </si>
  <si>
    <t>廣宇科技股份有限公司</t>
  </si>
  <si>
    <t>廣宇</t>
  </si>
  <si>
    <t>LB</t>
  </si>
  <si>
    <t>健鼎科技股份有限公司</t>
  </si>
  <si>
    <t>健鼎</t>
  </si>
  <si>
    <t>LC</t>
  </si>
  <si>
    <t>台灣大哥大股份有限公司</t>
  </si>
  <si>
    <t>台灣大</t>
  </si>
  <si>
    <t>LE</t>
  </si>
  <si>
    <t>玉晶光電股份有限公司</t>
  </si>
  <si>
    <t>玉晶光</t>
  </si>
  <si>
    <t>LI</t>
  </si>
  <si>
    <t>台郡科技股份有限公司</t>
  </si>
  <si>
    <t>台郡</t>
  </si>
  <si>
    <t>LM</t>
  </si>
  <si>
    <t>美利達工業股份有限公司</t>
  </si>
  <si>
    <t>美利達</t>
  </si>
  <si>
    <t>LO</t>
  </si>
  <si>
    <t>合作金庫金融控股股份有限公司</t>
  </si>
  <si>
    <t>合庫金</t>
  </si>
  <si>
    <t>LQ</t>
  </si>
  <si>
    <t>英業達股份有限公司</t>
  </si>
  <si>
    <t>英業達</t>
  </si>
  <si>
    <t>LR</t>
  </si>
  <si>
    <t>中華開發金融控股股份有限公司</t>
  </si>
  <si>
    <t>開發金</t>
  </si>
  <si>
    <t>LT</t>
  </si>
  <si>
    <t>遠傳電信股份有限公司</t>
  </si>
  <si>
    <t>遠傳</t>
  </si>
  <si>
    <t>LU</t>
  </si>
  <si>
    <t>臻鼎科技控股股份有限公司</t>
  </si>
  <si>
    <t>臻鼎-KY</t>
  </si>
  <si>
    <t>LV</t>
  </si>
  <si>
    <t>中租控股股份有限公司</t>
  </si>
  <si>
    <t>中租-KY</t>
  </si>
  <si>
    <t>LW</t>
  </si>
  <si>
    <t>儒鴻企業股份有限公司</t>
  </si>
  <si>
    <t>儒鴻</t>
  </si>
  <si>
    <t>LX</t>
  </si>
  <si>
    <t>國巨股份有限公司</t>
  </si>
  <si>
    <t>國巨</t>
  </si>
  <si>
    <t>LY</t>
  </si>
  <si>
    <t>南亞電路板股份有限公司</t>
  </si>
  <si>
    <t>南電</t>
  </si>
  <si>
    <t>MA</t>
  </si>
  <si>
    <t>葡萄王生技股份有限公司</t>
  </si>
  <si>
    <t>葡萄王</t>
  </si>
  <si>
    <t>MB</t>
  </si>
  <si>
    <t>敬鵬工業股份有限公司</t>
  </si>
  <si>
    <t>敬鵬</t>
  </si>
  <si>
    <t>MJ</t>
  </si>
  <si>
    <t>致茂電子股份有限公司</t>
  </si>
  <si>
    <t>致茂</t>
  </si>
  <si>
    <t>MK</t>
  </si>
  <si>
    <t>美律實業股份有限公司</t>
  </si>
  <si>
    <t>美律</t>
  </si>
  <si>
    <t>MP</t>
  </si>
  <si>
    <t>精誠資訊股份有限公司</t>
  </si>
  <si>
    <t>精誠</t>
  </si>
  <si>
    <t>MQ</t>
  </si>
  <si>
    <t>矽格股份有限公司</t>
  </si>
  <si>
    <t>矽格</t>
  </si>
  <si>
    <t>MV</t>
  </si>
  <si>
    <t>台灣百和工業股份有限公司</t>
  </si>
  <si>
    <t>百和</t>
  </si>
  <si>
    <t>MY</t>
  </si>
  <si>
    <t>精華光學股份有限公司</t>
  </si>
  <si>
    <t>精華</t>
  </si>
  <si>
    <t>NA</t>
  </si>
  <si>
    <t>穩懋半導體股份有限公司</t>
  </si>
  <si>
    <t>穩懋</t>
  </si>
  <si>
    <t>NB</t>
  </si>
  <si>
    <t>璟德電子工業股份有限公司</t>
  </si>
  <si>
    <t>璟德</t>
  </si>
  <si>
    <t>NC</t>
  </si>
  <si>
    <t>順達科技股份有限公司</t>
  </si>
  <si>
    <t>順達</t>
  </si>
  <si>
    <t>ND</t>
  </si>
  <si>
    <t>威剛科技股份有限公司</t>
  </si>
  <si>
    <t>威剛</t>
  </si>
  <si>
    <t>NE</t>
  </si>
  <si>
    <t>欣銓科技股份有限公司</t>
  </si>
  <si>
    <t>欣銓</t>
  </si>
  <si>
    <t>NG</t>
  </si>
  <si>
    <t>碩禾電子材料股份有限公司</t>
  </si>
  <si>
    <t>碩禾</t>
  </si>
  <si>
    <t>NI</t>
  </si>
  <si>
    <t>晟德大藥廠股份有限公司</t>
  </si>
  <si>
    <t>晟德</t>
  </si>
  <si>
    <t>NJ</t>
  </si>
  <si>
    <t>榮剛材料科技股份有限公司</t>
  </si>
  <si>
    <t>榮剛</t>
  </si>
  <si>
    <t>NL</t>
  </si>
  <si>
    <t>世界先進積體電路股份有限公司</t>
  </si>
  <si>
    <t>世界</t>
  </si>
  <si>
    <t>NM</t>
  </si>
  <si>
    <t>中強光電股份有限公司</t>
  </si>
  <si>
    <t>中光電</t>
  </si>
  <si>
    <t>NO</t>
  </si>
  <si>
    <t>中美矽晶製品股份有限公司</t>
  </si>
  <si>
    <t>中美晶</t>
  </si>
  <si>
    <t>NQ</t>
  </si>
  <si>
    <t>新普科技股份有限公司</t>
  </si>
  <si>
    <t>新普</t>
  </si>
  <si>
    <t>NS</t>
  </si>
  <si>
    <t>頎邦科技股份有限公司</t>
  </si>
  <si>
    <t>頎邦</t>
  </si>
  <si>
    <t>NU</t>
  </si>
  <si>
    <t>網路家庭國際資訊股份有限公司</t>
  </si>
  <si>
    <t>網家</t>
  </si>
  <si>
    <t>NV</t>
  </si>
  <si>
    <t>元太科技工業股份有限公司</t>
  </si>
  <si>
    <t>元太</t>
  </si>
  <si>
    <t>NW</t>
  </si>
  <si>
    <t>群聯電子股份有限公司</t>
  </si>
  <si>
    <t>群聯</t>
  </si>
  <si>
    <t>NX</t>
  </si>
  <si>
    <t>森鉅科技材料股份有限公司</t>
  </si>
  <si>
    <t>森鉅</t>
  </si>
  <si>
    <t>NY</t>
  </si>
  <si>
    <t>元大台灣卓越50證券投資信託基金</t>
  </si>
  <si>
    <t>0050</t>
  </si>
  <si>
    <t>元大台灣50ETF</t>
  </si>
  <si>
    <t>NZ</t>
  </si>
  <si>
    <t>元大標智滬深300證券投資信託基金</t>
  </si>
  <si>
    <t>0061</t>
  </si>
  <si>
    <t>元大寶滬深ETF</t>
  </si>
  <si>
    <t>OA</t>
  </si>
  <si>
    <t>富邦上証180證券投資信託基金</t>
  </si>
  <si>
    <t>006205</t>
  </si>
  <si>
    <t>富邦上証ETF</t>
  </si>
  <si>
    <t>OB</t>
  </si>
  <si>
    <t>元大中國傘型證券投資信託基金之上證50證券投資信託基金</t>
  </si>
  <si>
    <t>006206</t>
  </si>
  <si>
    <t>元大上證50ETF</t>
  </si>
  <si>
    <t>OC</t>
  </si>
  <si>
    <t>復華滬深300 A股證券投資信託基金</t>
  </si>
  <si>
    <t>006207</t>
  </si>
  <si>
    <t>FH滬深ETF</t>
  </si>
  <si>
    <t>OD</t>
  </si>
  <si>
    <t>為升電裝工業股份有限公司</t>
  </si>
  <si>
    <t>為升</t>
  </si>
  <si>
    <t>OE</t>
  </si>
  <si>
    <t>瀚宇彩晶股份有限公司</t>
  </si>
  <si>
    <t>彩晶</t>
  </si>
  <si>
    <t>OH</t>
  </si>
  <si>
    <t>胡連精密股份有限公司</t>
  </si>
  <si>
    <t>胡連</t>
  </si>
  <si>
    <t>OJ</t>
  </si>
  <si>
    <t>國泰富時中國A50證券投資信託基金</t>
  </si>
  <si>
    <t>00636</t>
  </si>
  <si>
    <t>國泰中國A50ETF</t>
  </si>
  <si>
    <t>OK</t>
  </si>
  <si>
    <t>富邦深証100證券投資信託基金</t>
  </si>
  <si>
    <t>00639</t>
  </si>
  <si>
    <t>富邦深100ETF</t>
  </si>
  <si>
    <t>OL</t>
  </si>
  <si>
    <t>OM</t>
  </si>
  <si>
    <t>OO</t>
  </si>
  <si>
    <t>群益深証中小板證券投資信託基金</t>
  </si>
  <si>
    <t>00643</t>
  </si>
  <si>
    <t>群益深証中小ETF</t>
  </si>
  <si>
    <t>OP</t>
  </si>
  <si>
    <t>智邦科技股份有限公司</t>
  </si>
  <si>
    <t>智邦</t>
  </si>
  <si>
    <t>OQ</t>
  </si>
  <si>
    <t>樺漢科技股份有限公司</t>
  </si>
  <si>
    <t>樺漢</t>
  </si>
  <si>
    <t>OR</t>
  </si>
  <si>
    <t>和大工業股份有限公司</t>
  </si>
  <si>
    <t>和大</t>
  </si>
  <si>
    <t>OS</t>
  </si>
  <si>
    <t>榮成紙業股份有限公司</t>
  </si>
  <si>
    <t>榮成</t>
  </si>
  <si>
    <t>OT</t>
  </si>
  <si>
    <t>聯亞光電工業股份有限公司</t>
  </si>
  <si>
    <t>聯亞</t>
  </si>
  <si>
    <t>OU</t>
  </si>
  <si>
    <t>同致電子企業股份有限公司</t>
  </si>
  <si>
    <t>同致</t>
  </si>
  <si>
    <t>OV</t>
  </si>
  <si>
    <t>台燿科技股份有限公司</t>
  </si>
  <si>
    <t>台燿</t>
  </si>
  <si>
    <t>OW</t>
  </si>
  <si>
    <t>環球晶圓股份有限公司</t>
  </si>
  <si>
    <t>環球晶</t>
  </si>
  <si>
    <t>OX</t>
  </si>
  <si>
    <t>中華精測科技股份有限公司</t>
  </si>
  <si>
    <t>精測</t>
  </si>
  <si>
    <t>OY</t>
  </si>
  <si>
    <t>OZ</t>
  </si>
  <si>
    <t>日月光投資控股股份有限公司</t>
  </si>
  <si>
    <t>日月光投控</t>
  </si>
  <si>
    <t>PA</t>
  </si>
  <si>
    <t>原相科技股份有限公司</t>
  </si>
  <si>
    <t>原相</t>
  </si>
  <si>
    <t>PB</t>
  </si>
  <si>
    <t>PC</t>
  </si>
  <si>
    <t>智擎生技製藥股份有限公司</t>
  </si>
  <si>
    <t>智擎</t>
  </si>
  <si>
    <t>PD</t>
  </si>
  <si>
    <t>泰博科技股份有限公司</t>
  </si>
  <si>
    <t>泰博</t>
  </si>
  <si>
    <t>PE</t>
  </si>
  <si>
    <t>台灣半導體股份有限公司</t>
  </si>
  <si>
    <t>台半</t>
  </si>
  <si>
    <t>PF</t>
  </si>
  <si>
    <t>元大台灣高股息證券投資信託基金</t>
  </si>
  <si>
    <t>0056</t>
  </si>
  <si>
    <t>元大高股息ETF</t>
  </si>
  <si>
    <t>PG</t>
  </si>
  <si>
    <t>台灣高速鐵路股份有限公司</t>
  </si>
  <si>
    <t>台灣高鐵</t>
  </si>
  <si>
    <t>PH</t>
  </si>
  <si>
    <t>祥碩科技股份有限公司</t>
  </si>
  <si>
    <t>祥碩</t>
  </si>
  <si>
    <t>PI</t>
  </si>
  <si>
    <t>力旺電子股份有限公司</t>
  </si>
  <si>
    <t>力旺</t>
  </si>
  <si>
    <t>PJ</t>
  </si>
  <si>
    <t>台光電子材料股份有限公司</t>
  </si>
  <si>
    <t>台光電</t>
  </si>
  <si>
    <t>PK</t>
  </si>
  <si>
    <t>信昌電子陶瓷股份有限公司</t>
  </si>
  <si>
    <t>信昌電</t>
  </si>
  <si>
    <t>PL</t>
  </si>
  <si>
    <t>合晶科技股份有限公司</t>
  </si>
  <si>
    <t>合晶</t>
  </si>
  <si>
    <t>PM</t>
  </si>
  <si>
    <t>大江生醫股份有限公司</t>
  </si>
  <si>
    <t>大江</t>
  </si>
  <si>
    <t>PN</t>
  </si>
  <si>
    <t>PO</t>
  </si>
  <si>
    <t>神盾股份有限公司</t>
  </si>
  <si>
    <t>神盾</t>
  </si>
  <si>
    <t>PP</t>
  </si>
  <si>
    <t>宣德科技股份有限公司</t>
  </si>
  <si>
    <t>宣德</t>
  </si>
  <si>
    <t>PQ</t>
  </si>
  <si>
    <t>金居開發股份有限公司</t>
  </si>
  <si>
    <t>金居</t>
  </si>
  <si>
    <t>標的合計數：</t>
  </si>
  <si>
    <t>1303</t>
  </si>
  <si>
    <t>2002</t>
  </si>
  <si>
    <t>2303</t>
  </si>
  <si>
    <t>2330</t>
  </si>
  <si>
    <t>2881</t>
  </si>
  <si>
    <t>1301</t>
  </si>
  <si>
    <t>2324</t>
  </si>
  <si>
    <t>2409</t>
  </si>
  <si>
    <t>2880</t>
  </si>
  <si>
    <t>2882</t>
  </si>
  <si>
    <t>2886</t>
  </si>
  <si>
    <t>2887</t>
  </si>
  <si>
    <t>2891</t>
  </si>
  <si>
    <t>1216</t>
  </si>
  <si>
    <t>1402</t>
  </si>
  <si>
    <t>1605</t>
  </si>
  <si>
    <t>2323</t>
  </si>
  <si>
    <t>2352</t>
  </si>
  <si>
    <t>2371</t>
  </si>
  <si>
    <t>2408</t>
  </si>
  <si>
    <t>2603</t>
  </si>
  <si>
    <t>2801</t>
  </si>
  <si>
    <t>2888</t>
  </si>
  <si>
    <t>2890</t>
  </si>
  <si>
    <t>1101</t>
  </si>
  <si>
    <t>1326</t>
  </si>
  <si>
    <t>2317</t>
  </si>
  <si>
    <t>2337</t>
  </si>
  <si>
    <t>2357</t>
  </si>
  <si>
    <t>2382</t>
  </si>
  <si>
    <t>2412</t>
  </si>
  <si>
    <t>2884</t>
  </si>
  <si>
    <t>2885</t>
  </si>
  <si>
    <t>2892</t>
  </si>
  <si>
    <t>3481</t>
  </si>
  <si>
    <t>2353</t>
  </si>
  <si>
    <t>2454</t>
  </si>
  <si>
    <t>2915</t>
  </si>
  <si>
    <t>3231</t>
  </si>
  <si>
    <t>1102</t>
  </si>
  <si>
    <t>1210</t>
  </si>
  <si>
    <t>1312</t>
  </si>
  <si>
    <t>1314</t>
  </si>
  <si>
    <t>1319</t>
  </si>
  <si>
    <t>1504</t>
  </si>
  <si>
    <t>1590</t>
  </si>
  <si>
    <t>1702</t>
  </si>
  <si>
    <t>1718</t>
  </si>
  <si>
    <t>2027</t>
  </si>
  <si>
    <t>2049</t>
  </si>
  <si>
    <t>2059</t>
  </si>
  <si>
    <t>2105</t>
  </si>
  <si>
    <t>2301</t>
  </si>
  <si>
    <t>2308</t>
  </si>
  <si>
    <t>2313</t>
  </si>
  <si>
    <t>2331</t>
  </si>
  <si>
    <t>2332</t>
  </si>
  <si>
    <t>2340</t>
  </si>
  <si>
    <t>2344</t>
  </si>
  <si>
    <t>2347</t>
  </si>
  <si>
    <t>2354</t>
  </si>
  <si>
    <t>2376</t>
  </si>
  <si>
    <t>2377</t>
  </si>
  <si>
    <t>2379</t>
  </si>
  <si>
    <t>2392</t>
  </si>
  <si>
    <t>2393</t>
  </si>
  <si>
    <t>2401</t>
  </si>
  <si>
    <t>2404</t>
  </si>
  <si>
    <t>2449</t>
  </si>
  <si>
    <t>2455</t>
  </si>
  <si>
    <t>2458</t>
  </si>
  <si>
    <t>2474</t>
  </si>
  <si>
    <t>2485</t>
  </si>
  <si>
    <t>2489</t>
  </si>
  <si>
    <t>2492</t>
  </si>
  <si>
    <t>2498</t>
  </si>
  <si>
    <t>2515</t>
  </si>
  <si>
    <t>2520</t>
  </si>
  <si>
    <t>2542</t>
  </si>
  <si>
    <t>2548</t>
  </si>
  <si>
    <t>2618</t>
  </si>
  <si>
    <t>2823</t>
  </si>
  <si>
    <t>2834</t>
  </si>
  <si>
    <t>2913</t>
  </si>
  <si>
    <t>3006</t>
  </si>
  <si>
    <t>3008</t>
  </si>
  <si>
    <t>3019</t>
  </si>
  <si>
    <t>3034</t>
  </si>
  <si>
    <t>3035</t>
  </si>
  <si>
    <t>3036</t>
  </si>
  <si>
    <t>3037</t>
  </si>
  <si>
    <t>3042</t>
  </si>
  <si>
    <t>3189</t>
  </si>
  <si>
    <t>3376</t>
  </si>
  <si>
    <t>3380</t>
  </si>
  <si>
    <t>3443</t>
  </si>
  <si>
    <t>3533</t>
  </si>
  <si>
    <t>3673</t>
  </si>
  <si>
    <t>3702</t>
  </si>
  <si>
    <t>4938</t>
  </si>
  <si>
    <t>5534</t>
  </si>
  <si>
    <t>6153</t>
  </si>
  <si>
    <t>6176</t>
  </si>
  <si>
    <t>6213</t>
  </si>
  <si>
    <t>6239</t>
  </si>
  <si>
    <t>6271</t>
  </si>
  <si>
    <t>6282</t>
  </si>
  <si>
    <t>6285</t>
  </si>
  <si>
    <t>8039</t>
  </si>
  <si>
    <t>8163</t>
  </si>
  <si>
    <t>9904</t>
  </si>
  <si>
    <t>9939</t>
  </si>
  <si>
    <t>9945</t>
  </si>
  <si>
    <t>1477</t>
  </si>
  <si>
    <t>2328</t>
  </si>
  <si>
    <t>3044</t>
  </si>
  <si>
    <t>3045</t>
  </si>
  <si>
    <t>3406</t>
  </si>
  <si>
    <t>6269</t>
  </si>
  <si>
    <t>9914</t>
  </si>
  <si>
    <t>5880</t>
  </si>
  <si>
    <t>2356</t>
  </si>
  <si>
    <t>2883</t>
  </si>
  <si>
    <t>4904</t>
  </si>
  <si>
    <t>4958</t>
  </si>
  <si>
    <t>5871</t>
  </si>
  <si>
    <t>1476</t>
  </si>
  <si>
    <t>2327</t>
  </si>
  <si>
    <t>8046</t>
  </si>
  <si>
    <t>1707</t>
  </si>
  <si>
    <t>2355</t>
  </si>
  <si>
    <t>2360</t>
  </si>
  <si>
    <t>2439</t>
  </si>
  <si>
    <t>6214</t>
  </si>
  <si>
    <t>6257</t>
  </si>
  <si>
    <t>9938</t>
  </si>
  <si>
    <t>1565</t>
  </si>
  <si>
    <t>3105</t>
  </si>
  <si>
    <t>3152</t>
  </si>
  <si>
    <t>3211</t>
  </si>
  <si>
    <t>3260</t>
  </si>
  <si>
    <t>3264</t>
  </si>
  <si>
    <t>3691</t>
  </si>
  <si>
    <t>4123</t>
  </si>
  <si>
    <t>5009</t>
  </si>
  <si>
    <t>5347</t>
  </si>
  <si>
    <t>5371</t>
  </si>
  <si>
    <t>5483</t>
  </si>
  <si>
    <t>6121</t>
  </si>
  <si>
    <t>6147</t>
  </si>
  <si>
    <t>8044</t>
  </si>
  <si>
    <t>8069</t>
  </si>
  <si>
    <t>8299</t>
  </si>
  <si>
    <t>8942</t>
  </si>
  <si>
    <t>2231</t>
  </si>
  <si>
    <t>6116</t>
  </si>
  <si>
    <t>6279</t>
  </si>
  <si>
    <t>2345</t>
  </si>
  <si>
    <t>6414</t>
  </si>
  <si>
    <t>1536</t>
  </si>
  <si>
    <t>1909</t>
  </si>
  <si>
    <t>3081</t>
  </si>
  <si>
    <t>3552</t>
  </si>
  <si>
    <t>6274</t>
  </si>
  <si>
    <t>6488</t>
  </si>
  <si>
    <t>6510</t>
  </si>
  <si>
    <t>3711</t>
  </si>
  <si>
    <t>3227</t>
  </si>
  <si>
    <t>4162</t>
  </si>
  <si>
    <t>4736</t>
  </si>
  <si>
    <t>5425</t>
  </si>
  <si>
    <t>2633</t>
  </si>
  <si>
    <t>5269</t>
  </si>
  <si>
    <t>3529</t>
  </si>
  <si>
    <t>2383</t>
  </si>
  <si>
    <t>6173</t>
  </si>
  <si>
    <t>6182</t>
  </si>
  <si>
    <t>8436</t>
  </si>
  <si>
    <t>6462</t>
  </si>
  <si>
    <t>5457</t>
  </si>
  <si>
    <t>8358</t>
  </si>
  <si>
    <t>標的代號</t>
  </si>
  <si>
    <t>標的代號</t>
    <phoneticPr fontId="2" type="noConversion"/>
  </si>
  <si>
    <t>標的名稱</t>
    <phoneticPr fontId="2" type="noConversion"/>
  </si>
  <si>
    <t>股期代號</t>
  </si>
  <si>
    <t>股期代號</t>
    <phoneticPr fontId="2" type="noConversion"/>
  </si>
  <si>
    <t>契約乘數</t>
    <phoneticPr fontId="2" type="noConversion"/>
  </si>
  <si>
    <t>契約月份</t>
    <phoneticPr fontId="2" type="noConversion"/>
  </si>
  <si>
    <t>契約代號</t>
    <phoneticPr fontId="2" type="noConversion"/>
  </si>
  <si>
    <t>漲跌%</t>
    <phoneticPr fontId="2" type="noConversion"/>
  </si>
  <si>
    <t>昨收價</t>
    <phoneticPr fontId="2" type="noConversion"/>
  </si>
  <si>
    <t>股票名稱</t>
    <phoneticPr fontId="2" type="noConversion"/>
  </si>
  <si>
    <t>EZ</t>
  </si>
  <si>
    <t>台灣肥料股份有限公司</t>
  </si>
  <si>
    <t>台肥</t>
  </si>
  <si>
    <t>FN</t>
  </si>
  <si>
    <t>裕隆汽車製造股份有限公司</t>
  </si>
  <si>
    <t>裕隆</t>
  </si>
  <si>
    <t>JM</t>
  </si>
  <si>
    <t>健策精密工業股份有限公司</t>
  </si>
  <si>
    <t>健策</t>
  </si>
  <si>
    <t>KE</t>
  </si>
  <si>
    <t>台灣表面黏著科技股份有限公司</t>
  </si>
  <si>
    <t>台表科</t>
  </si>
  <si>
    <t>PR</t>
  </si>
  <si>
    <t>宏捷科技股份有限公司</t>
  </si>
  <si>
    <t>宏捷科</t>
  </si>
  <si>
    <t>PS</t>
  </si>
  <si>
    <t xml:space="preserve">神達投資控股股份有限公司 </t>
  </si>
  <si>
    <t>神達</t>
  </si>
  <si>
    <t>PT</t>
  </si>
  <si>
    <t>雙鴻科技股份有限公司</t>
  </si>
  <si>
    <t>雙鴻</t>
  </si>
  <si>
    <t>PU</t>
  </si>
  <si>
    <t>PV</t>
  </si>
  <si>
    <t>緯穎科技服務股份有限公司</t>
  </si>
  <si>
    <t>緯穎</t>
  </si>
  <si>
    <t>PW</t>
  </si>
  <si>
    <t>PX</t>
  </si>
  <si>
    <t>鈊象電子股份有限公司</t>
  </si>
  <si>
    <t>鈊象</t>
  </si>
  <si>
    <t>PY</t>
  </si>
  <si>
    <t>PZ</t>
  </si>
  <si>
    <t>信驊科技股份有限公司</t>
  </si>
  <si>
    <t>信驊</t>
  </si>
  <si>
    <t>QA</t>
  </si>
  <si>
    <t>QB</t>
  </si>
  <si>
    <t>富采投資控股股份有限公司</t>
  </si>
  <si>
    <t>富采</t>
  </si>
  <si>
    <t>QC</t>
  </si>
  <si>
    <t>裕民航運股份有限公司</t>
  </si>
  <si>
    <t>裕民</t>
  </si>
  <si>
    <t>QD</t>
  </si>
  <si>
    <t>台塑勝高科技股份有限公司</t>
  </si>
  <si>
    <t>台勝科</t>
  </si>
  <si>
    <t>QE</t>
  </si>
  <si>
    <t>QF</t>
  </si>
  <si>
    <t>QG</t>
  </si>
  <si>
    <t>QH</t>
  </si>
  <si>
    <t>QI</t>
  </si>
  <si>
    <t>QJ</t>
  </si>
  <si>
    <t xml:space="preserve">    註：最新更新(生效)日期：2021年2月1日。</t>
  </si>
  <si>
    <t>02</t>
    <phoneticPr fontId="2" type="noConversion"/>
  </si>
  <si>
    <t>B</t>
    <phoneticPr fontId="2" type="noConversion"/>
  </si>
  <si>
    <t>NYF</t>
  </si>
  <si>
    <t>PFF</t>
  </si>
  <si>
    <t>NZF</t>
  </si>
  <si>
    <t>OAF</t>
  </si>
  <si>
    <t>OBF</t>
  </si>
  <si>
    <t>OCF</t>
  </si>
  <si>
    <t>OJF</t>
  </si>
  <si>
    <t>OKF</t>
  </si>
  <si>
    <t>OOF</t>
  </si>
  <si>
    <t>DFF</t>
  </si>
  <si>
    <t>DYF</t>
  </si>
  <si>
    <t>DZF</t>
  </si>
  <si>
    <t>CQF</t>
  </si>
  <si>
    <t>CFF</t>
  </si>
  <si>
    <t>CAF</t>
  </si>
  <si>
    <t>EEF</t>
  </si>
  <si>
    <t>EGF</t>
  </si>
  <si>
    <t>EHF</t>
  </si>
  <si>
    <t>DGF</t>
  </si>
  <si>
    <t>CRF</t>
  </si>
  <si>
    <t>LWF</t>
  </si>
  <si>
    <t>KSF</t>
  </si>
  <si>
    <t>EMF</t>
  </si>
  <si>
    <t>ORF</t>
  </si>
  <si>
    <t>MYF</t>
  </si>
  <si>
    <t>OMF</t>
  </si>
  <si>
    <t>EPF</t>
  </si>
  <si>
    <t>CSF</t>
  </si>
  <si>
    <t>ERF</t>
  </si>
  <si>
    <t>MAF</t>
  </si>
  <si>
    <t>EYF</t>
  </si>
  <si>
    <t>1722</t>
  </si>
  <si>
    <t>EZF</t>
  </si>
  <si>
    <t>OSF</t>
  </si>
  <si>
    <t>CBF</t>
  </si>
  <si>
    <t>FEF</t>
  </si>
  <si>
    <t>FFF</t>
  </si>
  <si>
    <t>FGF</t>
  </si>
  <si>
    <t>FKF</t>
  </si>
  <si>
    <t>2201</t>
  </si>
  <si>
    <t>FNF</t>
  </si>
  <si>
    <t>ODF</t>
  </si>
  <si>
    <t>FQF</t>
  </si>
  <si>
    <t>CCF</t>
  </si>
  <si>
    <t>FRF</t>
  </si>
  <si>
    <t>FTF</t>
  </si>
  <si>
    <t>DHF</t>
  </si>
  <si>
    <t>CUF</t>
  </si>
  <si>
    <t>CGF</t>
  </si>
  <si>
    <t>LXF</t>
  </si>
  <si>
    <t>QEF</t>
  </si>
  <si>
    <t>KWF</t>
  </si>
  <si>
    <t>CDF</t>
  </si>
  <si>
    <t>QFF</t>
  </si>
  <si>
    <t>FVF</t>
  </si>
  <si>
    <t>FWF</t>
  </si>
  <si>
    <t>DIF</t>
  </si>
  <si>
    <t>FYF</t>
  </si>
  <si>
    <t>FZF</t>
  </si>
  <si>
    <t>OPF</t>
  </si>
  <si>
    <t>GAF</t>
  </si>
  <si>
    <t>CWF</t>
  </si>
  <si>
    <t>DSF</t>
  </si>
  <si>
    <t>GCF</t>
  </si>
  <si>
    <t>MBF</t>
  </si>
  <si>
    <t>LQF</t>
  </si>
  <si>
    <t>DJF</t>
  </si>
  <si>
    <t>MJF</t>
  </si>
  <si>
    <t>CXF</t>
  </si>
  <si>
    <t>GHF</t>
  </si>
  <si>
    <t>GIF</t>
  </si>
  <si>
    <t>GJF</t>
  </si>
  <si>
    <t>QGF</t>
  </si>
  <si>
    <t>DKF</t>
  </si>
  <si>
    <t>PJF</t>
  </si>
  <si>
    <t>GLF</t>
  </si>
  <si>
    <t>GMF</t>
  </si>
  <si>
    <t>GNF</t>
  </si>
  <si>
    <t>GOF</t>
  </si>
  <si>
    <t>CYF</t>
  </si>
  <si>
    <t>CHF</t>
  </si>
  <si>
    <t>DLF</t>
  </si>
  <si>
    <t>MKF</t>
  </si>
  <si>
    <t>GRF</t>
  </si>
  <si>
    <t>DVF</t>
  </si>
  <si>
    <t>PUF</t>
  </si>
  <si>
    <t>GUF</t>
  </si>
  <si>
    <t>GWF</t>
  </si>
  <si>
    <t>GXF</t>
  </si>
  <si>
    <t>GZF</t>
  </si>
  <si>
    <t>HAF</t>
  </si>
  <si>
    <t>HBF</t>
  </si>
  <si>
    <t>HCF</t>
  </si>
  <si>
    <t>HHF</t>
  </si>
  <si>
    <t>HIF</t>
  </si>
  <si>
    <t>HLF</t>
  </si>
  <si>
    <t>HOF</t>
  </si>
  <si>
    <t>CZF</t>
  </si>
  <si>
    <t>2606</t>
  </si>
  <si>
    <t>QCF</t>
  </si>
  <si>
    <t>HSF</t>
  </si>
  <si>
    <t>PGF</t>
  </si>
  <si>
    <t>DCF</t>
  </si>
  <si>
    <t>HYF</t>
  </si>
  <si>
    <t>IAF</t>
  </si>
  <si>
    <t>CJF</t>
  </si>
  <si>
    <t>CEF</t>
  </si>
  <si>
    <t>CKF</t>
  </si>
  <si>
    <t>LRF</t>
  </si>
  <si>
    <t>DNF</t>
  </si>
  <si>
    <t>DOF</t>
  </si>
  <si>
    <t>CLF</t>
  </si>
  <si>
    <t>CMF</t>
  </si>
  <si>
    <t>DDF</t>
  </si>
  <si>
    <t>DEF</t>
  </si>
  <si>
    <t>CNF</t>
  </si>
  <si>
    <t>DPF</t>
  </si>
  <si>
    <t>IHF</t>
  </si>
  <si>
    <t>DWF</t>
  </si>
  <si>
    <t>IIF</t>
  </si>
  <si>
    <t>IJF</t>
  </si>
  <si>
    <t>OLF</t>
  </si>
  <si>
    <t>IMF</t>
  </si>
  <si>
    <t>IOF</t>
  </si>
  <si>
    <t>QHF</t>
  </si>
  <si>
    <t>IPF</t>
  </si>
  <si>
    <t>IQF</t>
  </si>
  <si>
    <t>IRF</t>
  </si>
  <si>
    <t>ITF</t>
  </si>
  <si>
    <t>LBF</t>
  </si>
  <si>
    <t>LCF</t>
  </si>
  <si>
    <t>OTF</t>
  </si>
  <si>
    <t>NAF</t>
  </si>
  <si>
    <t>QIF</t>
  </si>
  <si>
    <t>NBF</t>
  </si>
  <si>
    <t>IXF</t>
  </si>
  <si>
    <t>NCF</t>
  </si>
  <si>
    <t>PAF</t>
  </si>
  <si>
    <t>DXF</t>
  </si>
  <si>
    <t>NDF</t>
  </si>
  <si>
    <t>NEF</t>
  </si>
  <si>
    <t>3293</t>
  </si>
  <si>
    <t>PXF</t>
  </si>
  <si>
    <t>PYF</t>
  </si>
  <si>
    <t>3324</t>
  </si>
  <si>
    <t>PTF</t>
  </si>
  <si>
    <t>IYF</t>
  </si>
  <si>
    <t>IZF</t>
  </si>
  <si>
    <t>LEF</t>
  </si>
  <si>
    <t>QJF</t>
  </si>
  <si>
    <t>JBF</t>
  </si>
  <si>
    <t>DQF</t>
  </si>
  <si>
    <t>PIF</t>
  </si>
  <si>
    <t>3532</t>
  </si>
  <si>
    <t>QDF</t>
  </si>
  <si>
    <t>JFF</t>
  </si>
  <si>
    <t>OUF</t>
  </si>
  <si>
    <t>3653</t>
  </si>
  <si>
    <t>JMF</t>
  </si>
  <si>
    <t>JNF</t>
  </si>
  <si>
    <t>NGF</t>
  </si>
  <si>
    <t>JPF</t>
  </si>
  <si>
    <t>3706</t>
  </si>
  <si>
    <t>PSF</t>
  </si>
  <si>
    <t>OZF</t>
  </si>
  <si>
    <t>3714</t>
  </si>
  <si>
    <t>QBF</t>
  </si>
  <si>
    <t>NIF</t>
  </si>
  <si>
    <t>PCF</t>
  </si>
  <si>
    <t>PDF</t>
  </si>
  <si>
    <t>LTF</t>
  </si>
  <si>
    <t>JSF</t>
  </si>
  <si>
    <t>LUF</t>
  </si>
  <si>
    <t>NJF</t>
  </si>
  <si>
    <t>PHF</t>
  </si>
  <si>
    <t>PNF</t>
  </si>
  <si>
    <t>5274</t>
  </si>
  <si>
    <t>PZF</t>
  </si>
  <si>
    <t>QAF</t>
  </si>
  <si>
    <t>NLF</t>
  </si>
  <si>
    <t>NMF</t>
  </si>
  <si>
    <t>PEF</t>
  </si>
  <si>
    <t>PPF</t>
  </si>
  <si>
    <t>NOF</t>
  </si>
  <si>
    <t>JWF</t>
  </si>
  <si>
    <t>LVF</t>
  </si>
  <si>
    <t>LOF</t>
  </si>
  <si>
    <t>OEF</t>
  </si>
  <si>
    <t>NQF</t>
  </si>
  <si>
    <t>NSF</t>
  </si>
  <si>
    <t>JZF</t>
  </si>
  <si>
    <t>PKF</t>
  </si>
  <si>
    <t>KAF</t>
  </si>
  <si>
    <t>PLF</t>
  </si>
  <si>
    <t>KBF</t>
  </si>
  <si>
    <t>MPF</t>
  </si>
  <si>
    <t>KCF</t>
  </si>
  <si>
    <t>MQF</t>
  </si>
  <si>
    <t>LIF</t>
  </si>
  <si>
    <t>KDF</t>
  </si>
  <si>
    <t>OVF</t>
  </si>
  <si>
    <t>6278</t>
  </si>
  <si>
    <t>KEF</t>
  </si>
  <si>
    <t>OHF</t>
  </si>
  <si>
    <t>KFF</t>
  </si>
  <si>
    <t>KGF</t>
  </si>
  <si>
    <t>OQF</t>
  </si>
  <si>
    <t>POF</t>
  </si>
  <si>
    <t>OWF</t>
  </si>
  <si>
    <t>PBF</t>
  </si>
  <si>
    <t>OXF</t>
  </si>
  <si>
    <t>OYF</t>
  </si>
  <si>
    <t>6669</t>
  </si>
  <si>
    <t>PVF</t>
  </si>
  <si>
    <t>PWF</t>
  </si>
  <si>
    <t>KIF</t>
  </si>
  <si>
    <t>NUF</t>
  </si>
  <si>
    <t>LYF</t>
  </si>
  <si>
    <t>NVF</t>
  </si>
  <si>
    <t>8086</t>
  </si>
  <si>
    <t>PRF</t>
  </si>
  <si>
    <t>KKF</t>
  </si>
  <si>
    <t>NWF</t>
  </si>
  <si>
    <t>PQF</t>
  </si>
  <si>
    <t>PMF</t>
  </si>
  <si>
    <t>NXF</t>
  </si>
  <si>
    <t>KLF</t>
  </si>
  <si>
    <t>LMF</t>
  </si>
  <si>
    <t>MVF</t>
  </si>
  <si>
    <t>KOF</t>
  </si>
  <si>
    <t>KPF</t>
  </si>
  <si>
    <t>類別</t>
    <phoneticPr fontId="2" type="noConversion"/>
  </si>
  <si>
    <t>格式：一般排行/衍生金融–期貨代號表//文字///日期//否/</t>
  </si>
  <si>
    <t>基準日:最近一日</t>
  </si>
  <si>
    <t>更新標題:是</t>
  </si>
  <si>
    <t>表格欄位/代號種類^=^Z^;^週期編號^=^D^;^AllCMenuIDs^=^M092,M092,M092,M092,M092,M092,M092,M092,M092,M092,M092^;^是否轉置^=^False^;^檢視方式^=^2^;^AllFields^=^日期,交割月份,開盤價,最高價,最低價,收盤價,漲跌,漲幅(%),成交量,結算價,未沖銷契約數^;^MainTable^=^^;^ListType^=^B024^;^SelectDate^=^TOP 1|TOP 1|TOP 1|TOP 1|TOP 1|TOP 1|TOP 1|TOP 1|TOP 1|TOP 1|TOP 1^;^SelectCMenuID^=^M092^;^SelectDate種類^=^1|1|1|1|1|1|1|1|1|1|1^;^AllFieldsNO^=^,,,,,,,,,,^;^自訂欄位公式^=^||||||||||^;^自訂欄位Where條件^=^||||||||||^;^多期數值處理方式^=^1|1|1|1|1|1|1|1|1|1|1^;^多欄指定個股方式^=^^;^多欄指定個股^=^^;^多欄指定群組名稱^=^^;^欄位顯示狀態^=^1|1|1|1|1|1|1|1|1|1|1^;^欄位轉換日期方式^=^||||||||||^;^欄位排序方式^=^||||||||||^;^欄位採用各期最新^=^||||||||||^;^樣本表系統定義全部代號^=^B024^;^單項目比較欄位^=^^;^單項目比較欄位編號^=^^;^表格類型^=^</t>
  </si>
  <si>
    <t>資料日期/</t>
  </si>
  <si>
    <t>參考標題</t>
  </si>
  <si>
    <t>代號</t>
  </si>
  <si>
    <t>名稱</t>
  </si>
  <si>
    <t>期貨交易行情表.日期/每一期/最近/1/遞增/日//</t>
  </si>
  <si>
    <t>期貨交易行情表.交割月份/每一期/最近/1/遞增/日//</t>
  </si>
  <si>
    <t>期貨交易行情表.開盤價/每一期/最近/1/遞增/日//</t>
  </si>
  <si>
    <t>期貨交易行情表.最高價/每一期/最近/1/遞增/日//</t>
  </si>
  <si>
    <t>期貨交易行情表.最低價/每一期/最近/1/遞增/日//</t>
  </si>
  <si>
    <t>期貨交易行情表.收盤價/每一期/最近/1/遞增/日//</t>
  </si>
  <si>
    <t>期貨交易行情表.漲跌/每一期/最近/1/遞增/日//</t>
  </si>
  <si>
    <t>期貨交易行情表.漲幅(%)/每一期/最近/1/遞增/日//</t>
  </si>
  <si>
    <t>期貨交易行情表.成交量/每一期/最近/1/遞增/日//</t>
  </si>
  <si>
    <t>期貨交易行情表.結算價/每一期/最近/1/遞增/日//</t>
  </si>
  <si>
    <t>期貨交易行情表.未沖銷契約數/每一期/最近/1/遞增/日//</t>
  </si>
  <si>
    <t>BRF</t>
  </si>
  <si>
    <t>BRF(1)</t>
  </si>
  <si>
    <t>BRF(1)PM</t>
  </si>
  <si>
    <t>BRF2</t>
  </si>
  <si>
    <t>BRF2(1)</t>
  </si>
  <si>
    <t>BRF202103</t>
  </si>
  <si>
    <t>BRF202104</t>
  </si>
  <si>
    <t>BRF202104PM</t>
  </si>
  <si>
    <t>BRF202105</t>
  </si>
  <si>
    <t>BRF202105PM</t>
  </si>
  <si>
    <t>BRF202106</t>
  </si>
  <si>
    <t>BRF202106PM</t>
  </si>
  <si>
    <t>BRF202112</t>
  </si>
  <si>
    <t>BRF202112PM</t>
  </si>
  <si>
    <t>BRF202206</t>
  </si>
  <si>
    <t>BRF202206PM</t>
  </si>
  <si>
    <t>BRF2PM</t>
  </si>
  <si>
    <t>BRF3</t>
  </si>
  <si>
    <t>BRF3(1)</t>
  </si>
  <si>
    <t>BRFPM</t>
  </si>
  <si>
    <t>BTF</t>
  </si>
  <si>
    <t>BTF(1)</t>
  </si>
  <si>
    <t>BTF2</t>
  </si>
  <si>
    <t>BTF2(1)</t>
  </si>
  <si>
    <t>BTF202102</t>
  </si>
  <si>
    <t>BTF202103</t>
  </si>
  <si>
    <t>BTF202104</t>
  </si>
  <si>
    <t>BTF202106</t>
  </si>
  <si>
    <t>BTF202109</t>
  </si>
  <si>
    <t>BTF202112</t>
  </si>
  <si>
    <t>BTF3</t>
  </si>
  <si>
    <t>BTF3(1)</t>
  </si>
  <si>
    <t>CAF(1)</t>
  </si>
  <si>
    <t>CAF2</t>
  </si>
  <si>
    <t>CAF2(1)</t>
  </si>
  <si>
    <t>CAF202102</t>
  </si>
  <si>
    <t>CAF202102／03</t>
  </si>
  <si>
    <t>CAF202103</t>
  </si>
  <si>
    <t>CAF202106</t>
  </si>
  <si>
    <t>CAF202109</t>
  </si>
  <si>
    <t>CAF202112</t>
  </si>
  <si>
    <t>CBF(1)</t>
  </si>
  <si>
    <t>CBF2</t>
  </si>
  <si>
    <t>CBF2(1)</t>
  </si>
  <si>
    <t>CBF202102</t>
  </si>
  <si>
    <t>CBF202102／03</t>
  </si>
  <si>
    <t>CBF202103</t>
  </si>
  <si>
    <t>CBF202106</t>
  </si>
  <si>
    <t>CBF202109</t>
  </si>
  <si>
    <t>CBF202112</t>
  </si>
  <si>
    <t>CCF(1)</t>
  </si>
  <si>
    <t>CCF2</t>
  </si>
  <si>
    <t>CCF2(1)</t>
  </si>
  <si>
    <t>CCF202102</t>
  </si>
  <si>
    <t>CCF202102／03</t>
  </si>
  <si>
    <t>CCF202102／06</t>
  </si>
  <si>
    <t>CCF202102／09</t>
  </si>
  <si>
    <t>CCF202102／12</t>
  </si>
  <si>
    <t>CCF202103</t>
  </si>
  <si>
    <t>CCF202103／06</t>
  </si>
  <si>
    <t>CCF202103／09</t>
  </si>
  <si>
    <t>CCF202106</t>
  </si>
  <si>
    <t>CCF202106／09</t>
  </si>
  <si>
    <t>CCF202109</t>
  </si>
  <si>
    <t>CCF202109／12</t>
  </si>
  <si>
    <t>CCF202112</t>
  </si>
  <si>
    <t>CDF(1)</t>
  </si>
  <si>
    <t>CDF2</t>
  </si>
  <si>
    <t>CDF2(1)</t>
  </si>
  <si>
    <t>CDF202102</t>
  </si>
  <si>
    <t>CDF202102／03</t>
  </si>
  <si>
    <t>CDF202102／06</t>
  </si>
  <si>
    <t>CDF202102／09</t>
  </si>
  <si>
    <t>CDF202102／12</t>
  </si>
  <si>
    <t>CDF202103</t>
  </si>
  <si>
    <t>CDF202103／06</t>
  </si>
  <si>
    <t>CDF202103／09</t>
  </si>
  <si>
    <t>CDF202103／12</t>
  </si>
  <si>
    <t>CDF202106</t>
  </si>
  <si>
    <t>CDF202106／09</t>
  </si>
  <si>
    <t>CDF202106／12</t>
  </si>
  <si>
    <t>CDF202109</t>
  </si>
  <si>
    <t>CDF202109／12</t>
  </si>
  <si>
    <t>CDF202112</t>
  </si>
  <si>
    <t>CEF(1)</t>
  </si>
  <si>
    <t>CEF2</t>
  </si>
  <si>
    <t>CEF2(1)</t>
  </si>
  <si>
    <t>CEF202102</t>
  </si>
  <si>
    <t>CEF202102／03</t>
  </si>
  <si>
    <t>CEF202102／06</t>
  </si>
  <si>
    <t>CEF202103</t>
  </si>
  <si>
    <t>CEF202106</t>
  </si>
  <si>
    <t>CEF202109</t>
  </si>
  <si>
    <t>CEF202112</t>
  </si>
  <si>
    <t>CFF(1)</t>
  </si>
  <si>
    <t>CFF2</t>
  </si>
  <si>
    <t>CFF2(1)</t>
  </si>
  <si>
    <t>CFF202102</t>
  </si>
  <si>
    <t>CFF202102／03</t>
  </si>
  <si>
    <t>CFF202103</t>
  </si>
  <si>
    <t>CFF202106</t>
  </si>
  <si>
    <t>CFF202109</t>
  </si>
  <si>
    <t>CFF202112</t>
  </si>
  <si>
    <t>CGF(1)</t>
  </si>
  <si>
    <t>CGF2</t>
  </si>
  <si>
    <t>CGF2(1)</t>
  </si>
  <si>
    <t>CGF202102</t>
  </si>
  <si>
    <t>CGF202102／03</t>
  </si>
  <si>
    <t>CGF202103</t>
  </si>
  <si>
    <t>CGF202103／06</t>
  </si>
  <si>
    <t>CGF202106</t>
  </si>
  <si>
    <t>CGF202109</t>
  </si>
  <si>
    <t>CGF202112</t>
  </si>
  <si>
    <t>CHF(1)</t>
  </si>
  <si>
    <t>CHF2</t>
  </si>
  <si>
    <t>CHF2(1)</t>
  </si>
  <si>
    <t>CHF202102</t>
  </si>
  <si>
    <t>CHF202102／03</t>
  </si>
  <si>
    <t>CHF202102／06</t>
  </si>
  <si>
    <t>CHF202102／09</t>
  </si>
  <si>
    <t>CHF202103</t>
  </si>
  <si>
    <t>CHF202103／06</t>
  </si>
  <si>
    <t>CHF202103／09</t>
  </si>
  <si>
    <t>CHF202106</t>
  </si>
  <si>
    <t>CHF202109</t>
  </si>
  <si>
    <t>CHF202112</t>
  </si>
  <si>
    <t>CJF(1)</t>
  </si>
  <si>
    <t>CJF2</t>
  </si>
  <si>
    <t>CJF2(1)</t>
  </si>
  <si>
    <t>CJF202102</t>
  </si>
  <si>
    <t>CJF202102／03</t>
  </si>
  <si>
    <t>CJF202103</t>
  </si>
  <si>
    <t>CJF202106</t>
  </si>
  <si>
    <t>CJF202109</t>
  </si>
  <si>
    <t>CJF202112</t>
  </si>
  <si>
    <t>CKF(1)</t>
  </si>
  <si>
    <t>CKF2</t>
  </si>
  <si>
    <t>CKF2(1)</t>
  </si>
  <si>
    <t>CKF202102</t>
  </si>
  <si>
    <t>CKF202102／03</t>
  </si>
  <si>
    <t>CKF202103</t>
  </si>
  <si>
    <t>CKF202103／09</t>
  </si>
  <si>
    <t>CKF202106</t>
  </si>
  <si>
    <t>CKF202109</t>
  </si>
  <si>
    <t>CKF202112</t>
  </si>
  <si>
    <t>CLF(1)</t>
  </si>
  <si>
    <t>CLF2</t>
  </si>
  <si>
    <t>CLF2(1)</t>
  </si>
  <si>
    <t>CLF202102</t>
  </si>
  <si>
    <t>CLF202102／03</t>
  </si>
  <si>
    <t>CLF202103</t>
  </si>
  <si>
    <t>CLF202106</t>
  </si>
  <si>
    <t>CLF202109</t>
  </si>
  <si>
    <t>CLF202112</t>
  </si>
  <si>
    <t>CM1</t>
  </si>
  <si>
    <t>CM1(1)</t>
  </si>
  <si>
    <t>CM1202103</t>
  </si>
  <si>
    <t>CMF(1)</t>
  </si>
  <si>
    <t>CMF2</t>
  </si>
  <si>
    <t>CMF2(1)</t>
  </si>
  <si>
    <t>CMF202102</t>
  </si>
  <si>
    <t>CMF202102／03</t>
  </si>
  <si>
    <t>CMF202103</t>
  </si>
  <si>
    <t>CMF202106</t>
  </si>
  <si>
    <t>CMF202109</t>
  </si>
  <si>
    <t>CMF202112</t>
  </si>
  <si>
    <t>CNF(1)</t>
  </si>
  <si>
    <t>CNF2</t>
  </si>
  <si>
    <t>CNF2(1)</t>
  </si>
  <si>
    <t>CNF202102</t>
  </si>
  <si>
    <t>CNF202102／03</t>
  </si>
  <si>
    <t>CNF202103</t>
  </si>
  <si>
    <t>CNF202106</t>
  </si>
  <si>
    <t>CNF202109</t>
  </si>
  <si>
    <t>CNF202112</t>
  </si>
  <si>
    <t>CQF(1)</t>
  </si>
  <si>
    <t>CQF2</t>
  </si>
  <si>
    <t>CQF2(1)</t>
  </si>
  <si>
    <t>CQF202102</t>
  </si>
  <si>
    <t>CQF202102／03</t>
  </si>
  <si>
    <t>CQF202103</t>
  </si>
  <si>
    <t>CQF202106</t>
  </si>
  <si>
    <t>CQF202109</t>
  </si>
  <si>
    <t>CQF202112</t>
  </si>
  <si>
    <t>CRF(1)</t>
  </si>
  <si>
    <t>CRF2</t>
  </si>
  <si>
    <t>CRF2(1)</t>
  </si>
  <si>
    <t>CRF202102</t>
  </si>
  <si>
    <t>CRF202102／03</t>
  </si>
  <si>
    <t>CRF202103</t>
  </si>
  <si>
    <t>CRF202106</t>
  </si>
  <si>
    <t>CRF202109</t>
  </si>
  <si>
    <t>CRF202112</t>
  </si>
  <si>
    <t>CSF(1)</t>
  </si>
  <si>
    <t>CSF2</t>
  </si>
  <si>
    <t>CSF2(1)</t>
  </si>
  <si>
    <t>CSF202102</t>
  </si>
  <si>
    <t>CSF202102／03</t>
  </si>
  <si>
    <t>CSF202103</t>
  </si>
  <si>
    <t>CSF202106</t>
  </si>
  <si>
    <t>CSF202109</t>
  </si>
  <si>
    <t>CSF202112</t>
  </si>
  <si>
    <t>CUF(1)</t>
  </si>
  <si>
    <t>CUF2</t>
  </si>
  <si>
    <t>CUF2(1)</t>
  </si>
  <si>
    <t>CUF202102</t>
  </si>
  <si>
    <t>CUF202103</t>
  </si>
  <si>
    <t>CUF202106</t>
  </si>
  <si>
    <t>CUF202109</t>
  </si>
  <si>
    <t>CUF202112</t>
  </si>
  <si>
    <t>CWF(1)</t>
  </si>
  <si>
    <t>CWF2</t>
  </si>
  <si>
    <t>CWF2(1)</t>
  </si>
  <si>
    <t>CWF202102</t>
  </si>
  <si>
    <t>CWF202102／03</t>
  </si>
  <si>
    <t>CWF202103</t>
  </si>
  <si>
    <t>CWF202106</t>
  </si>
  <si>
    <t>CWF202109</t>
  </si>
  <si>
    <t>CWF202112</t>
  </si>
  <si>
    <t>CXF(1)</t>
  </si>
  <si>
    <t>CXF202103</t>
  </si>
  <si>
    <t>CYF(1)</t>
  </si>
  <si>
    <t>CYF2</t>
  </si>
  <si>
    <t>CYF2(1)</t>
  </si>
  <si>
    <t>CYF202102</t>
  </si>
  <si>
    <t>CYF202102／03</t>
  </si>
  <si>
    <t>CYF202103</t>
  </si>
  <si>
    <t>CYF202106</t>
  </si>
  <si>
    <t>CYF202109</t>
  </si>
  <si>
    <t>CYF202112</t>
  </si>
  <si>
    <t>CZF(1)</t>
  </si>
  <si>
    <t>CZF2</t>
  </si>
  <si>
    <t>CZF2(1)</t>
  </si>
  <si>
    <t>CZF202102</t>
  </si>
  <si>
    <t>CZF202102／03</t>
  </si>
  <si>
    <t>CZF202103</t>
  </si>
  <si>
    <t>CZF202103／06</t>
  </si>
  <si>
    <t>CZF202106</t>
  </si>
  <si>
    <t>CZF202109</t>
  </si>
  <si>
    <t>CZF202112</t>
  </si>
  <si>
    <t>DCF(1)</t>
  </si>
  <si>
    <t>DCF2</t>
  </si>
  <si>
    <t>DCF2(1)</t>
  </si>
  <si>
    <t>DCF202102</t>
  </si>
  <si>
    <t>DCF202102／03</t>
  </si>
  <si>
    <t>DCF202103</t>
  </si>
  <si>
    <t>DCF202106</t>
  </si>
  <si>
    <t>DCF202109</t>
  </si>
  <si>
    <t>DCF202112</t>
  </si>
  <si>
    <t>DDF(1)</t>
  </si>
  <si>
    <t>DDF2</t>
  </si>
  <si>
    <t>DDF2(1)</t>
  </si>
  <si>
    <t>DDF202102</t>
  </si>
  <si>
    <t>DDF202102／03</t>
  </si>
  <si>
    <t>DDF202103</t>
  </si>
  <si>
    <t>DDF202106</t>
  </si>
  <si>
    <t>DDF202109</t>
  </si>
  <si>
    <t>DDF202112</t>
  </si>
  <si>
    <t>DEF(1)</t>
  </si>
  <si>
    <t>DEF2</t>
  </si>
  <si>
    <t>DEF2(1)</t>
  </si>
  <si>
    <t>DEF202102</t>
  </si>
  <si>
    <t>DEF202102／03</t>
  </si>
  <si>
    <t>DEF202103</t>
  </si>
  <si>
    <t>DEF202106</t>
  </si>
  <si>
    <t>DEF202109</t>
  </si>
  <si>
    <t>DEF202112</t>
  </si>
  <si>
    <t>DFF(1)</t>
  </si>
  <si>
    <t>DFF2</t>
  </si>
  <si>
    <t>DFF2(1)</t>
  </si>
  <si>
    <t>DFF202102</t>
  </si>
  <si>
    <t>DFF202102／03</t>
  </si>
  <si>
    <t>DFF202102／09</t>
  </si>
  <si>
    <t>DFF202103</t>
  </si>
  <si>
    <t>DFF202106</t>
  </si>
  <si>
    <t>DFF202109</t>
  </si>
  <si>
    <t>DFF202112</t>
  </si>
  <si>
    <t>DGF(1)</t>
  </si>
  <si>
    <t>DGF2</t>
  </si>
  <si>
    <t>DGF2(1)</t>
  </si>
  <si>
    <t>DGF202102</t>
  </si>
  <si>
    <t>DGF202102／03</t>
  </si>
  <si>
    <t>DGF202103</t>
  </si>
  <si>
    <t>DGF202106</t>
  </si>
  <si>
    <t>DGF202109</t>
  </si>
  <si>
    <t>DGF202112</t>
  </si>
  <si>
    <t>DHF(1)</t>
  </si>
  <si>
    <t>DHF2</t>
  </si>
  <si>
    <t>DHF2(1)</t>
  </si>
  <si>
    <t>DHF202102</t>
  </si>
  <si>
    <t>DHF202102／03</t>
  </si>
  <si>
    <t>DHF202102／06</t>
  </si>
  <si>
    <t>DHF202102／09</t>
  </si>
  <si>
    <t>DHF202102／12</t>
  </si>
  <si>
    <t>DHF202103</t>
  </si>
  <si>
    <t>DHF202103／06</t>
  </si>
  <si>
    <t>DHF202103／09</t>
  </si>
  <si>
    <t>DHF202103／12</t>
  </si>
  <si>
    <t>DHF202106</t>
  </si>
  <si>
    <t>DHF202106／09</t>
  </si>
  <si>
    <t>DHF202109</t>
  </si>
  <si>
    <t>DHF202109／12</t>
  </si>
  <si>
    <t>DHF202112</t>
  </si>
  <si>
    <t>DIF(1)</t>
  </si>
  <si>
    <t>DIF2</t>
  </si>
  <si>
    <t>DIF2(1)</t>
  </si>
  <si>
    <t>DIF202102</t>
  </si>
  <si>
    <t>DIF202102／03</t>
  </si>
  <si>
    <t>DIF202102／06</t>
  </si>
  <si>
    <t>DIF202103</t>
  </si>
  <si>
    <t>DIF202103／06</t>
  </si>
  <si>
    <t>DIF202106</t>
  </si>
  <si>
    <t>DIF202109</t>
  </si>
  <si>
    <t>DIF202112</t>
  </si>
  <si>
    <t>DJF(1)</t>
  </si>
  <si>
    <t>DJF2</t>
  </si>
  <si>
    <t>DJF2(1)</t>
  </si>
  <si>
    <t>DJF202102</t>
  </si>
  <si>
    <t>DJF202102／03</t>
  </si>
  <si>
    <t>DJF202103</t>
  </si>
  <si>
    <t>DJF202106</t>
  </si>
  <si>
    <t>DJF202109</t>
  </si>
  <si>
    <t>DJF202112</t>
  </si>
  <si>
    <t>DKF(1)</t>
  </si>
  <si>
    <t>DKF2</t>
  </si>
  <si>
    <t>DKF2(1)</t>
  </si>
  <si>
    <t>DKF202102</t>
  </si>
  <si>
    <t>DKF202102／03</t>
  </si>
  <si>
    <t>DKF202103</t>
  </si>
  <si>
    <t>DKF202106</t>
  </si>
  <si>
    <t>DKF202109</t>
  </si>
  <si>
    <t>DKF202112</t>
  </si>
  <si>
    <t>DLF(1)</t>
  </si>
  <si>
    <t>DLF2</t>
  </si>
  <si>
    <t>DLF2(1)</t>
  </si>
  <si>
    <t>DLF202102</t>
  </si>
  <si>
    <t>DLF202102／03</t>
  </si>
  <si>
    <t>DLF202103</t>
  </si>
  <si>
    <t>DLF202106</t>
  </si>
  <si>
    <t>DLF202109</t>
  </si>
  <si>
    <t>DLF202112</t>
  </si>
  <si>
    <t>DNF(1)</t>
  </si>
  <si>
    <t>DNF2</t>
  </si>
  <si>
    <t>DNF2(1)</t>
  </si>
  <si>
    <t>DNF202102</t>
  </si>
  <si>
    <t>DNF202102／03</t>
  </si>
  <si>
    <t>DNF202103</t>
  </si>
  <si>
    <t>DNF202106</t>
  </si>
  <si>
    <t>DNF202109</t>
  </si>
  <si>
    <t>DNF202112</t>
  </si>
  <si>
    <t>DOF(1)</t>
  </si>
  <si>
    <t>DOF2</t>
  </si>
  <si>
    <t>DOF2(1)</t>
  </si>
  <si>
    <t>DOF202102</t>
  </si>
  <si>
    <t>DOF202102／03</t>
  </si>
  <si>
    <t>DOF202103</t>
  </si>
  <si>
    <t>DOF202106</t>
  </si>
  <si>
    <t>DOF202109</t>
  </si>
  <si>
    <t>DOF202112</t>
  </si>
  <si>
    <t>DPF(1)</t>
  </si>
  <si>
    <t>DPF2</t>
  </si>
  <si>
    <t>DPF2(1)</t>
  </si>
  <si>
    <t>DPF202102</t>
  </si>
  <si>
    <t>DPF202102／03</t>
  </si>
  <si>
    <t>DPF202103</t>
  </si>
  <si>
    <t>DPF202106</t>
  </si>
  <si>
    <t>DPF202109</t>
  </si>
  <si>
    <t>DPF202112</t>
  </si>
  <si>
    <t>DQF(1)</t>
  </si>
  <si>
    <t>DQF2</t>
  </si>
  <si>
    <t>DQF2(1)</t>
  </si>
  <si>
    <t>DQF202102</t>
  </si>
  <si>
    <t>DQF202102／03</t>
  </si>
  <si>
    <t>DQF202102／06</t>
  </si>
  <si>
    <t>DQF202103</t>
  </si>
  <si>
    <t>DQF202103／06</t>
  </si>
  <si>
    <t>DQF202106</t>
  </si>
  <si>
    <t>DQF202109</t>
  </si>
  <si>
    <t>DQF202112</t>
  </si>
  <si>
    <t>DSF(1)</t>
  </si>
  <si>
    <t>DSF2</t>
  </si>
  <si>
    <t>DSF2(1)</t>
  </si>
  <si>
    <t>DSF202102</t>
  </si>
  <si>
    <t>DSF202102／03</t>
  </si>
  <si>
    <t>DSF202103</t>
  </si>
  <si>
    <t>DSF202106</t>
  </si>
  <si>
    <t>DSF202109</t>
  </si>
  <si>
    <t>DSF202112</t>
  </si>
  <si>
    <t>DVF(1)</t>
  </si>
  <si>
    <t>DVF2</t>
  </si>
  <si>
    <t>DVF2(1)</t>
  </si>
  <si>
    <t>DVF202102</t>
  </si>
  <si>
    <t>DVF202102／03</t>
  </si>
  <si>
    <t>DVF202103</t>
  </si>
  <si>
    <t>DVF202103／06</t>
  </si>
  <si>
    <t>DVF202106</t>
  </si>
  <si>
    <t>DVF202109</t>
  </si>
  <si>
    <t>DVF202112</t>
  </si>
  <si>
    <t>DWF(1)</t>
  </si>
  <si>
    <t>DWF2</t>
  </si>
  <si>
    <t>DWF2(1)</t>
  </si>
  <si>
    <t>DWF202102</t>
  </si>
  <si>
    <t>DWF202102／03</t>
  </si>
  <si>
    <t>DWF202103</t>
  </si>
  <si>
    <t>DWF202106</t>
  </si>
  <si>
    <t>DWF202109</t>
  </si>
  <si>
    <t>DWF202112</t>
  </si>
  <si>
    <t>DXF(1)</t>
  </si>
  <si>
    <t>DXF2</t>
  </si>
  <si>
    <t>DXF2(1)</t>
  </si>
  <si>
    <t>DXF202102</t>
  </si>
  <si>
    <t>DXF202102／03</t>
  </si>
  <si>
    <t>DXF202103</t>
  </si>
  <si>
    <t>DXF202106</t>
  </si>
  <si>
    <t>DXF202109</t>
  </si>
  <si>
    <t>DXF202112</t>
  </si>
  <si>
    <t>DYF(1)</t>
  </si>
  <si>
    <t>DYF2</t>
  </si>
  <si>
    <t>DYF2(1)</t>
  </si>
  <si>
    <t>DYF202102</t>
  </si>
  <si>
    <t>DYF202102／03</t>
  </si>
  <si>
    <t>DYF202102／06</t>
  </si>
  <si>
    <t>DYF202103</t>
  </si>
  <si>
    <t>DYF202103／06</t>
  </si>
  <si>
    <t>DYF202106</t>
  </si>
  <si>
    <t>DYF202109</t>
  </si>
  <si>
    <t>DYF202112</t>
  </si>
  <si>
    <t>DZF(1)</t>
  </si>
  <si>
    <t>DZF2</t>
  </si>
  <si>
    <t>DZF2(1)</t>
  </si>
  <si>
    <t>DZF202102</t>
  </si>
  <si>
    <t>DZF202103</t>
  </si>
  <si>
    <t>DZF202106</t>
  </si>
  <si>
    <t>DZF202109</t>
  </si>
  <si>
    <t>DZF202112</t>
  </si>
  <si>
    <t>E4F</t>
  </si>
  <si>
    <t>E4F(1)</t>
  </si>
  <si>
    <t>E4F2</t>
  </si>
  <si>
    <t>E4F2(1)</t>
  </si>
  <si>
    <t>E4F202102</t>
  </si>
  <si>
    <t>E4F202102／03</t>
  </si>
  <si>
    <t>E4F202103</t>
  </si>
  <si>
    <t>E4F202104</t>
  </si>
  <si>
    <t>E4F202106</t>
  </si>
  <si>
    <t>E4F202109</t>
  </si>
  <si>
    <t>E4F202112</t>
  </si>
  <si>
    <t>E4F3</t>
  </si>
  <si>
    <t>E4F3(1)</t>
  </si>
  <si>
    <t>EEF(1)</t>
  </si>
  <si>
    <t>EEF2</t>
  </si>
  <si>
    <t>EEF2(1)</t>
  </si>
  <si>
    <t>EEF202102</t>
  </si>
  <si>
    <t>EEF202102／03</t>
  </si>
  <si>
    <t>EEF202103</t>
  </si>
  <si>
    <t>EEF202106</t>
  </si>
  <si>
    <t>EEF202109</t>
  </si>
  <si>
    <t>EEF202112</t>
  </si>
  <si>
    <t>EGF(1)</t>
  </si>
  <si>
    <t>EGF2</t>
  </si>
  <si>
    <t>EGF2(1)</t>
  </si>
  <si>
    <t>EGF202102</t>
  </si>
  <si>
    <t>EGF202102／03</t>
  </si>
  <si>
    <t>EGF202102／06</t>
  </si>
  <si>
    <t>EGF202103</t>
  </si>
  <si>
    <t>EGF202106</t>
  </si>
  <si>
    <t>EGF202106／09</t>
  </si>
  <si>
    <t>EGF202109</t>
  </si>
  <si>
    <t>EGF202112</t>
  </si>
  <si>
    <t>EHF(1)</t>
  </si>
  <si>
    <t>EHF2</t>
  </si>
  <si>
    <t>EHF2(1)</t>
  </si>
  <si>
    <t>EHF202102</t>
  </si>
  <si>
    <t>EHF202103</t>
  </si>
  <si>
    <t>EHF202106</t>
  </si>
  <si>
    <t>EHF202109</t>
  </si>
  <si>
    <t>EHF202112</t>
  </si>
  <si>
    <t>EMF(1)</t>
  </si>
  <si>
    <t>EMF2</t>
  </si>
  <si>
    <t>EMF2(1)</t>
  </si>
  <si>
    <t>EMF202102</t>
  </si>
  <si>
    <t>EMF202102／03</t>
  </si>
  <si>
    <t>EMF202103</t>
  </si>
  <si>
    <t>EMF202106</t>
  </si>
  <si>
    <t>EMF202109</t>
  </si>
  <si>
    <t>EMF202112</t>
  </si>
  <si>
    <t>EPF(1)</t>
  </si>
  <si>
    <t>EPF2</t>
  </si>
  <si>
    <t>EPF2(1)</t>
  </si>
  <si>
    <t>EPF202102</t>
  </si>
  <si>
    <t>EPF202102／03</t>
  </si>
  <si>
    <t>EPF202103</t>
  </si>
  <si>
    <t>EPF202106</t>
  </si>
  <si>
    <t>EPF202109</t>
  </si>
  <si>
    <t>EPF202112</t>
  </si>
  <si>
    <t>ERF(1)</t>
  </si>
  <si>
    <t>ERF2</t>
  </si>
  <si>
    <t>ERF2(1)</t>
  </si>
  <si>
    <t>ERF202102</t>
  </si>
  <si>
    <t>ERF202103</t>
  </si>
  <si>
    <t>ERF202106</t>
  </si>
  <si>
    <t>ERF202109</t>
  </si>
  <si>
    <t>ERF202112</t>
  </si>
  <si>
    <t>EYF(1)</t>
  </si>
  <si>
    <t>EYF2</t>
  </si>
  <si>
    <t>EYF2(1)</t>
  </si>
  <si>
    <t>EYF202102</t>
  </si>
  <si>
    <t>EYF202102／03</t>
  </si>
  <si>
    <t>EYF202103</t>
  </si>
  <si>
    <t>EYF202106</t>
  </si>
  <si>
    <t>EYF202109</t>
  </si>
  <si>
    <t>EYF202112</t>
  </si>
  <si>
    <t>EZF(1)</t>
  </si>
  <si>
    <t>EZF2</t>
  </si>
  <si>
    <t>EZF2(1)</t>
  </si>
  <si>
    <t>EZF202102</t>
  </si>
  <si>
    <t>EZF202102／03</t>
  </si>
  <si>
    <t>EZF202103</t>
  </si>
  <si>
    <t>EZF202106</t>
  </si>
  <si>
    <t>EZF202109</t>
  </si>
  <si>
    <t>EZF202112</t>
  </si>
  <si>
    <t>F1F</t>
  </si>
  <si>
    <t>F1F(1)</t>
  </si>
  <si>
    <t>F1F(1)PM</t>
  </si>
  <si>
    <t>F1F2</t>
  </si>
  <si>
    <t>F1F2(1)</t>
  </si>
  <si>
    <t>F1F202103</t>
  </si>
  <si>
    <t>F1F202103／06PM</t>
  </si>
  <si>
    <t>F1F202103PM</t>
  </si>
  <si>
    <t>F1F202106</t>
  </si>
  <si>
    <t>F1F202106PM</t>
  </si>
  <si>
    <t>F1F202109</t>
  </si>
  <si>
    <t>F1F202109PM</t>
  </si>
  <si>
    <t>F1F202112</t>
  </si>
  <si>
    <t>F1F202112PM</t>
  </si>
  <si>
    <t>F1F2PM</t>
  </si>
  <si>
    <t>F1FPM</t>
  </si>
  <si>
    <t>FE1</t>
  </si>
  <si>
    <t>FE1(1)</t>
  </si>
  <si>
    <t>FE1202106</t>
  </si>
  <si>
    <t>FEF(1)</t>
  </si>
  <si>
    <t>FEF2</t>
  </si>
  <si>
    <t>FEF2(1)</t>
  </si>
  <si>
    <t>FEF202102</t>
  </si>
  <si>
    <t>FEF202102／03</t>
  </si>
  <si>
    <t>FEF202103</t>
  </si>
  <si>
    <t>FEF202106</t>
  </si>
  <si>
    <t>FEF202109</t>
  </si>
  <si>
    <t>FEF202112</t>
  </si>
  <si>
    <t>FF1</t>
  </si>
  <si>
    <t>FF1(1)</t>
  </si>
  <si>
    <t>FF1202103</t>
  </si>
  <si>
    <t>FFF(1)</t>
  </si>
  <si>
    <t>FFF2</t>
  </si>
  <si>
    <t>FFF2(1)</t>
  </si>
  <si>
    <t>FFF202102</t>
  </si>
  <si>
    <t>FFF202102／03</t>
  </si>
  <si>
    <t>FFF202103</t>
  </si>
  <si>
    <t>FFF202106</t>
  </si>
  <si>
    <t>FFF202109</t>
  </si>
  <si>
    <t>FFF202112</t>
  </si>
  <si>
    <t>FGF(1)</t>
  </si>
  <si>
    <t>FGF2</t>
  </si>
  <si>
    <t>FGF2(1)</t>
  </si>
  <si>
    <t>FGF202102</t>
  </si>
  <si>
    <t>FGF202103</t>
  </si>
  <si>
    <t>FGF202106</t>
  </si>
  <si>
    <t>FGF202109</t>
  </si>
  <si>
    <t>FGF202112</t>
  </si>
  <si>
    <t>FKF(1)</t>
  </si>
  <si>
    <t>FKF2</t>
  </si>
  <si>
    <t>FKF2(1)</t>
  </si>
  <si>
    <t>FKF202102</t>
  </si>
  <si>
    <t>FKF202102／03</t>
  </si>
  <si>
    <t>FKF202103</t>
  </si>
  <si>
    <t>FKF202106</t>
  </si>
  <si>
    <t>FKF202109</t>
  </si>
  <si>
    <t>FKF202112</t>
  </si>
  <si>
    <t>FNF(1)</t>
  </si>
  <si>
    <t>FNF2</t>
  </si>
  <si>
    <t>FNF2(1)</t>
  </si>
  <si>
    <t>FNF202102</t>
  </si>
  <si>
    <t>FNF202102／03</t>
  </si>
  <si>
    <t>FNF202103</t>
  </si>
  <si>
    <t>FNF202106</t>
  </si>
  <si>
    <t>FNF202109</t>
  </si>
  <si>
    <t>FNF202112</t>
  </si>
  <si>
    <t>FQF(1)</t>
  </si>
  <si>
    <t>FQF2</t>
  </si>
  <si>
    <t>FQF2(1)</t>
  </si>
  <si>
    <t>FQF202102</t>
  </si>
  <si>
    <t>FQF202102／03</t>
  </si>
  <si>
    <t>FQF202103</t>
  </si>
  <si>
    <t>FQF202106</t>
  </si>
  <si>
    <t>FQF202109</t>
  </si>
  <si>
    <t>FQF202112</t>
  </si>
  <si>
    <t>FRF(1)</t>
  </si>
  <si>
    <t>FRF2</t>
  </si>
  <si>
    <t>FRF2(1)</t>
  </si>
  <si>
    <t>FRF202102</t>
  </si>
  <si>
    <t>FRF202102／03</t>
  </si>
  <si>
    <t>FRF202103</t>
  </si>
  <si>
    <t>FRF202106</t>
  </si>
  <si>
    <t>FRF202109</t>
  </si>
  <si>
    <t>FRF202112</t>
  </si>
  <si>
    <t>FTF(1)</t>
  </si>
  <si>
    <t>FTF2</t>
  </si>
  <si>
    <t>FTF2(1)</t>
  </si>
  <si>
    <t>FTF202102</t>
  </si>
  <si>
    <t>FTF202102／03</t>
  </si>
  <si>
    <t>FTF202103</t>
  </si>
  <si>
    <t>FTF202106</t>
  </si>
  <si>
    <t>FTF202109</t>
  </si>
  <si>
    <t>FTF202112</t>
  </si>
  <si>
    <t>FVF(1)</t>
  </si>
  <si>
    <t>FVF2</t>
  </si>
  <si>
    <t>FVF2(1)</t>
  </si>
  <si>
    <t>FVF202102</t>
  </si>
  <si>
    <t>FVF202102／03</t>
  </si>
  <si>
    <t>FVF202103</t>
  </si>
  <si>
    <t>FVF202106</t>
  </si>
  <si>
    <t>FVF202109</t>
  </si>
  <si>
    <t>FVF202112</t>
  </si>
  <si>
    <t>FWF(1)</t>
  </si>
  <si>
    <t>FWF2</t>
  </si>
  <si>
    <t>FWF2(1)</t>
  </si>
  <si>
    <t>FWF202102</t>
  </si>
  <si>
    <t>FWF202102／03</t>
  </si>
  <si>
    <t>FWF202103</t>
  </si>
  <si>
    <t>FWF202106</t>
  </si>
  <si>
    <t>FWF202109</t>
  </si>
  <si>
    <t>FWF202112</t>
  </si>
  <si>
    <t>FYF(1)</t>
  </si>
  <si>
    <t>FYF2</t>
  </si>
  <si>
    <t>FYF2(1)</t>
  </si>
  <si>
    <t>FYF202102</t>
  </si>
  <si>
    <t>FYF202102／03</t>
  </si>
  <si>
    <t>FYF202103</t>
  </si>
  <si>
    <t>FYF202106</t>
  </si>
  <si>
    <t>FYF202109</t>
  </si>
  <si>
    <t>FYF202112</t>
  </si>
  <si>
    <t>FZF(1)</t>
  </si>
  <si>
    <t>FZF2</t>
  </si>
  <si>
    <t>FZF2(1)</t>
  </si>
  <si>
    <t>FZF202102</t>
  </si>
  <si>
    <t>FZF202102／03</t>
  </si>
  <si>
    <t>FZF202103</t>
  </si>
  <si>
    <t>FZF202106</t>
  </si>
  <si>
    <t>FZF202109</t>
  </si>
  <si>
    <t>FZF202112</t>
  </si>
  <si>
    <t>G2F</t>
  </si>
  <si>
    <t>G2F(1)</t>
  </si>
  <si>
    <t>G2F2</t>
  </si>
  <si>
    <t>G2F2(1)</t>
  </si>
  <si>
    <t>G2F202102</t>
  </si>
  <si>
    <t>G2F202102／03</t>
  </si>
  <si>
    <t>G2F202103</t>
  </si>
  <si>
    <t>G2F202104</t>
  </si>
  <si>
    <t>G2F202106</t>
  </si>
  <si>
    <t>G2F202109</t>
  </si>
  <si>
    <t>G2F202112</t>
  </si>
  <si>
    <t>G2F3</t>
  </si>
  <si>
    <t>G2F3(1)</t>
  </si>
  <si>
    <t>GAF(1)</t>
  </si>
  <si>
    <t>GAF2</t>
  </si>
  <si>
    <t>GAF2(1)</t>
  </si>
  <si>
    <t>GAF202102</t>
  </si>
  <si>
    <t>GAF202102／03</t>
  </si>
  <si>
    <t>GAF202103</t>
  </si>
  <si>
    <t>GAF202106</t>
  </si>
  <si>
    <t>GAF202109</t>
  </si>
  <si>
    <t>GAF202112</t>
  </si>
  <si>
    <t>GCF(1)</t>
  </si>
  <si>
    <t>GCF2</t>
  </si>
  <si>
    <t>GCF2(1)</t>
  </si>
  <si>
    <t>GCF202102</t>
  </si>
  <si>
    <t>GCF202102／03</t>
  </si>
  <si>
    <t>GCF202103</t>
  </si>
  <si>
    <t>GCF202106</t>
  </si>
  <si>
    <t>GCF202109</t>
  </si>
  <si>
    <t>GCF202112</t>
  </si>
  <si>
    <t>GDF</t>
  </si>
  <si>
    <t>GDF(1)</t>
  </si>
  <si>
    <t>GDF(1)PM</t>
  </si>
  <si>
    <t>GDF2</t>
  </si>
  <si>
    <t>GDF2(1)</t>
  </si>
  <si>
    <t>GDF202102</t>
  </si>
  <si>
    <t>GDF202102PM</t>
  </si>
  <si>
    <t>GDF202104</t>
  </si>
  <si>
    <t>GDF202104PM</t>
  </si>
  <si>
    <t>GDF202106</t>
  </si>
  <si>
    <t>GDF202106PM</t>
  </si>
  <si>
    <t>GDF202108</t>
  </si>
  <si>
    <t>GDF202108PM</t>
  </si>
  <si>
    <t>GDF202110</t>
  </si>
  <si>
    <t>GDF202110PM</t>
  </si>
  <si>
    <t>GDF202112</t>
  </si>
  <si>
    <t>GDF202112PM</t>
  </si>
  <si>
    <t>GDF2PM</t>
  </si>
  <si>
    <t>GDFPM</t>
  </si>
  <si>
    <t>GHF(1)</t>
  </si>
  <si>
    <t>GHF2</t>
  </si>
  <si>
    <t>GHF2(1)</t>
  </si>
  <si>
    <t>GHF202102</t>
  </si>
  <si>
    <t>GHF202102／03</t>
  </si>
  <si>
    <t>GHF202103</t>
  </si>
  <si>
    <t>GHF202106</t>
  </si>
  <si>
    <t>GHF202109</t>
  </si>
  <si>
    <t>GHF202112</t>
  </si>
  <si>
    <t>GIF(1)</t>
  </si>
  <si>
    <t>GIF2</t>
  </si>
  <si>
    <t>GIF2(1)</t>
  </si>
  <si>
    <t>GIF202102</t>
  </si>
  <si>
    <t>GIF202102／03</t>
  </si>
  <si>
    <t>GIF202103</t>
  </si>
  <si>
    <t>GIF202106</t>
  </si>
  <si>
    <t>GIF202109</t>
  </si>
  <si>
    <t>GIF202112</t>
  </si>
  <si>
    <t>GJF(1)</t>
  </si>
  <si>
    <t>GJF2</t>
  </si>
  <si>
    <t>GJF2(1)</t>
  </si>
  <si>
    <t>GJF202102</t>
  </si>
  <si>
    <t>GJF202102／03</t>
  </si>
  <si>
    <t>GJF202103</t>
  </si>
  <si>
    <t>GJF202106</t>
  </si>
  <si>
    <t>GJF202109</t>
  </si>
  <si>
    <t>GJF202112</t>
  </si>
  <si>
    <t>GLF(1)</t>
  </si>
  <si>
    <t>GLF2</t>
  </si>
  <si>
    <t>GLF2(1)</t>
  </si>
  <si>
    <t>GLF202102</t>
  </si>
  <si>
    <t>GLF202102／03</t>
  </si>
  <si>
    <t>GLF202103</t>
  </si>
  <si>
    <t>GLF202106</t>
  </si>
  <si>
    <t>GLF202109</t>
  </si>
  <si>
    <t>GLF202112</t>
  </si>
  <si>
    <t>GMF(1)</t>
  </si>
  <si>
    <t>GMF2</t>
  </si>
  <si>
    <t>GMF2(1)</t>
  </si>
  <si>
    <t>GMF202102</t>
  </si>
  <si>
    <t>GMF202102／03</t>
  </si>
  <si>
    <t>GMF202103</t>
  </si>
  <si>
    <t>GMF202106</t>
  </si>
  <si>
    <t>GMF202109</t>
  </si>
  <si>
    <t>GMF202112</t>
  </si>
  <si>
    <t>GNF(1)</t>
  </si>
  <si>
    <t>GNF2</t>
  </si>
  <si>
    <t>GNF2(1)</t>
  </si>
  <si>
    <t>GNF202102</t>
  </si>
  <si>
    <t>GNF202102／03</t>
  </si>
  <si>
    <t>GNF202103</t>
  </si>
  <si>
    <t>GNF202106</t>
  </si>
  <si>
    <t>GNF202109</t>
  </si>
  <si>
    <t>GNF202112</t>
  </si>
  <si>
    <t>GOF(1)</t>
  </si>
  <si>
    <t>GOF2</t>
  </si>
  <si>
    <t>GOF2(1)</t>
  </si>
  <si>
    <t>GOF202102</t>
  </si>
  <si>
    <t>GOF202102／03</t>
  </si>
  <si>
    <t>GOF202103</t>
  </si>
  <si>
    <t>GOF202106</t>
  </si>
  <si>
    <t>GOF202109</t>
  </si>
  <si>
    <t>GOF202112</t>
  </si>
  <si>
    <t>GRF(1)</t>
  </si>
  <si>
    <t>GRF2</t>
  </si>
  <si>
    <t>GRF2(1)</t>
  </si>
  <si>
    <t>GRF202102</t>
  </si>
  <si>
    <t>GRF202102／03</t>
  </si>
  <si>
    <t>GRF202103</t>
  </si>
  <si>
    <t>GRF202106</t>
  </si>
  <si>
    <t>GRF202109</t>
  </si>
  <si>
    <t>GRF202112</t>
  </si>
  <si>
    <t>GTF</t>
  </si>
  <si>
    <t>GTF(1)</t>
  </si>
  <si>
    <t>GTF2</t>
  </si>
  <si>
    <t>GTF2(1)</t>
  </si>
  <si>
    <t>GTF202102</t>
  </si>
  <si>
    <t>GTF202103</t>
  </si>
  <si>
    <t>GTF202104</t>
  </si>
  <si>
    <t>GTF202106</t>
  </si>
  <si>
    <t>GTF202109</t>
  </si>
  <si>
    <t>GTF202112</t>
  </si>
  <si>
    <t>GTF3</t>
  </si>
  <si>
    <t>GTF3(1)</t>
  </si>
  <si>
    <t>GUF(1)</t>
  </si>
  <si>
    <t>GUF2</t>
  </si>
  <si>
    <t>GUF2(1)</t>
  </si>
  <si>
    <t>GUF202102</t>
  </si>
  <si>
    <t>GUF202102／03</t>
  </si>
  <si>
    <t>GUF202103</t>
  </si>
  <si>
    <t>GUF202106</t>
  </si>
  <si>
    <t>GUF202109</t>
  </si>
  <si>
    <t>GUF202112</t>
  </si>
  <si>
    <t>GWF(1)</t>
  </si>
  <si>
    <t>GWF2</t>
  </si>
  <si>
    <t>GWF2(1)</t>
  </si>
  <si>
    <t>GWF202102</t>
  </si>
  <si>
    <t>GWF202102／03</t>
  </si>
  <si>
    <t>GWF202102／06</t>
  </si>
  <si>
    <t>GWF202103</t>
  </si>
  <si>
    <t>GWF202103／06</t>
  </si>
  <si>
    <t>GWF202106</t>
  </si>
  <si>
    <t>GWF202109</t>
  </si>
  <si>
    <t>GWF202112</t>
  </si>
  <si>
    <t>GXF(1)</t>
  </si>
  <si>
    <t>GXF2</t>
  </si>
  <si>
    <t>GXF2(1)</t>
  </si>
  <si>
    <t>GXF202102</t>
  </si>
  <si>
    <t>GXF202102／03</t>
  </si>
  <si>
    <t>GXF202103</t>
  </si>
  <si>
    <t>GXF202106</t>
  </si>
  <si>
    <t>GXF202109</t>
  </si>
  <si>
    <t>GXF202112</t>
  </si>
  <si>
    <t>GZF(1)</t>
  </si>
  <si>
    <t>GZF2</t>
  </si>
  <si>
    <t>GZF2(1)</t>
  </si>
  <si>
    <t>GZF202102</t>
  </si>
  <si>
    <t>GZF202102／03</t>
  </si>
  <si>
    <t>GZF202103</t>
  </si>
  <si>
    <t>GZF202106</t>
  </si>
  <si>
    <t>GZF202109</t>
  </si>
  <si>
    <t>GZF202112</t>
  </si>
  <si>
    <t>HAF(1)</t>
  </si>
  <si>
    <t>HAF2</t>
  </si>
  <si>
    <t>HAF2(1)</t>
  </si>
  <si>
    <t>HAF202102</t>
  </si>
  <si>
    <t>HAF202102／03</t>
  </si>
  <si>
    <t>HAF202103</t>
  </si>
  <si>
    <t>HAF202106</t>
  </si>
  <si>
    <t>HAF202109</t>
  </si>
  <si>
    <t>HAF202112</t>
  </si>
  <si>
    <t>HBF(1)</t>
  </si>
  <si>
    <t>HBF2</t>
  </si>
  <si>
    <t>HBF2(1)</t>
  </si>
  <si>
    <t>HBF202102</t>
  </si>
  <si>
    <t>HBF202102／03</t>
  </si>
  <si>
    <t>HBF202103</t>
  </si>
  <si>
    <t>HBF202106</t>
  </si>
  <si>
    <t>HBF202109</t>
  </si>
  <si>
    <t>HBF202112</t>
  </si>
  <si>
    <t>HCF(1)</t>
  </si>
  <si>
    <t>HCF2</t>
  </si>
  <si>
    <t>HCF2(1)</t>
  </si>
  <si>
    <t>HCF202102</t>
  </si>
  <si>
    <t>HCF202102／03</t>
  </si>
  <si>
    <t>HCF202102／09</t>
  </si>
  <si>
    <t>HCF202103</t>
  </si>
  <si>
    <t>HCF202103／06</t>
  </si>
  <si>
    <t>HCF202103／09</t>
  </si>
  <si>
    <t>HCF202106</t>
  </si>
  <si>
    <t>HCF202106／09</t>
  </si>
  <si>
    <t>HCF202109</t>
  </si>
  <si>
    <t>HCF202112</t>
  </si>
  <si>
    <t>HHF(1)</t>
  </si>
  <si>
    <t>HHF2</t>
  </si>
  <si>
    <t>HHF2(1)</t>
  </si>
  <si>
    <t>HHF202102</t>
  </si>
  <si>
    <t>HHF202102／03</t>
  </si>
  <si>
    <t>HHF202103</t>
  </si>
  <si>
    <t>HHF202106</t>
  </si>
  <si>
    <t>HHF202109</t>
  </si>
  <si>
    <t>HHF202112</t>
  </si>
  <si>
    <t>HIF(1)</t>
  </si>
  <si>
    <t>HIF2</t>
  </si>
  <si>
    <t>HIF2(1)</t>
  </si>
  <si>
    <t>HIF202102</t>
  </si>
  <si>
    <t>HIF202102／03</t>
  </si>
  <si>
    <t>HIF202102／06</t>
  </si>
  <si>
    <t>HIF202103</t>
  </si>
  <si>
    <t>HIF202103／06</t>
  </si>
  <si>
    <t>HIF202106</t>
  </si>
  <si>
    <t>HIF202109</t>
  </si>
  <si>
    <t>HIF202112</t>
  </si>
  <si>
    <t>HL1</t>
  </si>
  <si>
    <t>HL1(1)</t>
  </si>
  <si>
    <t>HL1202103</t>
  </si>
  <si>
    <t>HLF(1)</t>
  </si>
  <si>
    <t>HLF2</t>
  </si>
  <si>
    <t>HLF2(1)</t>
  </si>
  <si>
    <t>HLF202102</t>
  </si>
  <si>
    <t>HLF202102／03</t>
  </si>
  <si>
    <t>HLF202103</t>
  </si>
  <si>
    <t>HLF202106</t>
  </si>
  <si>
    <t>HLF202109</t>
  </si>
  <si>
    <t>HLF202112</t>
  </si>
  <si>
    <t>HMTF</t>
  </si>
  <si>
    <t>HMTF2</t>
  </si>
  <si>
    <t>HMTF202102</t>
  </si>
  <si>
    <t>HMTF202103</t>
  </si>
  <si>
    <t>HOF(1)</t>
  </si>
  <si>
    <t>HOF2</t>
  </si>
  <si>
    <t>HOF2(1)</t>
  </si>
  <si>
    <t>HOF202102</t>
  </si>
  <si>
    <t>HOF202103</t>
  </si>
  <si>
    <t>HOF202106</t>
  </si>
  <si>
    <t>HOF202109</t>
  </si>
  <si>
    <t>HOF202112</t>
  </si>
  <si>
    <t>HSF(1)</t>
  </si>
  <si>
    <t>HSF2</t>
  </si>
  <si>
    <t>HSF2(1)</t>
  </si>
  <si>
    <t>HSF202102</t>
  </si>
  <si>
    <t>HSF202102／03</t>
  </si>
  <si>
    <t>HSF202103</t>
  </si>
  <si>
    <t>HSF202106</t>
  </si>
  <si>
    <t>HSF202109</t>
  </si>
  <si>
    <t>HSF202112</t>
  </si>
  <si>
    <t>HY1</t>
  </si>
  <si>
    <t>HY1(1)</t>
  </si>
  <si>
    <t>HY1202103</t>
  </si>
  <si>
    <t>HYF(1)</t>
  </si>
  <si>
    <t>HYF2</t>
  </si>
  <si>
    <t>HYF2(1)</t>
  </si>
  <si>
    <t>HYF202102</t>
  </si>
  <si>
    <t>HYF202102／03</t>
  </si>
  <si>
    <t>HYF202103</t>
  </si>
  <si>
    <t>HYF202106</t>
  </si>
  <si>
    <t>HYF202109</t>
  </si>
  <si>
    <t>HYF202112</t>
  </si>
  <si>
    <t>IA1</t>
  </si>
  <si>
    <t>IA1(1)</t>
  </si>
  <si>
    <t>IA1202103</t>
  </si>
  <si>
    <t>IAF(1)</t>
  </si>
  <si>
    <t>IAF2</t>
  </si>
  <si>
    <t>IAF2(1)</t>
  </si>
  <si>
    <t>IAF202102</t>
  </si>
  <si>
    <t>IAF202102／03</t>
  </si>
  <si>
    <t>IAF202103</t>
  </si>
  <si>
    <t>IAF202106</t>
  </si>
  <si>
    <t>IAF202109</t>
  </si>
  <si>
    <t>IAF202112</t>
  </si>
  <si>
    <t>IHF(1)</t>
  </si>
  <si>
    <t>IHF2</t>
  </si>
  <si>
    <t>IHF2(1)</t>
  </si>
  <si>
    <t>IHF202102</t>
  </si>
  <si>
    <t>IHF202102／03</t>
  </si>
  <si>
    <t>IHF202103</t>
  </si>
  <si>
    <t>IHF202106</t>
  </si>
  <si>
    <t>IHF202109</t>
  </si>
  <si>
    <t>IHF202112</t>
  </si>
  <si>
    <t>IIF(1)</t>
  </si>
  <si>
    <t>IIF2</t>
  </si>
  <si>
    <t>IIF2(1)</t>
  </si>
  <si>
    <t>IIF202102</t>
  </si>
  <si>
    <t>IIF202102／03</t>
  </si>
  <si>
    <t>IIF202103</t>
  </si>
  <si>
    <t>IIF202106</t>
  </si>
  <si>
    <t>IIF202109</t>
  </si>
  <si>
    <t>IIF202112</t>
  </si>
  <si>
    <t>IJF(1)</t>
  </si>
  <si>
    <t>IJF2</t>
  </si>
  <si>
    <t>IJF2(1)</t>
  </si>
  <si>
    <t>IJF202102</t>
  </si>
  <si>
    <t>IJF202103</t>
  </si>
  <si>
    <t>IJF202106</t>
  </si>
  <si>
    <t>IJF202109</t>
  </si>
  <si>
    <t>IJF202112</t>
  </si>
  <si>
    <t>IMF(1)</t>
  </si>
  <si>
    <t>IMF2</t>
  </si>
  <si>
    <t>IMF2(1)</t>
  </si>
  <si>
    <t>IMF202102</t>
  </si>
  <si>
    <t>IMF202102／03</t>
  </si>
  <si>
    <t>IMF202103</t>
  </si>
  <si>
    <t>IMF202106</t>
  </si>
  <si>
    <t>IMF202109</t>
  </si>
  <si>
    <t>IMF202112</t>
  </si>
  <si>
    <t>IOF(1)</t>
  </si>
  <si>
    <t>IOF2</t>
  </si>
  <si>
    <t>IOF2(1)</t>
  </si>
  <si>
    <t>IOF202102</t>
  </si>
  <si>
    <t>IOF202102／03</t>
  </si>
  <si>
    <t>IOF202102／06</t>
  </si>
  <si>
    <t>IOF202103</t>
  </si>
  <si>
    <t>IOF202106</t>
  </si>
  <si>
    <t>IOF202106／09</t>
  </si>
  <si>
    <t>IOF202109</t>
  </si>
  <si>
    <t>IOF202112</t>
  </si>
  <si>
    <t>IPF(1)</t>
  </si>
  <si>
    <t>IPF2</t>
  </si>
  <si>
    <t>IPF2(1)</t>
  </si>
  <si>
    <t>IPF202102</t>
  </si>
  <si>
    <t>IPF202102／03</t>
  </si>
  <si>
    <t>IPF202103</t>
  </si>
  <si>
    <t>IPF202106</t>
  </si>
  <si>
    <t>IPF202109</t>
  </si>
  <si>
    <t>IPF202112</t>
  </si>
  <si>
    <t>IQF(1)</t>
  </si>
  <si>
    <t>IQF2</t>
  </si>
  <si>
    <t>IQF2(1)</t>
  </si>
  <si>
    <t>IQF202102</t>
  </si>
  <si>
    <t>IQF202102／03</t>
  </si>
  <si>
    <t>IQF202103</t>
  </si>
  <si>
    <t>IQF202106</t>
  </si>
  <si>
    <t>IQF202109</t>
  </si>
  <si>
    <t>IQF202112</t>
  </si>
  <si>
    <t>IRF(1)</t>
  </si>
  <si>
    <t>IRF2</t>
  </si>
  <si>
    <t>IRF2(1)</t>
  </si>
  <si>
    <t>IRF202102</t>
  </si>
  <si>
    <t>IRF202102／03</t>
  </si>
  <si>
    <t>IRF202103</t>
  </si>
  <si>
    <t>IRF202106</t>
  </si>
  <si>
    <t>IRF202109</t>
  </si>
  <si>
    <t>IRF202112</t>
  </si>
  <si>
    <t>ITF(1)</t>
  </si>
  <si>
    <t>ITF2</t>
  </si>
  <si>
    <t>ITF2(1)</t>
  </si>
  <si>
    <t>ITF202102</t>
  </si>
  <si>
    <t>ITF202102／03</t>
  </si>
  <si>
    <t>ITF202103</t>
  </si>
  <si>
    <t>ITF202106</t>
  </si>
  <si>
    <t>ITF202109</t>
  </si>
  <si>
    <t>ITF202112</t>
  </si>
  <si>
    <t>IXF(1)</t>
  </si>
  <si>
    <t>IXF2</t>
  </si>
  <si>
    <t>IXF2(1)</t>
  </si>
  <si>
    <t>IXF202102</t>
  </si>
  <si>
    <t>IXF202102／03</t>
  </si>
  <si>
    <t>IXF202103</t>
  </si>
  <si>
    <t>IXF202106</t>
  </si>
  <si>
    <t>IXF202109</t>
  </si>
  <si>
    <t>IXF202112</t>
  </si>
  <si>
    <t>IYF(1)</t>
  </si>
  <si>
    <t>IYF2</t>
  </si>
  <si>
    <t>IYF2(1)</t>
  </si>
  <si>
    <t>IYF202102</t>
  </si>
  <si>
    <t>IYF202102／03</t>
  </si>
  <si>
    <t>IYF202103</t>
  </si>
  <si>
    <t>IYF202106</t>
  </si>
  <si>
    <t>IYF202109</t>
  </si>
  <si>
    <t>IYF202112</t>
  </si>
  <si>
    <t>IZF(1)</t>
  </si>
  <si>
    <t>IZF2</t>
  </si>
  <si>
    <t>IZF2(1)</t>
  </si>
  <si>
    <t>IZF202102</t>
  </si>
  <si>
    <t>IZF202102／03</t>
  </si>
  <si>
    <t>IZF202103</t>
  </si>
  <si>
    <t>IZF202106</t>
  </si>
  <si>
    <t>IZF202109</t>
  </si>
  <si>
    <t>IZF202112</t>
  </si>
  <si>
    <t>JBF(1)</t>
  </si>
  <si>
    <t>JBF2</t>
  </si>
  <si>
    <t>JBF2(1)</t>
  </si>
  <si>
    <t>JBF202102</t>
  </si>
  <si>
    <t>JBF202102／03</t>
  </si>
  <si>
    <t>JBF202103</t>
  </si>
  <si>
    <t>JBF202106</t>
  </si>
  <si>
    <t>JBF202109</t>
  </si>
  <si>
    <t>JBF202112</t>
  </si>
  <si>
    <t>JFF(1)</t>
  </si>
  <si>
    <t>JFF2</t>
  </si>
  <si>
    <t>JFF2(1)</t>
  </si>
  <si>
    <t>JFF202102</t>
  </si>
  <si>
    <t>JFF202102／03</t>
  </si>
  <si>
    <t>JFF202103</t>
  </si>
  <si>
    <t>JFF202106</t>
  </si>
  <si>
    <t>JFF202109</t>
  </si>
  <si>
    <t>JFF202112</t>
  </si>
  <si>
    <t>JMF(1)</t>
  </si>
  <si>
    <t>JMF2</t>
  </si>
  <si>
    <t>JMF2(1)</t>
  </si>
  <si>
    <t>JMF202102</t>
  </si>
  <si>
    <t>JMF202102／03</t>
  </si>
  <si>
    <t>JMF202103</t>
  </si>
  <si>
    <t>JMF202106</t>
  </si>
  <si>
    <t>JMF202109</t>
  </si>
  <si>
    <t>JMF202112</t>
  </si>
  <si>
    <t>JNF(1)</t>
  </si>
  <si>
    <t>JNF2</t>
  </si>
  <si>
    <t>JNF2(1)</t>
  </si>
  <si>
    <t>JNF202102</t>
  </si>
  <si>
    <t>JNF202102／03</t>
  </si>
  <si>
    <t>JNF202103</t>
  </si>
  <si>
    <t>JNF202106</t>
  </si>
  <si>
    <t>JNF202109</t>
  </si>
  <si>
    <t>JNF202112</t>
  </si>
  <si>
    <t>JPF(1)</t>
  </si>
  <si>
    <t>JPF2</t>
  </si>
  <si>
    <t>JPF2(1)</t>
  </si>
  <si>
    <t>JPF202102</t>
  </si>
  <si>
    <t>JPF202102／03</t>
  </si>
  <si>
    <t>JPF202103</t>
  </si>
  <si>
    <t>JPF202106</t>
  </si>
  <si>
    <t>JPF202109</t>
  </si>
  <si>
    <t>JPF202112</t>
  </si>
  <si>
    <t>JSF(1)</t>
  </si>
  <si>
    <t>JSF2</t>
  </si>
  <si>
    <t>JSF2(1)</t>
  </si>
  <si>
    <t>JSF202102</t>
  </si>
  <si>
    <t>JSF202102／03</t>
  </si>
  <si>
    <t>JSF202103</t>
  </si>
  <si>
    <t>JSF202106</t>
  </si>
  <si>
    <t>JSF202109</t>
  </si>
  <si>
    <t>JSF202112</t>
  </si>
  <si>
    <t>JWF(1)</t>
  </si>
  <si>
    <t>JWF2</t>
  </si>
  <si>
    <t>JWF2(1)</t>
  </si>
  <si>
    <t>JWF202102</t>
  </si>
  <si>
    <t>JWF202103</t>
  </si>
  <si>
    <t>JWF202106</t>
  </si>
  <si>
    <t>JWF202109</t>
  </si>
  <si>
    <t>JWF202112</t>
  </si>
  <si>
    <t>JZF(1)</t>
  </si>
  <si>
    <t>JZF2</t>
  </si>
  <si>
    <t>JZF2(1)</t>
  </si>
  <si>
    <t>JZF202102</t>
  </si>
  <si>
    <t>JZF202102／03</t>
  </si>
  <si>
    <t>JZF202103</t>
  </si>
  <si>
    <t>JZF202106</t>
  </si>
  <si>
    <t>JZF202109</t>
  </si>
  <si>
    <t>JZF202112</t>
  </si>
  <si>
    <t>KAF(1)</t>
  </si>
  <si>
    <t>KAF2</t>
  </si>
  <si>
    <t>KAF2(1)</t>
  </si>
  <si>
    <t>KAF202102</t>
  </si>
  <si>
    <t>KAF202102／03</t>
  </si>
  <si>
    <t>KAF202103</t>
  </si>
  <si>
    <t>KAF202106</t>
  </si>
  <si>
    <t>KAF202109</t>
  </si>
  <si>
    <t>KAF202112</t>
  </si>
  <si>
    <t>KBF(1)</t>
  </si>
  <si>
    <t>KBF2</t>
  </si>
  <si>
    <t>KBF2(1)</t>
  </si>
  <si>
    <t>KBF202102</t>
  </si>
  <si>
    <t>KBF202102／03</t>
  </si>
  <si>
    <t>KBF202103</t>
  </si>
  <si>
    <t>KBF202106</t>
  </si>
  <si>
    <t>KBF202109</t>
  </si>
  <si>
    <t>KBF202112</t>
  </si>
  <si>
    <t>KCF(1)</t>
  </si>
  <si>
    <t>KCF2</t>
  </si>
  <si>
    <t>KCF2(1)</t>
  </si>
  <si>
    <t>KCF202102</t>
  </si>
  <si>
    <t>KCF202102／03</t>
  </si>
  <si>
    <t>KCF202103</t>
  </si>
  <si>
    <t>KCF202106</t>
  </si>
  <si>
    <t>KCF202109</t>
  </si>
  <si>
    <t>KCF202112</t>
  </si>
  <si>
    <t>KDF(1)</t>
  </si>
  <si>
    <t>KDF2</t>
  </si>
  <si>
    <t>KDF2(1)</t>
  </si>
  <si>
    <t>KDF202102</t>
  </si>
  <si>
    <t>KDF202102／03</t>
  </si>
  <si>
    <t>KDF202102／06</t>
  </si>
  <si>
    <t>KDF202103</t>
  </si>
  <si>
    <t>KDF202106</t>
  </si>
  <si>
    <t>KDF202109</t>
  </si>
  <si>
    <t>KDF202112</t>
  </si>
  <si>
    <t>KEF(1)</t>
  </si>
  <si>
    <t>KEF2</t>
  </si>
  <si>
    <t>KEF2(1)</t>
  </si>
  <si>
    <t>KEF202102</t>
  </si>
  <si>
    <t>KEF202102／03</t>
  </si>
  <si>
    <t>KEF202103</t>
  </si>
  <si>
    <t>KEF202106</t>
  </si>
  <si>
    <t>KEF202109</t>
  </si>
  <si>
    <t>KEF202112</t>
  </si>
  <si>
    <t>KFF(1)</t>
  </si>
  <si>
    <t>KFF2</t>
  </si>
  <si>
    <t>KFF2(1)</t>
  </si>
  <si>
    <t>KFF202102</t>
  </si>
  <si>
    <t>KFF202102／03</t>
  </si>
  <si>
    <t>KFF202103</t>
  </si>
  <si>
    <t>KFF202106</t>
  </si>
  <si>
    <t>KFF202109</t>
  </si>
  <si>
    <t>KFF202112</t>
  </si>
  <si>
    <t>KGF(1)</t>
  </si>
  <si>
    <t>KGF2</t>
  </si>
  <si>
    <t>KGF2(1)</t>
  </si>
  <si>
    <t>KGF202102</t>
  </si>
  <si>
    <t>KGF202102／03</t>
  </si>
  <si>
    <t>KGF202103</t>
  </si>
  <si>
    <t>KGF202106</t>
  </si>
  <si>
    <t>KGF202109</t>
  </si>
  <si>
    <t>KGF202112</t>
  </si>
  <si>
    <t>KIF(1)</t>
  </si>
  <si>
    <t>KIF2</t>
  </si>
  <si>
    <t>KIF2(1)</t>
  </si>
  <si>
    <t>KIF202102</t>
  </si>
  <si>
    <t>KIF202102／03</t>
  </si>
  <si>
    <t>KIF202103</t>
  </si>
  <si>
    <t>KIF202106</t>
  </si>
  <si>
    <t>KIF202109</t>
  </si>
  <si>
    <t>KIF202112</t>
  </si>
  <si>
    <t>KKF(1)</t>
  </si>
  <si>
    <t>KKF2</t>
  </si>
  <si>
    <t>KKF2(1)</t>
  </si>
  <si>
    <t>KKF202102</t>
  </si>
  <si>
    <t>KKF202102／03</t>
  </si>
  <si>
    <t>KKF202103</t>
  </si>
  <si>
    <t>KKF202106</t>
  </si>
  <si>
    <t>KKF202109</t>
  </si>
  <si>
    <t>KKF202112</t>
  </si>
  <si>
    <t>KLF(1)</t>
  </si>
  <si>
    <t>KLF2</t>
  </si>
  <si>
    <t>KLF2(1)</t>
  </si>
  <si>
    <t>KLF202102</t>
  </si>
  <si>
    <t>KLF202102／03</t>
  </si>
  <si>
    <t>KLF202103</t>
  </si>
  <si>
    <t>KLF202106</t>
  </si>
  <si>
    <t>KLF202109</t>
  </si>
  <si>
    <t>KLF202112</t>
  </si>
  <si>
    <t>KOF(1)</t>
  </si>
  <si>
    <t>KOF2</t>
  </si>
  <si>
    <t>KOF2(1)</t>
  </si>
  <si>
    <t>KOF202102</t>
  </si>
  <si>
    <t>KOF202102／03</t>
  </si>
  <si>
    <t>KOF202103</t>
  </si>
  <si>
    <t>KOF202106</t>
  </si>
  <si>
    <t>KOF202109</t>
  </si>
  <si>
    <t>KOF202112</t>
  </si>
  <si>
    <t>KPF(1)</t>
  </si>
  <si>
    <t>KPF2</t>
  </si>
  <si>
    <t>KPF2(1)</t>
  </si>
  <si>
    <t>KPF202102</t>
  </si>
  <si>
    <t>KPF202102／03</t>
  </si>
  <si>
    <t>KPF202103</t>
  </si>
  <si>
    <t>KPF202106</t>
  </si>
  <si>
    <t>KPF202109</t>
  </si>
  <si>
    <t>KPF202112</t>
  </si>
  <si>
    <t>KS1</t>
  </si>
  <si>
    <t>KS1(1)</t>
  </si>
  <si>
    <t>KS1202102</t>
  </si>
  <si>
    <t>KSF(1)</t>
  </si>
  <si>
    <t>KSF2</t>
  </si>
  <si>
    <t>KSF2(1)</t>
  </si>
  <si>
    <t>KSF202102</t>
  </si>
  <si>
    <t>KSF202102／03</t>
  </si>
  <si>
    <t>KSF202103</t>
  </si>
  <si>
    <t>KSF202106</t>
  </si>
  <si>
    <t>KSF202109</t>
  </si>
  <si>
    <t>KSF202112</t>
  </si>
  <si>
    <t>KWF(1)</t>
  </si>
  <si>
    <t>KWF2</t>
  </si>
  <si>
    <t>KWF2(1)</t>
  </si>
  <si>
    <t>KWF202102</t>
  </si>
  <si>
    <t>KWF202102／03</t>
  </si>
  <si>
    <t>KWF202103</t>
  </si>
  <si>
    <t>KWF202103／06</t>
  </si>
  <si>
    <t>KWF202106</t>
  </si>
  <si>
    <t>KWF202109</t>
  </si>
  <si>
    <t>KWF202112</t>
  </si>
  <si>
    <t>LBF(1)</t>
  </si>
  <si>
    <t>LBF2</t>
  </si>
  <si>
    <t>LBF2(1)</t>
  </si>
  <si>
    <t>LBF202102</t>
  </si>
  <si>
    <t>LBF202103</t>
  </si>
  <si>
    <t>LBF202106</t>
  </si>
  <si>
    <t>LBF202109</t>
  </si>
  <si>
    <t>LBF202112</t>
  </si>
  <si>
    <t>LCF(1)</t>
  </si>
  <si>
    <t>LCF2</t>
  </si>
  <si>
    <t>LCF2(1)</t>
  </si>
  <si>
    <t>LCF202102</t>
  </si>
  <si>
    <t>LCF202102／03</t>
  </si>
  <si>
    <t>LCF202103</t>
  </si>
  <si>
    <t>LCF202106</t>
  </si>
  <si>
    <t>LCF202109</t>
  </si>
  <si>
    <t>LCF202112</t>
  </si>
  <si>
    <t>LEF(1)</t>
  </si>
  <si>
    <t>LEF2</t>
  </si>
  <si>
    <t>LEF2(1)</t>
  </si>
  <si>
    <t>LEF202102</t>
  </si>
  <si>
    <t>LEF202102／03</t>
  </si>
  <si>
    <t>LEF202103</t>
  </si>
  <si>
    <t>LEF202106</t>
  </si>
  <si>
    <t>LEF202109</t>
  </si>
  <si>
    <t>LEF202112</t>
  </si>
  <si>
    <t>LIF(1)</t>
  </si>
  <si>
    <t>LIF2</t>
  </si>
  <si>
    <t>LIF2(1)</t>
  </si>
  <si>
    <t>LIF202102</t>
  </si>
  <si>
    <t>LIF202102／03</t>
  </si>
  <si>
    <t>LIF202103</t>
  </si>
  <si>
    <t>LIF202106</t>
  </si>
  <si>
    <t>LIF202109</t>
  </si>
  <si>
    <t>LIF202112</t>
  </si>
  <si>
    <t>LMF(1)</t>
  </si>
  <si>
    <t>LMF2</t>
  </si>
  <si>
    <t>LMF2(1)</t>
  </si>
  <si>
    <t>LMF202102</t>
  </si>
  <si>
    <t>LMF202102／03</t>
  </si>
  <si>
    <t>LMF202103</t>
  </si>
  <si>
    <t>LMF202106</t>
  </si>
  <si>
    <t>LMF202109</t>
  </si>
  <si>
    <t>LMF202112</t>
  </si>
  <si>
    <t>LOF(1)</t>
  </si>
  <si>
    <t>LOF2</t>
  </si>
  <si>
    <t>LOF2(1)</t>
  </si>
  <si>
    <t>LOF202102</t>
  </si>
  <si>
    <t>LOF202102／03</t>
  </si>
  <si>
    <t>LOF202103</t>
  </si>
  <si>
    <t>LOF202106</t>
  </si>
  <si>
    <t>LOF202109</t>
  </si>
  <si>
    <t>LOF202112</t>
  </si>
  <si>
    <t>LQF(1)</t>
  </si>
  <si>
    <t>LQF2</t>
  </si>
  <si>
    <t>LQF2(1)</t>
  </si>
  <si>
    <t>LQF202102</t>
  </si>
  <si>
    <t>LQF202102／03</t>
  </si>
  <si>
    <t>LQF202103</t>
  </si>
  <si>
    <t>LQF202106</t>
  </si>
  <si>
    <t>LQF202109</t>
  </si>
  <si>
    <t>LQF202112</t>
  </si>
  <si>
    <t>LRF(1)</t>
  </si>
  <si>
    <t>LRF2</t>
  </si>
  <si>
    <t>LRF2(1)</t>
  </si>
  <si>
    <t>LRF202102</t>
  </si>
  <si>
    <t>LRF202102／03</t>
  </si>
  <si>
    <t>LRF202103</t>
  </si>
  <si>
    <t>LRF202106</t>
  </si>
  <si>
    <t>LRF202109</t>
  </si>
  <si>
    <t>LRF202112</t>
  </si>
  <si>
    <t>LTF(1)</t>
  </si>
  <si>
    <t>LTF2</t>
  </si>
  <si>
    <t>LTF2(1)</t>
  </si>
  <si>
    <t>LTF202102</t>
  </si>
  <si>
    <t>LTF202102／03</t>
  </si>
  <si>
    <t>LTF202103</t>
  </si>
  <si>
    <t>LTF202106</t>
  </si>
  <si>
    <t>LTF202109</t>
  </si>
  <si>
    <t>LTF202112</t>
  </si>
  <si>
    <t>LUF(1)</t>
  </si>
  <si>
    <t>LUF2</t>
  </si>
  <si>
    <t>LUF2(1)</t>
  </si>
  <si>
    <t>LUF202102</t>
  </si>
  <si>
    <t>LUF202102／03</t>
  </si>
  <si>
    <t>LUF202102／06</t>
  </si>
  <si>
    <t>LUF202102／09</t>
  </si>
  <si>
    <t>LUF202103</t>
  </si>
  <si>
    <t>LUF202103／06</t>
  </si>
  <si>
    <t>LUF202103／09</t>
  </si>
  <si>
    <t>LUF202106</t>
  </si>
  <si>
    <t>LUF202109</t>
  </si>
  <si>
    <t>LUF202112</t>
  </si>
  <si>
    <t>LVF(1)</t>
  </si>
  <si>
    <t>LVF2</t>
  </si>
  <si>
    <t>LVF2(1)</t>
  </si>
  <si>
    <t>LVF202102</t>
  </si>
  <si>
    <t>LVF202102／03</t>
  </si>
  <si>
    <t>LVF202103</t>
  </si>
  <si>
    <t>LVF202106</t>
  </si>
  <si>
    <t>LVF202109</t>
  </si>
  <si>
    <t>LVF202112</t>
  </si>
  <si>
    <t>LWF(1)</t>
  </si>
  <si>
    <t>LWF2</t>
  </si>
  <si>
    <t>LWF2(1)</t>
  </si>
  <si>
    <t>LWF202102</t>
  </si>
  <si>
    <t>LWF202102／03</t>
  </si>
  <si>
    <t>LWF202103</t>
  </si>
  <si>
    <t>LWF202106</t>
  </si>
  <si>
    <t>LWF202109</t>
  </si>
  <si>
    <t>LWF202112</t>
  </si>
  <si>
    <t>LXF(1)</t>
  </si>
  <si>
    <t>LXF2</t>
  </si>
  <si>
    <t>LXF2(1)</t>
  </si>
  <si>
    <t>LXF202102</t>
  </si>
  <si>
    <t>LXF202102／03</t>
  </si>
  <si>
    <t>LXF202103</t>
  </si>
  <si>
    <t>LXF202106</t>
  </si>
  <si>
    <t>LXF202109</t>
  </si>
  <si>
    <t>LXF202112</t>
  </si>
  <si>
    <t>LYF(1)</t>
  </si>
  <si>
    <t>LYF2</t>
  </si>
  <si>
    <t>LYF2(1)</t>
  </si>
  <si>
    <t>LYF202102</t>
  </si>
  <si>
    <t>LYF202102／03</t>
  </si>
  <si>
    <t>LYF202102／06</t>
  </si>
  <si>
    <t>LYF202103</t>
  </si>
  <si>
    <t>LYF202103／06</t>
  </si>
  <si>
    <t>LYF202106</t>
  </si>
  <si>
    <t>LYF202109</t>
  </si>
  <si>
    <t>LYF202112</t>
  </si>
  <si>
    <t>MAF(1)</t>
  </si>
  <si>
    <t>MAF2</t>
  </si>
  <si>
    <t>MAF2(1)</t>
  </si>
  <si>
    <t>MAF202102</t>
  </si>
  <si>
    <t>MAF202102／03</t>
  </si>
  <si>
    <t>MAF202103</t>
  </si>
  <si>
    <t>MAF202106</t>
  </si>
  <si>
    <t>MAF202109</t>
  </si>
  <si>
    <t>MAF202112</t>
  </si>
  <si>
    <t>MBF(1)</t>
  </si>
  <si>
    <t>MBF2</t>
  </si>
  <si>
    <t>MBF2(1)</t>
  </si>
  <si>
    <t>MBF202102</t>
  </si>
  <si>
    <t>MBF202102／03</t>
  </si>
  <si>
    <t>MBF202103</t>
  </si>
  <si>
    <t>MBF202106</t>
  </si>
  <si>
    <t>MBF202109</t>
  </si>
  <si>
    <t>MBF202112</t>
  </si>
  <si>
    <t>MJF(1)</t>
  </si>
  <si>
    <t>MJF2</t>
  </si>
  <si>
    <t>MJF2(1)</t>
  </si>
  <si>
    <t>MJF202102</t>
  </si>
  <si>
    <t>MJF202102／03</t>
  </si>
  <si>
    <t>MJF202103</t>
  </si>
  <si>
    <t>MJF202106</t>
  </si>
  <si>
    <t>MJF202109</t>
  </si>
  <si>
    <t>MJF202112</t>
  </si>
  <si>
    <t>MKF(1)</t>
  </si>
  <si>
    <t>MKF2</t>
  </si>
  <si>
    <t>MKF2(1)</t>
  </si>
  <si>
    <t>MKF202102</t>
  </si>
  <si>
    <t>MKF202102／03</t>
  </si>
  <si>
    <t>MKF202103</t>
  </si>
  <si>
    <t>MKF202106</t>
  </si>
  <si>
    <t>MKF202109</t>
  </si>
  <si>
    <t>MKF202112</t>
  </si>
  <si>
    <t>MPF(1)</t>
  </si>
  <si>
    <t>MPF2</t>
  </si>
  <si>
    <t>MPF2(1)</t>
  </si>
  <si>
    <t>MPF202102</t>
  </si>
  <si>
    <t>MPF202103</t>
  </si>
  <si>
    <t>MPF202106</t>
  </si>
  <si>
    <t>MPF202109</t>
  </si>
  <si>
    <t>MPF202112</t>
  </si>
  <si>
    <t>MQF(1)</t>
  </si>
  <si>
    <t>MQF2</t>
  </si>
  <si>
    <t>MQF2(1)</t>
  </si>
  <si>
    <t>MQF202102</t>
  </si>
  <si>
    <t>MQF202102／03</t>
  </si>
  <si>
    <t>MQF202103</t>
  </si>
  <si>
    <t>MQF202106</t>
  </si>
  <si>
    <t>MQF202109</t>
  </si>
  <si>
    <t>MQF202112</t>
  </si>
  <si>
    <t>MTW</t>
  </si>
  <si>
    <t>MTW1202102</t>
  </si>
  <si>
    <t>MTW1202102／02</t>
  </si>
  <si>
    <t>MTW1202102／02PM</t>
  </si>
  <si>
    <t>MTW1202102PM</t>
  </si>
  <si>
    <t>MTWPM</t>
  </si>
  <si>
    <t>MTX</t>
  </si>
  <si>
    <t>MTX(1)</t>
  </si>
  <si>
    <t>MTX(1)PM</t>
  </si>
  <si>
    <t>MTX2</t>
  </si>
  <si>
    <t>MTX2(1)</t>
  </si>
  <si>
    <t>MTX2(1)PM</t>
  </si>
  <si>
    <t>MTX202102</t>
  </si>
  <si>
    <t>MTX202102／03</t>
  </si>
  <si>
    <t>MTX202102／03PM</t>
  </si>
  <si>
    <t>MTX202102／04</t>
  </si>
  <si>
    <t>MTX202102／04PM</t>
  </si>
  <si>
    <t>MTX202102／06</t>
  </si>
  <si>
    <t>MTX202102／06PM</t>
  </si>
  <si>
    <t>MTX202102／09</t>
  </si>
  <si>
    <t>MTX202102／09PM</t>
  </si>
  <si>
    <t>MTX202102／12</t>
  </si>
  <si>
    <t>MTX202102／12PM</t>
  </si>
  <si>
    <t>MTX202102PM</t>
  </si>
  <si>
    <t>MTX202103</t>
  </si>
  <si>
    <t>MTX202103／04PM</t>
  </si>
  <si>
    <t>MTX202103／12</t>
  </si>
  <si>
    <t>MTX202103／12PM</t>
  </si>
  <si>
    <t>MTX202103PM</t>
  </si>
  <si>
    <t>MTX202104</t>
  </si>
  <si>
    <t>MTX202104PM</t>
  </si>
  <si>
    <t>MTX202106</t>
  </si>
  <si>
    <t>MTX202106／09</t>
  </si>
  <si>
    <t>MTX202106PM</t>
  </si>
  <si>
    <t>MTX202109</t>
  </si>
  <si>
    <t>MTX202109／12</t>
  </si>
  <si>
    <t>MTX202109／12PM</t>
  </si>
  <si>
    <t>MTX202109PM</t>
  </si>
  <si>
    <t>MTX202112</t>
  </si>
  <si>
    <t>MTX202112PM</t>
  </si>
  <si>
    <t>MTX2PM</t>
  </si>
  <si>
    <t>MTX3</t>
  </si>
  <si>
    <t>MTX3(1)</t>
  </si>
  <si>
    <t>MTX3PM</t>
  </si>
  <si>
    <t>MTXPM</t>
  </si>
  <si>
    <t>MVF(1)</t>
  </si>
  <si>
    <t>MVF2</t>
  </si>
  <si>
    <t>MVF2(1)</t>
  </si>
  <si>
    <t>MVF202102</t>
  </si>
  <si>
    <t>MVF202102／03</t>
  </si>
  <si>
    <t>MVF202103</t>
  </si>
  <si>
    <t>MVF202106</t>
  </si>
  <si>
    <t>MVF202109</t>
  </si>
  <si>
    <t>MVF202112</t>
  </si>
  <si>
    <t>MYF(1)</t>
  </si>
  <si>
    <t>MYF2</t>
  </si>
  <si>
    <t>MYF2(1)</t>
  </si>
  <si>
    <t>MYF202102</t>
  </si>
  <si>
    <t>MYF202103</t>
  </si>
  <si>
    <t>MYF202106</t>
  </si>
  <si>
    <t>MYF202109</t>
  </si>
  <si>
    <t>MYF202112</t>
  </si>
  <si>
    <t>NAF(1)</t>
  </si>
  <si>
    <t>NAF2</t>
  </si>
  <si>
    <t>NAF2(1)</t>
  </si>
  <si>
    <t>NAF202102</t>
  </si>
  <si>
    <t>NAF202102／03</t>
  </si>
  <si>
    <t>NAF202103</t>
  </si>
  <si>
    <t>NAF202106</t>
  </si>
  <si>
    <t>NAF202109</t>
  </si>
  <si>
    <t>NAF202112</t>
  </si>
  <si>
    <t>NBF(1)</t>
  </si>
  <si>
    <t>NBF2</t>
  </si>
  <si>
    <t>NBF2(1)</t>
  </si>
  <si>
    <t>NBF202102</t>
  </si>
  <si>
    <t>NBF202102／03</t>
  </si>
  <si>
    <t>NBF202103</t>
  </si>
  <si>
    <t>NBF202106</t>
  </si>
  <si>
    <t>NBF202109</t>
  </si>
  <si>
    <t>NBF202112</t>
  </si>
  <si>
    <t>NCF(1)</t>
  </si>
  <si>
    <t>NCF2</t>
  </si>
  <si>
    <t>NCF2(1)</t>
  </si>
  <si>
    <t>NCF202102</t>
  </si>
  <si>
    <t>NCF202102／03</t>
  </si>
  <si>
    <t>NCF202103</t>
  </si>
  <si>
    <t>NCF202106</t>
  </si>
  <si>
    <t>NCF202109</t>
  </si>
  <si>
    <t>NCF202112</t>
  </si>
  <si>
    <t>NDF(1)</t>
  </si>
  <si>
    <t>NDF2</t>
  </si>
  <si>
    <t>NDF2(1)</t>
  </si>
  <si>
    <t>NDF202102</t>
  </si>
  <si>
    <t>NDF202102／03</t>
  </si>
  <si>
    <t>NDF202103</t>
  </si>
  <si>
    <t>NDF202103／06</t>
  </si>
  <si>
    <t>NDF202106</t>
  </si>
  <si>
    <t>NDF202109</t>
  </si>
  <si>
    <t>NDF202112</t>
  </si>
  <si>
    <t>NEF(1)</t>
  </si>
  <si>
    <t>NEF2</t>
  </si>
  <si>
    <t>NEF2(1)</t>
  </si>
  <si>
    <t>NEF202102</t>
  </si>
  <si>
    <t>NEF202102／03</t>
  </si>
  <si>
    <t>NEF202103</t>
  </si>
  <si>
    <t>NEF202106</t>
  </si>
  <si>
    <t>NEF202109</t>
  </si>
  <si>
    <t>NEF202112</t>
  </si>
  <si>
    <t>NGF(1)</t>
  </si>
  <si>
    <t>NGF2</t>
  </si>
  <si>
    <t>NGF2(1)</t>
  </si>
  <si>
    <t>NGF202102</t>
  </si>
  <si>
    <t>NGF202102／03</t>
  </si>
  <si>
    <t>NGF202103</t>
  </si>
  <si>
    <t>NGF202106</t>
  </si>
  <si>
    <t>NGF202109</t>
  </si>
  <si>
    <t>NGF202112</t>
  </si>
  <si>
    <t>NIF(1)</t>
  </si>
  <si>
    <t>NIF2</t>
  </si>
  <si>
    <t>NIF2(1)</t>
  </si>
  <si>
    <t>NIF202102</t>
  </si>
  <si>
    <t>NIF202102／03</t>
  </si>
  <si>
    <t>NIF202103</t>
  </si>
  <si>
    <t>NIF202106</t>
  </si>
  <si>
    <t>NIF202109</t>
  </si>
  <si>
    <t>NIF202112</t>
  </si>
  <si>
    <t>NJF(1)</t>
  </si>
  <si>
    <t>NJF2</t>
  </si>
  <si>
    <t>NJF2(1)</t>
  </si>
  <si>
    <t>NJF202102</t>
  </si>
  <si>
    <t>NJF202103</t>
  </si>
  <si>
    <t>NJF202106</t>
  </si>
  <si>
    <t>NJF202109</t>
  </si>
  <si>
    <t>NJF202112</t>
  </si>
  <si>
    <t>NLF(1)</t>
  </si>
  <si>
    <t>NLF2</t>
  </si>
  <si>
    <t>NLF2(1)</t>
  </si>
  <si>
    <t>NLF202102</t>
  </si>
  <si>
    <t>NLF202102／03</t>
  </si>
  <si>
    <t>NLF202103</t>
  </si>
  <si>
    <t>NLF202106</t>
  </si>
  <si>
    <t>NLF202109</t>
  </si>
  <si>
    <t>NLF202112</t>
  </si>
  <si>
    <t>NMF(1)</t>
  </si>
  <si>
    <t>NMF2</t>
  </si>
  <si>
    <t>NMF2(1)</t>
  </si>
  <si>
    <t>NMF202102</t>
  </si>
  <si>
    <t>NMF202102／03</t>
  </si>
  <si>
    <t>NMF202103</t>
  </si>
  <si>
    <t>NMF202106</t>
  </si>
  <si>
    <t>NMF202109</t>
  </si>
  <si>
    <t>NMF202112</t>
  </si>
  <si>
    <t>NOF(1)</t>
  </si>
  <si>
    <t>NOF2</t>
  </si>
  <si>
    <t>NOF2(1)</t>
  </si>
  <si>
    <t>NOF202102</t>
  </si>
  <si>
    <t>NOF202102／03</t>
  </si>
  <si>
    <t>NOF202102／06</t>
  </si>
  <si>
    <t>NOF202102／09</t>
  </si>
  <si>
    <t>NOF202103</t>
  </si>
  <si>
    <t>NOF202103／06</t>
  </si>
  <si>
    <t>NOF202103／09</t>
  </si>
  <si>
    <t>NOF202106</t>
  </si>
  <si>
    <t>NOF202109</t>
  </si>
  <si>
    <t>NOF202112</t>
  </si>
  <si>
    <t>NQF(1)</t>
  </si>
  <si>
    <t>NQF2</t>
  </si>
  <si>
    <t>NQF2(1)</t>
  </si>
  <si>
    <t>NQF202102</t>
  </si>
  <si>
    <t>NQF202102／03</t>
  </si>
  <si>
    <t>NQF202103</t>
  </si>
  <si>
    <t>NQF202106</t>
  </si>
  <si>
    <t>NQF202109</t>
  </si>
  <si>
    <t>NQF202112</t>
  </si>
  <si>
    <t>NSF(1)</t>
  </si>
  <si>
    <t>NSF2</t>
  </si>
  <si>
    <t>NSF2(1)</t>
  </si>
  <si>
    <t>NSF202102</t>
  </si>
  <si>
    <t>NSF202102／03</t>
  </si>
  <si>
    <t>NSF202103</t>
  </si>
  <si>
    <t>NSF202106</t>
  </si>
  <si>
    <t>NSF202109</t>
  </si>
  <si>
    <t>NSF202112</t>
  </si>
  <si>
    <t>NUF(1)</t>
  </si>
  <si>
    <t>NUF2</t>
  </si>
  <si>
    <t>NUF2(1)</t>
  </si>
  <si>
    <t>NUF202102</t>
  </si>
  <si>
    <t>NUF202102／03</t>
  </si>
  <si>
    <t>NUF202103</t>
  </si>
  <si>
    <t>NUF202106</t>
  </si>
  <si>
    <t>NUF202109</t>
  </si>
  <si>
    <t>NUF202112</t>
  </si>
  <si>
    <t>NVF(1)</t>
  </si>
  <si>
    <t>NVF2</t>
  </si>
  <si>
    <t>NVF2(1)</t>
  </si>
  <si>
    <t>NVF202102</t>
  </si>
  <si>
    <t>NVF202102／03</t>
  </si>
  <si>
    <t>NVF202103</t>
  </si>
  <si>
    <t>NVF202106</t>
  </si>
  <si>
    <t>NVF202109</t>
  </si>
  <si>
    <t>NVF202112</t>
  </si>
  <si>
    <t>NWF(1)</t>
  </si>
  <si>
    <t>NWF2</t>
  </si>
  <si>
    <t>NWF2(1)</t>
  </si>
  <si>
    <t>NWF202102</t>
  </si>
  <si>
    <t>NWF202102／03</t>
  </si>
  <si>
    <t>NWF202103</t>
  </si>
  <si>
    <t>NWF202106</t>
  </si>
  <si>
    <t>NWF202109</t>
  </si>
  <si>
    <t>NWF202112</t>
  </si>
  <si>
    <t>NXF(1)</t>
  </si>
  <si>
    <t>NXF2</t>
  </si>
  <si>
    <t>NXF2(1)</t>
  </si>
  <si>
    <t>NXF202102</t>
  </si>
  <si>
    <t>NXF202103</t>
  </si>
  <si>
    <t>NXF202106</t>
  </si>
  <si>
    <t>NXF202109</t>
  </si>
  <si>
    <t>NXF202112</t>
  </si>
  <si>
    <t>NYF(1)</t>
  </si>
  <si>
    <t>NYF2</t>
  </si>
  <si>
    <t>NYF2(1)</t>
  </si>
  <si>
    <t>NYF202102</t>
  </si>
  <si>
    <t>NYF202102／03</t>
  </si>
  <si>
    <t>NYF202103</t>
  </si>
  <si>
    <t>NYF202106</t>
  </si>
  <si>
    <t>NYF202109</t>
  </si>
  <si>
    <t>NYF202112</t>
  </si>
  <si>
    <t>NZF(1)</t>
  </si>
  <si>
    <t>NZF2</t>
  </si>
  <si>
    <t>NZF2(1)</t>
  </si>
  <si>
    <t>NZF202102</t>
  </si>
  <si>
    <t>NZF202102／03</t>
  </si>
  <si>
    <t>NZF202103</t>
  </si>
  <si>
    <t>NZF202106</t>
  </si>
  <si>
    <t>NZF202109</t>
  </si>
  <si>
    <t>NZF202112</t>
  </si>
  <si>
    <t>OAF(1)</t>
  </si>
  <si>
    <t>OAF2</t>
  </si>
  <si>
    <t>OAF2(1)</t>
  </si>
  <si>
    <t>OAF202102</t>
  </si>
  <si>
    <t>OAF202102／03</t>
  </si>
  <si>
    <t>OAF202103</t>
  </si>
  <si>
    <t>OAF202106</t>
  </si>
  <si>
    <t>OAF202109</t>
  </si>
  <si>
    <t>OAF202112</t>
  </si>
  <si>
    <t>OBF(1)</t>
  </si>
  <si>
    <t>OBF2</t>
  </si>
  <si>
    <t>OBF2(1)</t>
  </si>
  <si>
    <t>OBF202102</t>
  </si>
  <si>
    <t>OBF202102／03</t>
  </si>
  <si>
    <t>OBF202103</t>
  </si>
  <si>
    <t>OBF202106</t>
  </si>
  <si>
    <t>OBF202109</t>
  </si>
  <si>
    <t>OBF202112</t>
  </si>
  <si>
    <t>OCF(1)</t>
  </si>
  <si>
    <t>OCF2</t>
  </si>
  <si>
    <t>OCF2(1)</t>
  </si>
  <si>
    <t>OCF202102</t>
  </si>
  <si>
    <t>OCF202103</t>
  </si>
  <si>
    <t>OCF202106</t>
  </si>
  <si>
    <t>OCF202109</t>
  </si>
  <si>
    <t>OCF202112</t>
  </si>
  <si>
    <t>ODF(1)</t>
  </si>
  <si>
    <t>ODF2</t>
  </si>
  <si>
    <t>ODF2(1)</t>
  </si>
  <si>
    <t>ODF202102</t>
  </si>
  <si>
    <t>ODF202102／03</t>
  </si>
  <si>
    <t>ODF202103</t>
  </si>
  <si>
    <t>ODF202106</t>
  </si>
  <si>
    <t>ODF202109</t>
  </si>
  <si>
    <t>ODF202112</t>
  </si>
  <si>
    <t>OEF(1)</t>
  </si>
  <si>
    <t>OEF2</t>
  </si>
  <si>
    <t>OEF2(1)</t>
  </si>
  <si>
    <t>OEF202102</t>
  </si>
  <si>
    <t>OEF202102／03</t>
  </si>
  <si>
    <t>OEF202102／06</t>
  </si>
  <si>
    <t>OEF202103</t>
  </si>
  <si>
    <t>OEF202106</t>
  </si>
  <si>
    <t>OEF202106／09</t>
  </si>
  <si>
    <t>OEF202109</t>
  </si>
  <si>
    <t>OEF202112</t>
  </si>
  <si>
    <t>OHF(1)</t>
  </si>
  <si>
    <t>OHF2</t>
  </si>
  <si>
    <t>OHF2(1)</t>
  </si>
  <si>
    <t>OHF202102</t>
  </si>
  <si>
    <t>OHF202102／03</t>
  </si>
  <si>
    <t>OHF202103</t>
  </si>
  <si>
    <t>OHF202106</t>
  </si>
  <si>
    <t>OHF202109</t>
  </si>
  <si>
    <t>OHF202112</t>
  </si>
  <si>
    <t>OJF(1)</t>
  </si>
  <si>
    <t>OJF2</t>
  </si>
  <si>
    <t>OJF2(1)</t>
  </si>
  <si>
    <t>OJF202102</t>
  </si>
  <si>
    <t>OJF202102／03</t>
  </si>
  <si>
    <t>OJF202103</t>
  </si>
  <si>
    <t>OJF202106</t>
  </si>
  <si>
    <t>OJF202109</t>
  </si>
  <si>
    <t>OJF202112</t>
  </si>
  <si>
    <t>OKF(1)</t>
  </si>
  <si>
    <t>OKF2</t>
  </si>
  <si>
    <t>OKF2(1)</t>
  </si>
  <si>
    <t>OKF202102</t>
  </si>
  <si>
    <t>OKF202102／03</t>
  </si>
  <si>
    <t>OKF202103</t>
  </si>
  <si>
    <t>OKF202106</t>
  </si>
  <si>
    <t>OKF202109</t>
  </si>
  <si>
    <t>OKF202112</t>
  </si>
  <si>
    <t>OLF(1)</t>
  </si>
  <si>
    <t>OLF2</t>
  </si>
  <si>
    <t>OLF2(1)</t>
  </si>
  <si>
    <t>OLF202102</t>
  </si>
  <si>
    <t>OLF202102／03</t>
  </si>
  <si>
    <t>OLF202103</t>
  </si>
  <si>
    <t>OLF202106</t>
  </si>
  <si>
    <t>OLF202109</t>
  </si>
  <si>
    <t>OLF202112</t>
  </si>
  <si>
    <t>OMF(1)</t>
  </si>
  <si>
    <t>OMF2</t>
  </si>
  <si>
    <t>OMF2(1)</t>
  </si>
  <si>
    <t>OMF202102</t>
  </si>
  <si>
    <t>OMF202102／03</t>
  </si>
  <si>
    <t>OMF202103</t>
  </si>
  <si>
    <t>OMF202106</t>
  </si>
  <si>
    <t>OMF202109</t>
  </si>
  <si>
    <t>OMF202112</t>
  </si>
  <si>
    <t>OOF(1)</t>
  </si>
  <si>
    <t>OOF2</t>
  </si>
  <si>
    <t>OOF2(1)</t>
  </si>
  <si>
    <t>OOF202102</t>
  </si>
  <si>
    <t>OOF202102／03</t>
  </si>
  <si>
    <t>OOF202103</t>
  </si>
  <si>
    <t>OOF202106</t>
  </si>
  <si>
    <t>OOF202109</t>
  </si>
  <si>
    <t>OOF202112</t>
  </si>
  <si>
    <t>OPF(1)</t>
  </si>
  <si>
    <t>OPF2</t>
  </si>
  <si>
    <t>OPF2(1)</t>
  </si>
  <si>
    <t>OPF202102</t>
  </si>
  <si>
    <t>OPF202102／03</t>
  </si>
  <si>
    <t>OPF202102／06</t>
  </si>
  <si>
    <t>OPF202102／09</t>
  </si>
  <si>
    <t>OPF202103</t>
  </si>
  <si>
    <t>OPF202103／06</t>
  </si>
  <si>
    <t>OPF202103／09</t>
  </si>
  <si>
    <t>OPF202106</t>
  </si>
  <si>
    <t>OPF202109</t>
  </si>
  <si>
    <t>OPF202112</t>
  </si>
  <si>
    <t>OQF(1)</t>
  </si>
  <si>
    <t>OQF2</t>
  </si>
  <si>
    <t>OQF2(1)</t>
  </si>
  <si>
    <t>OQF202102</t>
  </si>
  <si>
    <t>OQF202102／03</t>
  </si>
  <si>
    <t>OQF202103</t>
  </si>
  <si>
    <t>OQF202106</t>
  </si>
  <si>
    <t>OQF202109</t>
  </si>
  <si>
    <t>OQF202112</t>
  </si>
  <si>
    <t>OR1</t>
  </si>
  <si>
    <t>OR1(1)</t>
  </si>
  <si>
    <t>OR1202103</t>
  </si>
  <si>
    <t>ORF(1)</t>
  </si>
  <si>
    <t>ORF2</t>
  </si>
  <si>
    <t>ORF2(1)</t>
  </si>
  <si>
    <t>ORF202102</t>
  </si>
  <si>
    <t>ORF202102／03</t>
  </si>
  <si>
    <t>ORF202103</t>
  </si>
  <si>
    <t>ORF202106</t>
  </si>
  <si>
    <t>ORF202109</t>
  </si>
  <si>
    <t>ORF202112</t>
  </si>
  <si>
    <t>OSF(1)</t>
  </si>
  <si>
    <t>OSF2</t>
  </si>
  <si>
    <t>OSF2(1)</t>
  </si>
  <si>
    <t>OSF202102</t>
  </si>
  <si>
    <t>OSF202102／03</t>
  </si>
  <si>
    <t>OSF202103</t>
  </si>
  <si>
    <t>OSF202106</t>
  </si>
  <si>
    <t>OSF202109</t>
  </si>
  <si>
    <t>OSF202112</t>
  </si>
  <si>
    <t>OTF(1)</t>
  </si>
  <si>
    <t>OTF2</t>
  </si>
  <si>
    <t>OTF2(1)</t>
  </si>
  <si>
    <t>OTF202102</t>
  </si>
  <si>
    <t>OTF202102／03</t>
  </si>
  <si>
    <t>OTF202103</t>
  </si>
  <si>
    <t>OTF202106</t>
  </si>
  <si>
    <t>OTF202109</t>
  </si>
  <si>
    <t>OTF202112</t>
  </si>
  <si>
    <t>OUF(1)</t>
  </si>
  <si>
    <t>OUF2</t>
  </si>
  <si>
    <t>OUF2(1)</t>
  </si>
  <si>
    <t>OUF202102</t>
  </si>
  <si>
    <t>OUF202102／03</t>
  </si>
  <si>
    <t>OUF202103</t>
  </si>
  <si>
    <t>OUF202106</t>
  </si>
  <si>
    <t>OUF202109</t>
  </si>
  <si>
    <t>OUF202112</t>
  </si>
  <si>
    <t>OVF(1)</t>
  </si>
  <si>
    <t>OVF2</t>
  </si>
  <si>
    <t>OVF2(1)</t>
  </si>
  <si>
    <t>OVF202102</t>
  </si>
  <si>
    <t>OVF202102／03</t>
  </si>
  <si>
    <t>OVF202103</t>
  </si>
  <si>
    <t>OVF202106</t>
  </si>
  <si>
    <t>OVF202109</t>
  </si>
  <si>
    <t>OVF202112</t>
  </si>
  <si>
    <t>OWF(1)</t>
  </si>
  <si>
    <t>OWF2</t>
  </si>
  <si>
    <t>OWF2(1)</t>
  </si>
  <si>
    <t>OWF202102</t>
  </si>
  <si>
    <t>OWF202102／03</t>
  </si>
  <si>
    <t>OWF202103</t>
  </si>
  <si>
    <t>OWF202106</t>
  </si>
  <si>
    <t>OWF202109</t>
  </si>
  <si>
    <t>OWF202112</t>
  </si>
  <si>
    <t>OXF(1)</t>
  </si>
  <si>
    <t>OXF2</t>
  </si>
  <si>
    <t>OXF2(1)</t>
  </si>
  <si>
    <t>OXF202102</t>
  </si>
  <si>
    <t>OXF202103</t>
  </si>
  <si>
    <t>OXF202106</t>
  </si>
  <si>
    <t>OXF202109</t>
  </si>
  <si>
    <t>OXF202112</t>
  </si>
  <si>
    <t>OYF(1)</t>
  </si>
  <si>
    <t>OYF2</t>
  </si>
  <si>
    <t>OYF2(1)</t>
  </si>
  <si>
    <t>OYF202102</t>
  </si>
  <si>
    <t>OYF202103</t>
  </si>
  <si>
    <t>OYF202106</t>
  </si>
  <si>
    <t>OYF202109</t>
  </si>
  <si>
    <t>OYF202112</t>
  </si>
  <si>
    <t>OZF(1)</t>
  </si>
  <si>
    <t>OZF2</t>
  </si>
  <si>
    <t>OZF2(1)</t>
  </si>
  <si>
    <t>OZF202102</t>
  </si>
  <si>
    <t>OZF202102／03</t>
  </si>
  <si>
    <t>OZF202102／06</t>
  </si>
  <si>
    <t>OZF202103</t>
  </si>
  <si>
    <t>OZF202103／12</t>
  </si>
  <si>
    <t>OZF202106</t>
  </si>
  <si>
    <t>OZF202106／09</t>
  </si>
  <si>
    <t>OZF202106／12</t>
  </si>
  <si>
    <t>OZF202109</t>
  </si>
  <si>
    <t>OZF202112</t>
  </si>
  <si>
    <t>PAF(1)</t>
  </si>
  <si>
    <t>PAF2</t>
  </si>
  <si>
    <t>PAF2(1)</t>
  </si>
  <si>
    <t>PAF202102</t>
  </si>
  <si>
    <t>PAF202102／03</t>
  </si>
  <si>
    <t>PAF202103</t>
  </si>
  <si>
    <t>PAF202106</t>
  </si>
  <si>
    <t>PAF202109</t>
  </si>
  <si>
    <t>PAF202112</t>
  </si>
  <si>
    <t>PBF(1)</t>
  </si>
  <si>
    <t>PBF2</t>
  </si>
  <si>
    <t>PBF2(1)</t>
  </si>
  <si>
    <t>PBF202102</t>
  </si>
  <si>
    <t>PBF202102／03</t>
  </si>
  <si>
    <t>PBF202103</t>
  </si>
  <si>
    <t>PBF202106</t>
  </si>
  <si>
    <t>PBF202109</t>
  </si>
  <si>
    <t>PBF202112</t>
  </si>
  <si>
    <t>PCF(1)</t>
  </si>
  <si>
    <t>PCF2</t>
  </si>
  <si>
    <t>PCF2(1)</t>
  </si>
  <si>
    <t>PCF202102</t>
  </si>
  <si>
    <t>PCF202103</t>
  </si>
  <si>
    <t>PCF202106</t>
  </si>
  <si>
    <t>PCF202109</t>
  </si>
  <si>
    <t>PCF202112</t>
  </si>
  <si>
    <t>PDF(1)</t>
  </si>
  <si>
    <t>PDF2</t>
  </si>
  <si>
    <t>PDF2(1)</t>
  </si>
  <si>
    <t>PDF202102</t>
  </si>
  <si>
    <t>PDF202103</t>
  </si>
  <si>
    <t>PDF202106</t>
  </si>
  <si>
    <t>PDF202109</t>
  </si>
  <si>
    <t>PDF202112</t>
  </si>
  <si>
    <t>PEF(1)</t>
  </si>
  <si>
    <t>PEF2</t>
  </si>
  <si>
    <t>PEF2(1)</t>
  </si>
  <si>
    <t>PEF202102</t>
  </si>
  <si>
    <t>PEF202102／03</t>
  </si>
  <si>
    <t>PEF202103</t>
  </si>
  <si>
    <t>PEF202106</t>
  </si>
  <si>
    <t>PEF202109</t>
  </si>
  <si>
    <t>PEF202112</t>
  </si>
  <si>
    <t>PFF(1)</t>
  </si>
  <si>
    <t>PFF2</t>
  </si>
  <si>
    <t>PFF2(1)</t>
  </si>
  <si>
    <t>PFF202102</t>
  </si>
  <si>
    <t>PFF202103</t>
  </si>
  <si>
    <t>PFF202106</t>
  </si>
  <si>
    <t>PFF202109</t>
  </si>
  <si>
    <t>PFF202112</t>
  </si>
  <si>
    <t>PGF(1)</t>
  </si>
  <si>
    <t>PGF2</t>
  </si>
  <si>
    <t>PGF2(1)</t>
  </si>
  <si>
    <t>PGF202102</t>
  </si>
  <si>
    <t>PGF202102／03</t>
  </si>
  <si>
    <t>PGF202102／09</t>
  </si>
  <si>
    <t>PGF202103</t>
  </si>
  <si>
    <t>PGF202103／06</t>
  </si>
  <si>
    <t>PGF202106</t>
  </si>
  <si>
    <t>PGF202109</t>
  </si>
  <si>
    <t>PGF202112</t>
  </si>
  <si>
    <t>PHF(1)</t>
  </si>
  <si>
    <t>PHF2</t>
  </si>
  <si>
    <t>PHF2(1)</t>
  </si>
  <si>
    <t>PHF202102</t>
  </si>
  <si>
    <t>PHF202103</t>
  </si>
  <si>
    <t>PHF202106</t>
  </si>
  <si>
    <t>PHF202109</t>
  </si>
  <si>
    <t>PHF202112</t>
  </si>
  <si>
    <t>PIF(1)</t>
  </si>
  <si>
    <t>PIF2</t>
  </si>
  <si>
    <t>PIF2(1)</t>
  </si>
  <si>
    <t>PIF202102</t>
  </si>
  <si>
    <t>PIF202103</t>
  </si>
  <si>
    <t>PIF202106</t>
  </si>
  <si>
    <t>PIF202109</t>
  </si>
  <si>
    <t>PIF202112</t>
  </si>
  <si>
    <t>PJF(1)</t>
  </si>
  <si>
    <t>PJF2</t>
  </si>
  <si>
    <t>PJF2(1)</t>
  </si>
  <si>
    <t>PJF202102</t>
  </si>
  <si>
    <t>PJF202102／03</t>
  </si>
  <si>
    <t>PJF202103</t>
  </si>
  <si>
    <t>PJF202106</t>
  </si>
  <si>
    <t>PJF202109</t>
  </si>
  <si>
    <t>PJF202112</t>
  </si>
  <si>
    <t>PKF(1)</t>
  </si>
  <si>
    <t>PKF2</t>
  </si>
  <si>
    <t>PKF2(1)</t>
  </si>
  <si>
    <t>PKF202102</t>
  </si>
  <si>
    <t>PKF202102／03</t>
  </si>
  <si>
    <t>PKF202103</t>
  </si>
  <si>
    <t>PKF202106</t>
  </si>
  <si>
    <t>PKF202109</t>
  </si>
  <si>
    <t>PKF202112</t>
  </si>
  <si>
    <t>PLF(1)</t>
  </si>
  <si>
    <t>PLF2</t>
  </si>
  <si>
    <t>PLF2(1)</t>
  </si>
  <si>
    <t>PLF202102</t>
  </si>
  <si>
    <t>PLF202102／03</t>
  </si>
  <si>
    <t>PLF202103</t>
  </si>
  <si>
    <t>PLF202106</t>
  </si>
  <si>
    <t>PLF202109</t>
  </si>
  <si>
    <t>PLF202112</t>
  </si>
  <si>
    <t>PMF(1)</t>
  </si>
  <si>
    <t>PMF2</t>
  </si>
  <si>
    <t>PMF2(1)</t>
  </si>
  <si>
    <t>PMF202102</t>
  </si>
  <si>
    <t>PMF202102／03</t>
  </si>
  <si>
    <t>PMF202103</t>
  </si>
  <si>
    <t>PMF202106</t>
  </si>
  <si>
    <t>PMF202109</t>
  </si>
  <si>
    <t>PMF202112</t>
  </si>
  <si>
    <t>PNF(1)</t>
  </si>
  <si>
    <t>PNF2</t>
  </si>
  <si>
    <t>PNF2(1)</t>
  </si>
  <si>
    <t>PNF202102</t>
  </si>
  <si>
    <t>PNF202102／03</t>
  </si>
  <si>
    <t>PNF202103</t>
  </si>
  <si>
    <t>PNF202106</t>
  </si>
  <si>
    <t>PNF202109</t>
  </si>
  <si>
    <t>PNF202112</t>
  </si>
  <si>
    <t>POF(1)</t>
  </si>
  <si>
    <t>POF2</t>
  </si>
  <si>
    <t>POF2(1)</t>
  </si>
  <si>
    <t>POF202102</t>
  </si>
  <si>
    <t>POF202102／03</t>
  </si>
  <si>
    <t>POF202103</t>
  </si>
  <si>
    <t>POF202106</t>
  </si>
  <si>
    <t>POF202109</t>
  </si>
  <si>
    <t>POF202112</t>
  </si>
  <si>
    <t>PPF(1)</t>
  </si>
  <si>
    <t>PPF2</t>
  </si>
  <si>
    <t>PPF2(1)</t>
  </si>
  <si>
    <t>PPF202102</t>
  </si>
  <si>
    <t>PPF202102／03</t>
  </si>
  <si>
    <t>PPF202102／06</t>
  </si>
  <si>
    <t>PPF202103</t>
  </si>
  <si>
    <t>PPF202106</t>
  </si>
  <si>
    <t>PPF202109</t>
  </si>
  <si>
    <t>PPF202112</t>
  </si>
  <si>
    <t>PQF(1)</t>
  </si>
  <si>
    <t>PQF2</t>
  </si>
  <si>
    <t>PQF2(1)</t>
  </si>
  <si>
    <t>PQF202102</t>
  </si>
  <si>
    <t>PQF202102／03</t>
  </si>
  <si>
    <t>PQF202103</t>
  </si>
  <si>
    <t>PQF202106</t>
  </si>
  <si>
    <t>PQF202109</t>
  </si>
  <si>
    <t>PQF202112</t>
  </si>
  <si>
    <t>PRF(1)</t>
  </si>
  <si>
    <t>PRF2</t>
  </si>
  <si>
    <t>PRF2(1)</t>
  </si>
  <si>
    <t>PRF202102</t>
  </si>
  <si>
    <t>PRF202102／03</t>
  </si>
  <si>
    <t>PRF202103</t>
  </si>
  <si>
    <t>PRF202106</t>
  </si>
  <si>
    <t>PRF202109</t>
  </si>
  <si>
    <t>PRF202112</t>
  </si>
  <si>
    <t>PSF(1)</t>
  </si>
  <si>
    <t>PSF2</t>
  </si>
  <si>
    <t>PSF2(1)</t>
  </si>
  <si>
    <t>PSF202102</t>
  </si>
  <si>
    <t>PSF202102／03</t>
  </si>
  <si>
    <t>PSF202103</t>
  </si>
  <si>
    <t>PSF202106</t>
  </si>
  <si>
    <t>PSF202109</t>
  </si>
  <si>
    <t>PSF202112</t>
  </si>
  <si>
    <t>PTF(1)</t>
  </si>
  <si>
    <t>PTF2</t>
  </si>
  <si>
    <t>PTF2(1)</t>
  </si>
  <si>
    <t>PTF202102</t>
  </si>
  <si>
    <t>PTF202102／03</t>
  </si>
  <si>
    <t>PTF202103</t>
  </si>
  <si>
    <t>PTF202106</t>
  </si>
  <si>
    <t>PTF202109</t>
  </si>
  <si>
    <t>PTF202112</t>
  </si>
  <si>
    <t>PUF(1)</t>
  </si>
  <si>
    <t>PUF2</t>
  </si>
  <si>
    <t>PUF2(1)</t>
  </si>
  <si>
    <t>PUF202102</t>
  </si>
  <si>
    <t>PUF202102／03</t>
  </si>
  <si>
    <t>PUF202103</t>
  </si>
  <si>
    <t>PUF202106</t>
  </si>
  <si>
    <t>PUF202109</t>
  </si>
  <si>
    <t>PUF202112</t>
  </si>
  <si>
    <t>PVF(1)</t>
  </si>
  <si>
    <t>PVF2</t>
  </si>
  <si>
    <t>PVF2(1)</t>
  </si>
  <si>
    <t>PVF202102</t>
  </si>
  <si>
    <t>PVF202103</t>
  </si>
  <si>
    <t>PVF202106</t>
  </si>
  <si>
    <t>PVF202109</t>
  </si>
  <si>
    <t>PVF202112</t>
  </si>
  <si>
    <t>PWF(1)</t>
  </si>
  <si>
    <t>PWF2</t>
  </si>
  <si>
    <t>PWF2(1)</t>
  </si>
  <si>
    <t>PWF202102</t>
  </si>
  <si>
    <t>PWF202102／03</t>
  </si>
  <si>
    <t>PWF202103</t>
  </si>
  <si>
    <t>PWF202106</t>
  </si>
  <si>
    <t>PWF202109</t>
  </si>
  <si>
    <t>PWF202112</t>
  </si>
  <si>
    <t>PXF(1)</t>
  </si>
  <si>
    <t>PXF2</t>
  </si>
  <si>
    <t>PXF2(1)</t>
  </si>
  <si>
    <t>PXF202102</t>
  </si>
  <si>
    <t>PXF202102／03</t>
  </si>
  <si>
    <t>PXF202103</t>
  </si>
  <si>
    <t>PXF202106</t>
  </si>
  <si>
    <t>PXF202109</t>
  </si>
  <si>
    <t>PXF202112</t>
  </si>
  <si>
    <t>PYF(1)</t>
  </si>
  <si>
    <t>PYF2</t>
  </si>
  <si>
    <t>PYF2(1)</t>
  </si>
  <si>
    <t>PYF202102</t>
  </si>
  <si>
    <t>PYF202102／03</t>
  </si>
  <si>
    <t>PYF202103</t>
  </si>
  <si>
    <t>PYF202106</t>
  </si>
  <si>
    <t>PYF202109</t>
  </si>
  <si>
    <t>PYF202112</t>
  </si>
  <si>
    <t>PZF(1)</t>
  </si>
  <si>
    <t>PZF2</t>
  </si>
  <si>
    <t>PZF2(1)</t>
  </si>
  <si>
    <t>PZF202102</t>
  </si>
  <si>
    <t>PZF202103</t>
  </si>
  <si>
    <t>PZF202106</t>
  </si>
  <si>
    <t>PZF202109</t>
  </si>
  <si>
    <t>PZF202112</t>
  </si>
  <si>
    <t>QAF(1)</t>
  </si>
  <si>
    <t>QAF2</t>
  </si>
  <si>
    <t>QAF2(1)</t>
  </si>
  <si>
    <t>QAF202102</t>
  </si>
  <si>
    <t>QAF202103</t>
  </si>
  <si>
    <t>QAF202106</t>
  </si>
  <si>
    <t>QAF202109</t>
  </si>
  <si>
    <t>QAF202112</t>
  </si>
  <si>
    <t>QB1</t>
  </si>
  <si>
    <t>QB1(1)</t>
  </si>
  <si>
    <t>QB12</t>
  </si>
  <si>
    <t>QB12(1)</t>
  </si>
  <si>
    <t>QB1202103</t>
  </si>
  <si>
    <t>QB1202106</t>
  </si>
  <si>
    <t>QB2</t>
  </si>
  <si>
    <t>QB2(1)</t>
  </si>
  <si>
    <t>QB22</t>
  </si>
  <si>
    <t>QB22(1)</t>
  </si>
  <si>
    <t>QB2202103</t>
  </si>
  <si>
    <t>QB2202106</t>
  </si>
  <si>
    <t>QBF(1)</t>
  </si>
  <si>
    <t>QBF2</t>
  </si>
  <si>
    <t>QBF2(1)</t>
  </si>
  <si>
    <t>QBF202102</t>
  </si>
  <si>
    <t>QBF202102／03</t>
  </si>
  <si>
    <t>QBF202103</t>
  </si>
  <si>
    <t>QBF202106</t>
  </si>
  <si>
    <t>QBF202109</t>
  </si>
  <si>
    <t>QBF202112</t>
  </si>
  <si>
    <t>QCF(1)</t>
  </si>
  <si>
    <t>QCF2</t>
  </si>
  <si>
    <t>QCF2(1)</t>
  </si>
  <si>
    <t>QCF202102</t>
  </si>
  <si>
    <t>QCF202103</t>
  </si>
  <si>
    <t>QCF202106</t>
  </si>
  <si>
    <t>QCF202109</t>
  </si>
  <si>
    <t>QCF202112</t>
  </si>
  <si>
    <t>QDF(1)</t>
  </si>
  <si>
    <t>QDF2</t>
  </si>
  <si>
    <t>QDF2(1)</t>
  </si>
  <si>
    <t>QDF202102</t>
  </si>
  <si>
    <t>QDF202103</t>
  </si>
  <si>
    <t>QDF202106</t>
  </si>
  <si>
    <t>QDF202109</t>
  </si>
  <si>
    <t>QDF202112</t>
  </si>
  <si>
    <t>QEF(1)</t>
  </si>
  <si>
    <t>QEF2</t>
  </si>
  <si>
    <t>QEF2(1)</t>
  </si>
  <si>
    <t>QEF202102</t>
  </si>
  <si>
    <t>QEF202102／03</t>
  </si>
  <si>
    <t>QEF202103</t>
  </si>
  <si>
    <t>QEF202106</t>
  </si>
  <si>
    <t>QEF202109</t>
  </si>
  <si>
    <t>QEF202112</t>
  </si>
  <si>
    <t>QFF(1)</t>
  </si>
  <si>
    <t>QFF2</t>
  </si>
  <si>
    <t>QFF2(1)</t>
  </si>
  <si>
    <t>QFF202102</t>
  </si>
  <si>
    <t>QFF202102／03</t>
  </si>
  <si>
    <t>QFF202103</t>
  </si>
  <si>
    <t>QFF202106</t>
  </si>
  <si>
    <t>QFF202109</t>
  </si>
  <si>
    <t>QFF202112</t>
  </si>
  <si>
    <t>QGF(1)</t>
  </si>
  <si>
    <t>QGF2</t>
  </si>
  <si>
    <t>QGF2(1)</t>
  </si>
  <si>
    <t>QGF202102</t>
  </si>
  <si>
    <t>QGF202102／03</t>
  </si>
  <si>
    <t>QGF202103</t>
  </si>
  <si>
    <t>QGF202106</t>
  </si>
  <si>
    <t>QGF202109</t>
  </si>
  <si>
    <t>QGF202112</t>
  </si>
  <si>
    <t>QHF(1)</t>
  </si>
  <si>
    <t>QHF2</t>
  </si>
  <si>
    <t>QHF2(1)</t>
  </si>
  <si>
    <t>QHF202102</t>
  </si>
  <si>
    <t>QHF202102／03</t>
  </si>
  <si>
    <t>QHF202103</t>
  </si>
  <si>
    <t>QHF202106</t>
  </si>
  <si>
    <t>QHF202109</t>
  </si>
  <si>
    <t>QHF202112</t>
  </si>
  <si>
    <t>QIF(1)</t>
  </si>
  <si>
    <t>QIF2</t>
  </si>
  <si>
    <t>QIF2(1)</t>
  </si>
  <si>
    <t>QIF202102</t>
  </si>
  <si>
    <t>QIF202102／03</t>
  </si>
  <si>
    <t>QIF202103</t>
  </si>
  <si>
    <t>QIF202106</t>
  </si>
  <si>
    <t>QIF202109</t>
  </si>
  <si>
    <t>QIF202112</t>
  </si>
  <si>
    <t>QJF(1)</t>
  </si>
  <si>
    <t>QJF2</t>
  </si>
  <si>
    <t>QJF2(1)</t>
  </si>
  <si>
    <t>QJF202102</t>
  </si>
  <si>
    <t>QJF202102／03</t>
  </si>
  <si>
    <t>QJF202103</t>
  </si>
  <si>
    <t>QJF202106</t>
  </si>
  <si>
    <t>QJF202109</t>
  </si>
  <si>
    <t>QJF202112</t>
  </si>
  <si>
    <t>RHF</t>
  </si>
  <si>
    <t>RHF(1)</t>
  </si>
  <si>
    <t>RHF(1)PM</t>
  </si>
  <si>
    <t>RHF2</t>
  </si>
  <si>
    <t>RHF2(1)</t>
  </si>
  <si>
    <t>RHF202102</t>
  </si>
  <si>
    <t>RHF202102PM</t>
  </si>
  <si>
    <t>RHF202103</t>
  </si>
  <si>
    <t>RHF202103PM</t>
  </si>
  <si>
    <t>RHF202106</t>
  </si>
  <si>
    <t>RHF202106PM</t>
  </si>
  <si>
    <t>RHF202109</t>
  </si>
  <si>
    <t>RHF202109PM</t>
  </si>
  <si>
    <t>RHF202112</t>
  </si>
  <si>
    <t>RHF202112PM</t>
  </si>
  <si>
    <t>RHF202203</t>
  </si>
  <si>
    <t>RHF202203PM</t>
  </si>
  <si>
    <t>RHF2PM</t>
  </si>
  <si>
    <t>RHFPM</t>
  </si>
  <si>
    <t>RTF</t>
  </si>
  <si>
    <t>RTF(1)</t>
  </si>
  <si>
    <t>RTF(1)PM</t>
  </si>
  <si>
    <t>RTF2</t>
  </si>
  <si>
    <t>RTF2(1)</t>
  </si>
  <si>
    <t>RTF202102</t>
  </si>
  <si>
    <t>RTF202102PM</t>
  </si>
  <si>
    <t>RTF202103</t>
  </si>
  <si>
    <t>RTF202103PM</t>
  </si>
  <si>
    <t>RTF202106</t>
  </si>
  <si>
    <t>RTF202106PM</t>
  </si>
  <si>
    <t>RTF202109</t>
  </si>
  <si>
    <t>RTF202109PM</t>
  </si>
  <si>
    <t>RTF202112</t>
  </si>
  <si>
    <t>RTF202112PM</t>
  </si>
  <si>
    <t>RTF202203</t>
  </si>
  <si>
    <t>RTF202203PM</t>
  </si>
  <si>
    <t>RTF2PM</t>
  </si>
  <si>
    <t>RTFPM</t>
  </si>
  <si>
    <t>SFTF</t>
  </si>
  <si>
    <t>SFTF2</t>
  </si>
  <si>
    <t>SFTF202102</t>
  </si>
  <si>
    <t>SFTF202103</t>
  </si>
  <si>
    <t>SPF</t>
  </si>
  <si>
    <t>SPF(1)</t>
  </si>
  <si>
    <t>SPF(1)PM</t>
  </si>
  <si>
    <t>SPF2</t>
  </si>
  <si>
    <t>SPF2(1)</t>
  </si>
  <si>
    <t>SPF202103</t>
  </si>
  <si>
    <t>SPF202103PM</t>
  </si>
  <si>
    <t>SPF202106</t>
  </si>
  <si>
    <t>SPF202106PM</t>
  </si>
  <si>
    <t>SPF202109</t>
  </si>
  <si>
    <t>SPF202109PM</t>
  </si>
  <si>
    <t>SPF202112</t>
  </si>
  <si>
    <t>SPF202112PM</t>
  </si>
  <si>
    <t>SPF202203</t>
  </si>
  <si>
    <t>SPF202203PM</t>
  </si>
  <si>
    <t>SPF2PM</t>
  </si>
  <si>
    <t>SPFPM</t>
  </si>
  <si>
    <t>T5F</t>
  </si>
  <si>
    <t>T5F(1)</t>
  </si>
  <si>
    <t>T5F2</t>
  </si>
  <si>
    <t>T5F2(1)</t>
  </si>
  <si>
    <t>T5F202102</t>
  </si>
  <si>
    <t>T5F202103</t>
  </si>
  <si>
    <t>T5F202104</t>
  </si>
  <si>
    <t>T5F202106</t>
  </si>
  <si>
    <t>T5F202109</t>
  </si>
  <si>
    <t>T5F202112</t>
  </si>
  <si>
    <t>T5F3</t>
  </si>
  <si>
    <t>T5F3(1)</t>
  </si>
  <si>
    <t>TE</t>
  </si>
  <si>
    <t>TE(1)</t>
  </si>
  <si>
    <t>TE(1)PM</t>
  </si>
  <si>
    <t>TE2</t>
  </si>
  <si>
    <t>TE2(1)</t>
  </si>
  <si>
    <t>TE2(1)PM</t>
  </si>
  <si>
    <t>TE202102</t>
  </si>
  <si>
    <t>TE202102／03</t>
  </si>
  <si>
    <t>TE202102／03PM</t>
  </si>
  <si>
    <t>TE202102PM</t>
  </si>
  <si>
    <t>TE202103</t>
  </si>
  <si>
    <t>TE202103／04PM</t>
  </si>
  <si>
    <t>TE202103PM</t>
  </si>
  <si>
    <t>TE202104</t>
  </si>
  <si>
    <t>TE202104PM</t>
  </si>
  <si>
    <t>TE202106</t>
  </si>
  <si>
    <t>TE202106PM</t>
  </si>
  <si>
    <t>TE202109</t>
  </si>
  <si>
    <t>TE202109PM</t>
  </si>
  <si>
    <t>TE202112</t>
  </si>
  <si>
    <t>TE202112PM</t>
  </si>
  <si>
    <t>TE2PM</t>
  </si>
  <si>
    <t>TE3</t>
  </si>
  <si>
    <t>TE3(1)</t>
  </si>
  <si>
    <t>TE3PM</t>
  </si>
  <si>
    <t>TEPM</t>
  </si>
  <si>
    <t>TF</t>
  </si>
  <si>
    <t>TF(1)</t>
  </si>
  <si>
    <t>TF2</t>
  </si>
  <si>
    <t>TF2(1)</t>
  </si>
  <si>
    <t>TF202102</t>
  </si>
  <si>
    <t>TF202102／03</t>
  </si>
  <si>
    <t>TF202103</t>
  </si>
  <si>
    <t>TF202104</t>
  </si>
  <si>
    <t>TF202106</t>
  </si>
  <si>
    <t>TF202109</t>
  </si>
  <si>
    <t>TF202112</t>
  </si>
  <si>
    <t>TF3</t>
  </si>
  <si>
    <t>TF3(1)</t>
  </si>
  <si>
    <t>TGF</t>
  </si>
  <si>
    <t>TGF(1)</t>
  </si>
  <si>
    <t>TGF(1)PM</t>
  </si>
  <si>
    <t>TGF2</t>
  </si>
  <si>
    <t>TGF2(1)</t>
  </si>
  <si>
    <t>TGF202102</t>
  </si>
  <si>
    <t>TGF202102／04PM</t>
  </si>
  <si>
    <t>TGF202102PM</t>
  </si>
  <si>
    <t>TGF202104</t>
  </si>
  <si>
    <t>TGF202104PM</t>
  </si>
  <si>
    <t>TGF202106</t>
  </si>
  <si>
    <t>TGF202106PM</t>
  </si>
  <si>
    <t>TGF202108</t>
  </si>
  <si>
    <t>TGF202108PM</t>
  </si>
  <si>
    <t>TGF202110</t>
  </si>
  <si>
    <t>TGF202110PM</t>
  </si>
  <si>
    <t>TGF202112</t>
  </si>
  <si>
    <t>TGF202112PM</t>
  </si>
  <si>
    <t>TGF2PM</t>
  </si>
  <si>
    <t>TGFPM</t>
  </si>
  <si>
    <t>TJF</t>
  </si>
  <si>
    <t>TJF(1)</t>
  </si>
  <si>
    <t>TJF2</t>
  </si>
  <si>
    <t>TJF2(1)</t>
  </si>
  <si>
    <t>TJF202102</t>
  </si>
  <si>
    <t>TJF202102／03</t>
  </si>
  <si>
    <t>TJF202103</t>
  </si>
  <si>
    <t>TJF202106</t>
  </si>
  <si>
    <t>TJF202109</t>
  </si>
  <si>
    <t>TJF202112</t>
  </si>
  <si>
    <t>TWX</t>
  </si>
  <si>
    <t>TX</t>
  </si>
  <si>
    <t>TX(1)</t>
  </si>
  <si>
    <t>TX(1)PM</t>
  </si>
  <si>
    <t>TX2</t>
  </si>
  <si>
    <t>TX2(1)</t>
  </si>
  <si>
    <t>TX2(1)PM</t>
  </si>
  <si>
    <t>TX202102</t>
  </si>
  <si>
    <t>TX202102／03</t>
  </si>
  <si>
    <t>TX202102／03PM</t>
  </si>
  <si>
    <t>TX202102／04</t>
  </si>
  <si>
    <t>TX202102／04PM</t>
  </si>
  <si>
    <t>TX202102／06</t>
  </si>
  <si>
    <t>TX202102／06PM</t>
  </si>
  <si>
    <t>TX202102／09</t>
  </si>
  <si>
    <t>TX202102／09PM</t>
  </si>
  <si>
    <t>TX202102／12</t>
  </si>
  <si>
    <t>TX202102／12PM</t>
  </si>
  <si>
    <t>TX202102PM</t>
  </si>
  <si>
    <t>TX202103</t>
  </si>
  <si>
    <t>TX202103／04</t>
  </si>
  <si>
    <t>TX202103／12</t>
  </si>
  <si>
    <t>TX202103／12PM</t>
  </si>
  <si>
    <t>TX202103PM</t>
  </si>
  <si>
    <t>TX202104</t>
  </si>
  <si>
    <t>TX202104PM</t>
  </si>
  <si>
    <t>TX202106</t>
  </si>
  <si>
    <t>TX202106／09</t>
  </si>
  <si>
    <t>TX202106PM</t>
  </si>
  <si>
    <t>TX202109</t>
  </si>
  <si>
    <t>TX202109／12</t>
  </si>
  <si>
    <t>TX202109PM</t>
  </si>
  <si>
    <t>TX202112</t>
  </si>
  <si>
    <t>TX202112PM</t>
  </si>
  <si>
    <t>TX2PM</t>
  </si>
  <si>
    <t>TX3</t>
  </si>
  <si>
    <t>TX3(1)</t>
  </si>
  <si>
    <t>TX3PM</t>
  </si>
  <si>
    <t>TXPM</t>
  </si>
  <si>
    <t>UDF</t>
  </si>
  <si>
    <t>UDF(1)</t>
  </si>
  <si>
    <t>UDF(1)PM</t>
  </si>
  <si>
    <t>UDF2</t>
  </si>
  <si>
    <t>UDF2(1)</t>
  </si>
  <si>
    <t>UDF202103</t>
  </si>
  <si>
    <t>UDF202103／06</t>
  </si>
  <si>
    <t>UDF202103／06PM</t>
  </si>
  <si>
    <t>UDF202103PM</t>
  </si>
  <si>
    <t>UDF202106</t>
  </si>
  <si>
    <t>UDF202106PM</t>
  </si>
  <si>
    <t>UDF202109</t>
  </si>
  <si>
    <t>UDF202109PM</t>
  </si>
  <si>
    <t>UDF202112</t>
  </si>
  <si>
    <t>UDF202112PM</t>
  </si>
  <si>
    <t>UDF2PM</t>
  </si>
  <si>
    <t>UDFPM</t>
  </si>
  <si>
    <t>UNF</t>
  </si>
  <si>
    <t>UNF(1)</t>
  </si>
  <si>
    <t>UNF(1)PM</t>
  </si>
  <si>
    <t>UNF2</t>
  </si>
  <si>
    <t>UNF2(1)</t>
  </si>
  <si>
    <t>UNF202103</t>
  </si>
  <si>
    <t>UNF202103／06</t>
  </si>
  <si>
    <t>UNF202103／06PM</t>
  </si>
  <si>
    <t>UNF202103PM</t>
  </si>
  <si>
    <t>UNF202106</t>
  </si>
  <si>
    <t>UNF202106PM</t>
  </si>
  <si>
    <t>UNF202109</t>
  </si>
  <si>
    <t>UNF202109PM</t>
  </si>
  <si>
    <t>UNF202112</t>
  </si>
  <si>
    <t>UNF202112PM</t>
  </si>
  <si>
    <t>UNF202203</t>
  </si>
  <si>
    <t>UNF202203PM</t>
  </si>
  <si>
    <t>UNF2PM</t>
  </si>
  <si>
    <t>UNFPM</t>
  </si>
  <si>
    <t>XAF</t>
  </si>
  <si>
    <t>XAF(1)</t>
  </si>
  <si>
    <t>XAF(1)PM</t>
  </si>
  <si>
    <t>XAF2</t>
  </si>
  <si>
    <t>XAF2(1)</t>
  </si>
  <si>
    <t>XAF202103</t>
  </si>
  <si>
    <t>XAF202103PM</t>
  </si>
  <si>
    <t>XAF202106</t>
  </si>
  <si>
    <t>XAF202106PM</t>
  </si>
  <si>
    <t>XAF202109</t>
  </si>
  <si>
    <t>XAF202109PM</t>
  </si>
  <si>
    <t>XAF202112</t>
  </si>
  <si>
    <t>XAF202112PM</t>
  </si>
  <si>
    <t>XAF2PM</t>
  </si>
  <si>
    <t>XAFPM</t>
  </si>
  <si>
    <t>XBF</t>
  </si>
  <si>
    <t>XBF(1)</t>
  </si>
  <si>
    <t>XBF(1)PM</t>
  </si>
  <si>
    <t>XBF2</t>
  </si>
  <si>
    <t>XBF2(1)</t>
  </si>
  <si>
    <t>XBF202103</t>
  </si>
  <si>
    <t>XBF202103PM</t>
  </si>
  <si>
    <t>XBF202106</t>
  </si>
  <si>
    <t>XBF202106PM</t>
  </si>
  <si>
    <t>XBF202109</t>
  </si>
  <si>
    <t>XBF202109PM</t>
  </si>
  <si>
    <t>XBF202112</t>
  </si>
  <si>
    <t>XBF202112PM</t>
  </si>
  <si>
    <t>XBF2PM</t>
  </si>
  <si>
    <t>XBFPM</t>
  </si>
  <si>
    <t>XEF</t>
  </si>
  <si>
    <t>XEF(1)</t>
  </si>
  <si>
    <t>XEF(1)PM</t>
  </si>
  <si>
    <t>XEF2</t>
  </si>
  <si>
    <t>XEF2(1)</t>
  </si>
  <si>
    <t>XEF202103</t>
  </si>
  <si>
    <t>XEF202103PM</t>
  </si>
  <si>
    <t>XEF202106</t>
  </si>
  <si>
    <t>XEF202106PM</t>
  </si>
  <si>
    <t>XEF202109</t>
  </si>
  <si>
    <t>XEF202109PM</t>
  </si>
  <si>
    <t>XEF202112</t>
  </si>
  <si>
    <t>XEF202112PM</t>
  </si>
  <si>
    <t>XEF2PM</t>
  </si>
  <si>
    <t>XEFPM</t>
  </si>
  <si>
    <t>XIF</t>
  </si>
  <si>
    <t>XIF(1)</t>
  </si>
  <si>
    <t>XIF2</t>
  </si>
  <si>
    <t>XIF2(1)</t>
  </si>
  <si>
    <t>XIF202102</t>
  </si>
  <si>
    <t>XIF202103</t>
  </si>
  <si>
    <t>XIF202104</t>
  </si>
  <si>
    <t>XIF202106</t>
  </si>
  <si>
    <t>XIF202109</t>
  </si>
  <si>
    <t>XIF202112</t>
  </si>
  <si>
    <t>XIF3</t>
  </si>
  <si>
    <t>XIF3(1)</t>
  </si>
  <si>
    <t>XJF</t>
  </si>
  <si>
    <t>XJF(1)</t>
  </si>
  <si>
    <t>XJF(1)PM</t>
  </si>
  <si>
    <t>XJF2</t>
  </si>
  <si>
    <t>XJF2(1)</t>
  </si>
  <si>
    <t>XJF202103</t>
  </si>
  <si>
    <t>XJF202103PM</t>
  </si>
  <si>
    <t>XJF202106</t>
  </si>
  <si>
    <t>XJF202106PM</t>
  </si>
  <si>
    <t>XJF202109</t>
  </si>
  <si>
    <t>XJF202109PM</t>
  </si>
  <si>
    <t>XJF202112</t>
  </si>
  <si>
    <t>XJF202112PM</t>
  </si>
  <si>
    <t>XJF2PM</t>
  </si>
  <si>
    <t>XJFPM</t>
  </si>
  <si>
    <t>布蘭特原油期貨近期</t>
    <phoneticPr fontId="2" type="noConversion"/>
  </si>
  <si>
    <t>布蘭特原油期貨近期提前一日轉倉</t>
    <phoneticPr fontId="2" type="noConversion"/>
  </si>
  <si>
    <t>布蘭特原油期貨近期提前一日轉倉(盤後)</t>
    <phoneticPr fontId="2" type="noConversion"/>
  </si>
  <si>
    <t>布蘭特原油期貨次月</t>
    <phoneticPr fontId="2" type="noConversion"/>
  </si>
  <si>
    <t>布蘭特原油期貨次月提前一日轉倉</t>
    <phoneticPr fontId="2" type="noConversion"/>
  </si>
  <si>
    <t>布蘭特原油期貨202104</t>
    <phoneticPr fontId="2" type="noConversion"/>
  </si>
  <si>
    <t>布蘭特原油期貨202104(盤後)</t>
    <phoneticPr fontId="2" type="noConversion"/>
  </si>
  <si>
    <t>布蘭特原油期貨202105</t>
    <phoneticPr fontId="2" type="noConversion"/>
  </si>
  <si>
    <t>布蘭特原油期貨202105(盤後)</t>
    <phoneticPr fontId="2" type="noConversion"/>
  </si>
  <si>
    <t>布蘭特原油期貨202106</t>
    <phoneticPr fontId="2" type="noConversion"/>
  </si>
  <si>
    <t>布蘭特原油期貨202106(盤後)</t>
    <phoneticPr fontId="2" type="noConversion"/>
  </si>
  <si>
    <t>布蘭特原油期貨202112</t>
    <phoneticPr fontId="2" type="noConversion"/>
  </si>
  <si>
    <t>布蘭特原油期貨202112(盤後)</t>
    <phoneticPr fontId="2" type="noConversion"/>
  </si>
  <si>
    <t>布蘭特原油期貨202206</t>
    <phoneticPr fontId="2" type="noConversion"/>
  </si>
  <si>
    <t>布蘭特原油期貨202206(盤後)</t>
    <phoneticPr fontId="2" type="noConversion"/>
  </si>
  <si>
    <t>布蘭特原油期貨次月(盤後)</t>
    <phoneticPr fontId="2" type="noConversion"/>
  </si>
  <si>
    <t>布蘭特原油期貨近三月</t>
    <phoneticPr fontId="2" type="noConversion"/>
  </si>
  <si>
    <t>布蘭特原油期貨近三月提前一日轉倉</t>
    <phoneticPr fontId="2" type="noConversion"/>
  </si>
  <si>
    <t>布蘭特原油期貨近期(盤後)</t>
    <phoneticPr fontId="2" type="noConversion"/>
  </si>
  <si>
    <t>臺灣生技期貨近期</t>
    <phoneticPr fontId="2" type="noConversion"/>
  </si>
  <si>
    <t>臺灣生技期貨近期提前一日轉倉</t>
    <phoneticPr fontId="2" type="noConversion"/>
  </si>
  <si>
    <t>臺灣生技期貨次月</t>
    <phoneticPr fontId="2" type="noConversion"/>
  </si>
  <si>
    <t>臺灣生技期貨次月提前一日轉倉</t>
    <phoneticPr fontId="2" type="noConversion"/>
  </si>
  <si>
    <t>臺灣生技期貨202103</t>
    <phoneticPr fontId="2" type="noConversion"/>
  </si>
  <si>
    <t>臺灣生技期貨202104</t>
    <phoneticPr fontId="2" type="noConversion"/>
  </si>
  <si>
    <t>臺灣生技期貨202106</t>
    <phoneticPr fontId="2" type="noConversion"/>
  </si>
  <si>
    <t>臺灣生技期貨202109</t>
    <phoneticPr fontId="2" type="noConversion"/>
  </si>
  <si>
    <t>臺灣生技期貨202112</t>
    <phoneticPr fontId="2" type="noConversion"/>
  </si>
  <si>
    <t>臺灣生技期貨近三月</t>
    <phoneticPr fontId="2" type="noConversion"/>
  </si>
  <si>
    <t>臺灣生技期貨近三月提前一日轉倉</t>
    <phoneticPr fontId="2" type="noConversion"/>
  </si>
  <si>
    <t>南亞期貨近期</t>
    <phoneticPr fontId="2" type="noConversion"/>
  </si>
  <si>
    <t>南亞期貨近期提前一日轉倉</t>
    <phoneticPr fontId="2" type="noConversion"/>
  </si>
  <si>
    <t>南亞期貨次月</t>
    <phoneticPr fontId="2" type="noConversion"/>
  </si>
  <si>
    <t>南亞期貨次月提前一日轉倉</t>
    <phoneticPr fontId="2" type="noConversion"/>
  </si>
  <si>
    <t>南亞期貨202103</t>
    <phoneticPr fontId="2" type="noConversion"/>
  </si>
  <si>
    <t>南亞期貨202106</t>
    <phoneticPr fontId="2" type="noConversion"/>
  </si>
  <si>
    <t>南亞期貨202109</t>
    <phoneticPr fontId="2" type="noConversion"/>
  </si>
  <si>
    <t>南亞期貨202112</t>
    <phoneticPr fontId="2" type="noConversion"/>
  </si>
  <si>
    <t>中鋼期貨近期</t>
    <phoneticPr fontId="2" type="noConversion"/>
  </si>
  <si>
    <t>中鋼期貨近期提前一日轉倉</t>
    <phoneticPr fontId="2" type="noConversion"/>
  </si>
  <si>
    <t>中鋼期貨次月</t>
    <phoneticPr fontId="2" type="noConversion"/>
  </si>
  <si>
    <t>中鋼期貨次月提前一日轉倉</t>
    <phoneticPr fontId="2" type="noConversion"/>
  </si>
  <si>
    <t>中鋼期貨202103</t>
    <phoneticPr fontId="2" type="noConversion"/>
  </si>
  <si>
    <t>中鋼期貨202106</t>
    <phoneticPr fontId="2" type="noConversion"/>
  </si>
  <si>
    <t>中鋼期貨202109</t>
    <phoneticPr fontId="2" type="noConversion"/>
  </si>
  <si>
    <t>中鋼期貨202112</t>
    <phoneticPr fontId="2" type="noConversion"/>
  </si>
  <si>
    <t>聯電期貨近期</t>
    <phoneticPr fontId="2" type="noConversion"/>
  </si>
  <si>
    <t>聯電期貨近期提前一日轉倉</t>
    <phoneticPr fontId="2" type="noConversion"/>
  </si>
  <si>
    <t>聯電期貨次月</t>
    <phoneticPr fontId="2" type="noConversion"/>
  </si>
  <si>
    <t>聯電期貨次月提前一日轉倉</t>
    <phoneticPr fontId="2" type="noConversion"/>
  </si>
  <si>
    <t>聯電期貨202103</t>
    <phoneticPr fontId="2" type="noConversion"/>
  </si>
  <si>
    <t>聯電期貨202103／06</t>
    <phoneticPr fontId="2" type="noConversion"/>
  </si>
  <si>
    <t>聯電期貨202106</t>
    <phoneticPr fontId="2" type="noConversion"/>
  </si>
  <si>
    <t>聯電期貨202109</t>
    <phoneticPr fontId="2" type="noConversion"/>
  </si>
  <si>
    <t>聯電期貨202112</t>
    <phoneticPr fontId="2" type="noConversion"/>
  </si>
  <si>
    <t>台積電期貨近期</t>
    <phoneticPr fontId="2" type="noConversion"/>
  </si>
  <si>
    <t>台積電期貨近期提前一日轉倉</t>
    <phoneticPr fontId="2" type="noConversion"/>
  </si>
  <si>
    <t>台積電期貨次月</t>
    <phoneticPr fontId="2" type="noConversion"/>
  </si>
  <si>
    <t>台積電期貨次月提前一日轉倉</t>
    <phoneticPr fontId="2" type="noConversion"/>
  </si>
  <si>
    <t>台積電期貨202103</t>
    <phoneticPr fontId="2" type="noConversion"/>
  </si>
  <si>
    <t>台積電期貨202103／06</t>
    <phoneticPr fontId="2" type="noConversion"/>
  </si>
  <si>
    <t>台積電期貨202103／09</t>
    <phoneticPr fontId="2" type="noConversion"/>
  </si>
  <si>
    <t>台積電期貨202103／12</t>
    <phoneticPr fontId="2" type="noConversion"/>
  </si>
  <si>
    <t>台積電期貨202106</t>
    <phoneticPr fontId="2" type="noConversion"/>
  </si>
  <si>
    <t>台積電期貨202106／09</t>
    <phoneticPr fontId="2" type="noConversion"/>
  </si>
  <si>
    <t>台積電期貨202106／12</t>
    <phoneticPr fontId="2" type="noConversion"/>
  </si>
  <si>
    <t>台積電期貨202109</t>
    <phoneticPr fontId="2" type="noConversion"/>
  </si>
  <si>
    <t>台積電期貨202109／12</t>
    <phoneticPr fontId="2" type="noConversion"/>
  </si>
  <si>
    <t>台積電期貨202112</t>
    <phoneticPr fontId="2" type="noConversion"/>
  </si>
  <si>
    <t>富邦金期貨近期</t>
    <phoneticPr fontId="2" type="noConversion"/>
  </si>
  <si>
    <t>富邦金期貨近期提前一日轉倉</t>
    <phoneticPr fontId="2" type="noConversion"/>
  </si>
  <si>
    <t>富邦金期貨次月</t>
    <phoneticPr fontId="2" type="noConversion"/>
  </si>
  <si>
    <t>富邦金期貨次月提前一日轉倉</t>
    <phoneticPr fontId="2" type="noConversion"/>
  </si>
  <si>
    <t>富邦金期貨202103</t>
    <phoneticPr fontId="2" type="noConversion"/>
  </si>
  <si>
    <t>富邦金期貨202106</t>
    <phoneticPr fontId="2" type="noConversion"/>
  </si>
  <si>
    <t>富邦金期貨202109</t>
    <phoneticPr fontId="2" type="noConversion"/>
  </si>
  <si>
    <t>富邦金期貨202112</t>
    <phoneticPr fontId="2" type="noConversion"/>
  </si>
  <si>
    <t>台塑期貨近期</t>
    <phoneticPr fontId="2" type="noConversion"/>
  </si>
  <si>
    <t>台塑期貨近期提前一日轉倉</t>
    <phoneticPr fontId="2" type="noConversion"/>
  </si>
  <si>
    <t>台塑期貨次月</t>
    <phoneticPr fontId="2" type="noConversion"/>
  </si>
  <si>
    <t>台塑期貨次月提前一日轉倉</t>
    <phoneticPr fontId="2" type="noConversion"/>
  </si>
  <si>
    <t>台塑期貨202103</t>
    <phoneticPr fontId="2" type="noConversion"/>
  </si>
  <si>
    <t>台塑期貨202106</t>
    <phoneticPr fontId="2" type="noConversion"/>
  </si>
  <si>
    <t>台塑期貨202109</t>
    <phoneticPr fontId="2" type="noConversion"/>
  </si>
  <si>
    <t>台塑期貨202112</t>
    <phoneticPr fontId="2" type="noConversion"/>
  </si>
  <si>
    <t>仁寶期貨近期</t>
    <phoneticPr fontId="2" type="noConversion"/>
  </si>
  <si>
    <t>仁寶期貨近期提前一日轉倉</t>
    <phoneticPr fontId="2" type="noConversion"/>
  </si>
  <si>
    <t>仁寶期貨次月</t>
    <phoneticPr fontId="2" type="noConversion"/>
  </si>
  <si>
    <t>仁寶期貨次月提前一日轉倉</t>
    <phoneticPr fontId="2" type="noConversion"/>
  </si>
  <si>
    <t>仁寶期貨202103</t>
    <phoneticPr fontId="2" type="noConversion"/>
  </si>
  <si>
    <t>仁寶期貨202106</t>
    <phoneticPr fontId="2" type="noConversion"/>
  </si>
  <si>
    <t>仁寶期貨202109</t>
    <phoneticPr fontId="2" type="noConversion"/>
  </si>
  <si>
    <t>仁寶期貨202112</t>
    <phoneticPr fontId="2" type="noConversion"/>
  </si>
  <si>
    <t>友達期貨近期</t>
    <phoneticPr fontId="2" type="noConversion"/>
  </si>
  <si>
    <t>友達期貨近期提前一日轉倉</t>
    <phoneticPr fontId="2" type="noConversion"/>
  </si>
  <si>
    <t>友達期貨次月</t>
    <phoneticPr fontId="2" type="noConversion"/>
  </si>
  <si>
    <t>友達期貨次月提前一日轉倉</t>
    <phoneticPr fontId="2" type="noConversion"/>
  </si>
  <si>
    <t>友達期貨202103</t>
    <phoneticPr fontId="2" type="noConversion"/>
  </si>
  <si>
    <t>友達期貨202103／06</t>
    <phoneticPr fontId="2" type="noConversion"/>
  </si>
  <si>
    <t>友達期貨202103／09</t>
    <phoneticPr fontId="2" type="noConversion"/>
  </si>
  <si>
    <t>友達期貨202106</t>
    <phoneticPr fontId="2" type="noConversion"/>
  </si>
  <si>
    <t>友達期貨202109</t>
    <phoneticPr fontId="2" type="noConversion"/>
  </si>
  <si>
    <t>友達期貨202112</t>
    <phoneticPr fontId="2" type="noConversion"/>
  </si>
  <si>
    <t>華南金期貨近期</t>
    <phoneticPr fontId="2" type="noConversion"/>
  </si>
  <si>
    <t>華南金期貨近期提前一日轉倉</t>
    <phoneticPr fontId="2" type="noConversion"/>
  </si>
  <si>
    <t>華南金期貨次月</t>
    <phoneticPr fontId="2" type="noConversion"/>
  </si>
  <si>
    <t>華南金期貨次月提前一日轉倉</t>
    <phoneticPr fontId="2" type="noConversion"/>
  </si>
  <si>
    <t>華南金期貨202103</t>
    <phoneticPr fontId="2" type="noConversion"/>
  </si>
  <si>
    <t>華南金期貨202106</t>
    <phoneticPr fontId="2" type="noConversion"/>
  </si>
  <si>
    <t>華南金期貨202109</t>
    <phoneticPr fontId="2" type="noConversion"/>
  </si>
  <si>
    <t>華南金期貨202112</t>
    <phoneticPr fontId="2" type="noConversion"/>
  </si>
  <si>
    <t>國泰金期貨近期</t>
    <phoneticPr fontId="2" type="noConversion"/>
  </si>
  <si>
    <t>國泰金期貨近期提前一日轉倉</t>
    <phoneticPr fontId="2" type="noConversion"/>
  </si>
  <si>
    <t>國泰金期貨次月</t>
    <phoneticPr fontId="2" type="noConversion"/>
  </si>
  <si>
    <t>國泰金期貨次月提前一日轉倉</t>
    <phoneticPr fontId="2" type="noConversion"/>
  </si>
  <si>
    <t>國泰金期貨202103</t>
    <phoneticPr fontId="2" type="noConversion"/>
  </si>
  <si>
    <t>國泰金期貨202106</t>
    <phoneticPr fontId="2" type="noConversion"/>
  </si>
  <si>
    <t>國泰金期貨202109</t>
    <phoneticPr fontId="2" type="noConversion"/>
  </si>
  <si>
    <t>國泰金期貨202112</t>
    <phoneticPr fontId="2" type="noConversion"/>
  </si>
  <si>
    <t>兆豐金期貨近期</t>
    <phoneticPr fontId="2" type="noConversion"/>
  </si>
  <si>
    <t>兆豐金期貨近期提前一日轉倉</t>
    <phoneticPr fontId="2" type="noConversion"/>
  </si>
  <si>
    <t>兆豐金期貨次月</t>
    <phoneticPr fontId="2" type="noConversion"/>
  </si>
  <si>
    <t>兆豐金期貨次月提前一日轉倉</t>
    <phoneticPr fontId="2" type="noConversion"/>
  </si>
  <si>
    <t>兆豐金期貨202103</t>
    <phoneticPr fontId="2" type="noConversion"/>
  </si>
  <si>
    <t>兆豐金期貨202106</t>
    <phoneticPr fontId="2" type="noConversion"/>
  </si>
  <si>
    <t>兆豐金期貨202109</t>
    <phoneticPr fontId="2" type="noConversion"/>
  </si>
  <si>
    <t>兆豐金期貨202112</t>
    <phoneticPr fontId="2" type="noConversion"/>
  </si>
  <si>
    <t>台新金期貨(調整)近期</t>
    <phoneticPr fontId="2" type="noConversion"/>
  </si>
  <si>
    <t>台新金期貨(調整)近期提前一日轉倉</t>
    <phoneticPr fontId="2" type="noConversion"/>
  </si>
  <si>
    <t>台新金期貨(調整)202103</t>
    <phoneticPr fontId="2" type="noConversion"/>
  </si>
  <si>
    <t>台新金期貨近期</t>
    <phoneticPr fontId="2" type="noConversion"/>
  </si>
  <si>
    <t>台新金期貨近期提前一日轉倉</t>
    <phoneticPr fontId="2" type="noConversion"/>
  </si>
  <si>
    <t>台新金期貨次月</t>
    <phoneticPr fontId="2" type="noConversion"/>
  </si>
  <si>
    <t>台新金期貨次月提前一日轉倉</t>
    <phoneticPr fontId="2" type="noConversion"/>
  </si>
  <si>
    <t>台新金期貨202103</t>
    <phoneticPr fontId="2" type="noConversion"/>
  </si>
  <si>
    <t>台新金期貨202106</t>
    <phoneticPr fontId="2" type="noConversion"/>
  </si>
  <si>
    <t>台新金期貨202109</t>
    <phoneticPr fontId="2" type="noConversion"/>
  </si>
  <si>
    <t>台新金期貨202112</t>
    <phoneticPr fontId="2" type="noConversion"/>
  </si>
  <si>
    <t>中信金期貨近期</t>
    <phoneticPr fontId="2" type="noConversion"/>
  </si>
  <si>
    <t>中信金期貨近期提前一日轉倉</t>
    <phoneticPr fontId="2" type="noConversion"/>
  </si>
  <si>
    <t>中信金期貨次月</t>
    <phoneticPr fontId="2" type="noConversion"/>
  </si>
  <si>
    <t>中信金期貨次月提前一日轉倉</t>
    <phoneticPr fontId="2" type="noConversion"/>
  </si>
  <si>
    <t>中信金期貨202103</t>
    <phoneticPr fontId="2" type="noConversion"/>
  </si>
  <si>
    <t>中信金期貨202106</t>
    <phoneticPr fontId="2" type="noConversion"/>
  </si>
  <si>
    <t>中信金期貨202109</t>
    <phoneticPr fontId="2" type="noConversion"/>
  </si>
  <si>
    <t>中信金期貨202112</t>
    <phoneticPr fontId="2" type="noConversion"/>
  </si>
  <si>
    <t>統一期貨近期</t>
    <phoneticPr fontId="2" type="noConversion"/>
  </si>
  <si>
    <t>統一期貨近期提前一日轉倉</t>
    <phoneticPr fontId="2" type="noConversion"/>
  </si>
  <si>
    <t>統一期貨次月</t>
    <phoneticPr fontId="2" type="noConversion"/>
  </si>
  <si>
    <t>統一期貨次月提前一日轉倉</t>
    <phoneticPr fontId="2" type="noConversion"/>
  </si>
  <si>
    <t>統一期貨202103</t>
    <phoneticPr fontId="2" type="noConversion"/>
  </si>
  <si>
    <t>統一期貨202106</t>
    <phoneticPr fontId="2" type="noConversion"/>
  </si>
  <si>
    <t>統一期貨202109</t>
    <phoneticPr fontId="2" type="noConversion"/>
  </si>
  <si>
    <t>統一期貨202112</t>
    <phoneticPr fontId="2" type="noConversion"/>
  </si>
  <si>
    <t>遠東新期貨近期</t>
    <phoneticPr fontId="2" type="noConversion"/>
  </si>
  <si>
    <t>遠東新期貨近期提前一日轉倉</t>
    <phoneticPr fontId="2" type="noConversion"/>
  </si>
  <si>
    <t>遠東新期貨次月</t>
    <phoneticPr fontId="2" type="noConversion"/>
  </si>
  <si>
    <t>遠東新期貨次月提前一日轉倉</t>
    <phoneticPr fontId="2" type="noConversion"/>
  </si>
  <si>
    <t>遠東新期貨202103</t>
    <phoneticPr fontId="2" type="noConversion"/>
  </si>
  <si>
    <t>遠東新期貨202106</t>
    <phoneticPr fontId="2" type="noConversion"/>
  </si>
  <si>
    <t>遠東新期貨202109</t>
    <phoneticPr fontId="2" type="noConversion"/>
  </si>
  <si>
    <t>遠東新期貨202112</t>
    <phoneticPr fontId="2" type="noConversion"/>
  </si>
  <si>
    <t>華新期貨近期</t>
    <phoneticPr fontId="2" type="noConversion"/>
  </si>
  <si>
    <t>華新期貨近期提前一日轉倉</t>
    <phoneticPr fontId="2" type="noConversion"/>
  </si>
  <si>
    <t>華新期貨次月</t>
    <phoneticPr fontId="2" type="noConversion"/>
  </si>
  <si>
    <t>華新期貨次月提前一日轉倉</t>
    <phoneticPr fontId="2" type="noConversion"/>
  </si>
  <si>
    <t>華新期貨202103</t>
    <phoneticPr fontId="2" type="noConversion"/>
  </si>
  <si>
    <t>華新期貨202106</t>
    <phoneticPr fontId="2" type="noConversion"/>
  </si>
  <si>
    <t>華新期貨202109</t>
    <phoneticPr fontId="2" type="noConversion"/>
  </si>
  <si>
    <t>華新期貨202112</t>
    <phoneticPr fontId="2" type="noConversion"/>
  </si>
  <si>
    <t>中環期貨近期</t>
    <phoneticPr fontId="2" type="noConversion"/>
  </si>
  <si>
    <t>中環期貨近期提前一日轉倉</t>
    <phoneticPr fontId="2" type="noConversion"/>
  </si>
  <si>
    <t>中環期貨次月</t>
    <phoneticPr fontId="2" type="noConversion"/>
  </si>
  <si>
    <t>中環期貨次月提前一日轉倉</t>
    <phoneticPr fontId="2" type="noConversion"/>
  </si>
  <si>
    <t>中環期貨202103</t>
    <phoneticPr fontId="2" type="noConversion"/>
  </si>
  <si>
    <t>中環期貨202106</t>
    <phoneticPr fontId="2" type="noConversion"/>
  </si>
  <si>
    <t>中環期貨202109</t>
    <phoneticPr fontId="2" type="noConversion"/>
  </si>
  <si>
    <t>中環期貨202112</t>
    <phoneticPr fontId="2" type="noConversion"/>
  </si>
  <si>
    <t>佳世達期貨近期</t>
    <phoneticPr fontId="2" type="noConversion"/>
  </si>
  <si>
    <t>佳世達期貨近期提前一日轉倉</t>
    <phoneticPr fontId="2" type="noConversion"/>
  </si>
  <si>
    <t>佳世達期貨次月</t>
    <phoneticPr fontId="2" type="noConversion"/>
  </si>
  <si>
    <t>佳世達期貨次月提前一日轉倉</t>
    <phoneticPr fontId="2" type="noConversion"/>
  </si>
  <si>
    <t>佳世達期貨202103</t>
    <phoneticPr fontId="2" type="noConversion"/>
  </si>
  <si>
    <t>佳世達期貨202106</t>
    <phoneticPr fontId="2" type="noConversion"/>
  </si>
  <si>
    <t>佳世達期貨202109</t>
    <phoneticPr fontId="2" type="noConversion"/>
  </si>
  <si>
    <t>佳世達期貨202112</t>
    <phoneticPr fontId="2" type="noConversion"/>
  </si>
  <si>
    <t>大同期貨近期</t>
    <phoneticPr fontId="2" type="noConversion"/>
  </si>
  <si>
    <t>大同期貨近期提前一日轉倉</t>
    <phoneticPr fontId="2" type="noConversion"/>
  </si>
  <si>
    <t>大同期貨202103</t>
    <phoneticPr fontId="2" type="noConversion"/>
  </si>
  <si>
    <t>南亞科期貨近期</t>
    <phoneticPr fontId="2" type="noConversion"/>
  </si>
  <si>
    <t>南亞科期貨近期提前一日轉倉</t>
    <phoneticPr fontId="2" type="noConversion"/>
  </si>
  <si>
    <t>南亞科期貨次月</t>
    <phoneticPr fontId="2" type="noConversion"/>
  </si>
  <si>
    <t>南亞科期貨次月提前一日轉倉</t>
    <phoneticPr fontId="2" type="noConversion"/>
  </si>
  <si>
    <t>南亞科期貨202103</t>
    <phoneticPr fontId="2" type="noConversion"/>
  </si>
  <si>
    <t>南亞科期貨202106</t>
    <phoneticPr fontId="2" type="noConversion"/>
  </si>
  <si>
    <t>南亞科期貨202109</t>
    <phoneticPr fontId="2" type="noConversion"/>
  </si>
  <si>
    <t>南亞科期貨202112</t>
    <phoneticPr fontId="2" type="noConversion"/>
  </si>
  <si>
    <t>長榮期貨近期</t>
    <phoneticPr fontId="2" type="noConversion"/>
  </si>
  <si>
    <t>長榮期貨近期提前一日轉倉</t>
    <phoneticPr fontId="2" type="noConversion"/>
  </si>
  <si>
    <t>長榮期貨次月</t>
    <phoneticPr fontId="2" type="noConversion"/>
  </si>
  <si>
    <t>長榮期貨次月提前一日轉倉</t>
    <phoneticPr fontId="2" type="noConversion"/>
  </si>
  <si>
    <t>長榮期貨202103</t>
    <phoneticPr fontId="2" type="noConversion"/>
  </si>
  <si>
    <t>長榮期貨202103／06</t>
    <phoneticPr fontId="2" type="noConversion"/>
  </si>
  <si>
    <t>長榮期貨202106</t>
    <phoneticPr fontId="2" type="noConversion"/>
  </si>
  <si>
    <t>長榮期貨202109</t>
    <phoneticPr fontId="2" type="noConversion"/>
  </si>
  <si>
    <t>長榮期貨202112</t>
    <phoneticPr fontId="2" type="noConversion"/>
  </si>
  <si>
    <t>彰銀期貨近期</t>
    <phoneticPr fontId="2" type="noConversion"/>
  </si>
  <si>
    <t>彰銀期貨近期提前一日轉倉</t>
    <phoneticPr fontId="2" type="noConversion"/>
  </si>
  <si>
    <t>彰銀期貨次月</t>
    <phoneticPr fontId="2" type="noConversion"/>
  </si>
  <si>
    <t>彰銀期貨次月提前一日轉倉</t>
    <phoneticPr fontId="2" type="noConversion"/>
  </si>
  <si>
    <t>彰銀期貨202103</t>
    <phoneticPr fontId="2" type="noConversion"/>
  </si>
  <si>
    <t>彰銀期貨202106</t>
    <phoneticPr fontId="2" type="noConversion"/>
  </si>
  <si>
    <t>彰銀期貨202109</t>
    <phoneticPr fontId="2" type="noConversion"/>
  </si>
  <si>
    <t>彰銀期貨202112</t>
    <phoneticPr fontId="2" type="noConversion"/>
  </si>
  <si>
    <t>新光金期貨近期</t>
    <phoneticPr fontId="2" type="noConversion"/>
  </si>
  <si>
    <t>新光金期貨近期提前一日轉倉</t>
    <phoneticPr fontId="2" type="noConversion"/>
  </si>
  <si>
    <t>新光金期貨次月</t>
    <phoneticPr fontId="2" type="noConversion"/>
  </si>
  <si>
    <t>新光金期貨次月提前一日轉倉</t>
    <phoneticPr fontId="2" type="noConversion"/>
  </si>
  <si>
    <t>新光金期貨202103</t>
    <phoneticPr fontId="2" type="noConversion"/>
  </si>
  <si>
    <t>新光金期貨202106</t>
    <phoneticPr fontId="2" type="noConversion"/>
  </si>
  <si>
    <t>新光金期貨202109</t>
    <phoneticPr fontId="2" type="noConversion"/>
  </si>
  <si>
    <t>新光金期貨202112</t>
    <phoneticPr fontId="2" type="noConversion"/>
  </si>
  <si>
    <t>永豐金期貨近期</t>
    <phoneticPr fontId="2" type="noConversion"/>
  </si>
  <si>
    <t>永豐金期貨近期提前一日轉倉</t>
    <phoneticPr fontId="2" type="noConversion"/>
  </si>
  <si>
    <t>永豐金期貨次月</t>
    <phoneticPr fontId="2" type="noConversion"/>
  </si>
  <si>
    <t>永豐金期貨次月提前一日轉倉</t>
    <phoneticPr fontId="2" type="noConversion"/>
  </si>
  <si>
    <t>永豐金期貨202103</t>
    <phoneticPr fontId="2" type="noConversion"/>
  </si>
  <si>
    <t>永豐金期貨202106</t>
    <phoneticPr fontId="2" type="noConversion"/>
  </si>
  <si>
    <t>永豐金期貨202109</t>
    <phoneticPr fontId="2" type="noConversion"/>
  </si>
  <si>
    <t>永豐金期貨202112</t>
    <phoneticPr fontId="2" type="noConversion"/>
  </si>
  <si>
    <t>台泥期貨近期</t>
    <phoneticPr fontId="2" type="noConversion"/>
  </si>
  <si>
    <t>台泥期貨近期提前一日轉倉</t>
    <phoneticPr fontId="2" type="noConversion"/>
  </si>
  <si>
    <t>台泥期貨次月</t>
    <phoneticPr fontId="2" type="noConversion"/>
  </si>
  <si>
    <t>台泥期貨次月提前一日轉倉</t>
    <phoneticPr fontId="2" type="noConversion"/>
  </si>
  <si>
    <t>台泥期貨202103</t>
    <phoneticPr fontId="2" type="noConversion"/>
  </si>
  <si>
    <t>台泥期貨202106</t>
    <phoneticPr fontId="2" type="noConversion"/>
  </si>
  <si>
    <t>台泥期貨202109</t>
    <phoneticPr fontId="2" type="noConversion"/>
  </si>
  <si>
    <t>台泥期貨202112</t>
    <phoneticPr fontId="2" type="noConversion"/>
  </si>
  <si>
    <t>台化期貨近期</t>
    <phoneticPr fontId="2" type="noConversion"/>
  </si>
  <si>
    <t>台化期貨近期提前一日轉倉</t>
    <phoneticPr fontId="2" type="noConversion"/>
  </si>
  <si>
    <t>台化期貨次月</t>
    <phoneticPr fontId="2" type="noConversion"/>
  </si>
  <si>
    <t>台化期貨次月提前一日轉倉</t>
    <phoneticPr fontId="2" type="noConversion"/>
  </si>
  <si>
    <t>台化期貨202103</t>
    <phoneticPr fontId="2" type="noConversion"/>
  </si>
  <si>
    <t>台化期貨202106</t>
    <phoneticPr fontId="2" type="noConversion"/>
  </si>
  <si>
    <t>台化期貨202109</t>
    <phoneticPr fontId="2" type="noConversion"/>
  </si>
  <si>
    <t>台化期貨202112</t>
    <phoneticPr fontId="2" type="noConversion"/>
  </si>
  <si>
    <t>鴻海期貨近期</t>
    <phoneticPr fontId="2" type="noConversion"/>
  </si>
  <si>
    <t>鴻海期貨近期提前一日轉倉</t>
    <phoneticPr fontId="2" type="noConversion"/>
  </si>
  <si>
    <t>鴻海期貨次月</t>
    <phoneticPr fontId="2" type="noConversion"/>
  </si>
  <si>
    <t>鴻海期貨次月提前一日轉倉</t>
    <phoneticPr fontId="2" type="noConversion"/>
  </si>
  <si>
    <t>鴻海期貨202103</t>
    <phoneticPr fontId="2" type="noConversion"/>
  </si>
  <si>
    <t>鴻海期貨202103／06</t>
    <phoneticPr fontId="2" type="noConversion"/>
  </si>
  <si>
    <t>鴻海期貨202103／09</t>
    <phoneticPr fontId="2" type="noConversion"/>
  </si>
  <si>
    <t>鴻海期貨202103／12</t>
    <phoneticPr fontId="2" type="noConversion"/>
  </si>
  <si>
    <t>鴻海期貨202106</t>
    <phoneticPr fontId="2" type="noConversion"/>
  </si>
  <si>
    <t>鴻海期貨202106／09</t>
    <phoneticPr fontId="2" type="noConversion"/>
  </si>
  <si>
    <t>鴻海期貨202109</t>
    <phoneticPr fontId="2" type="noConversion"/>
  </si>
  <si>
    <t>鴻海期貨202112</t>
    <phoneticPr fontId="2" type="noConversion"/>
  </si>
  <si>
    <t>旺宏期貨近期</t>
    <phoneticPr fontId="2" type="noConversion"/>
  </si>
  <si>
    <t>旺宏期貨近期提前一日轉倉</t>
    <phoneticPr fontId="2" type="noConversion"/>
  </si>
  <si>
    <t>旺宏期貨次月</t>
    <phoneticPr fontId="2" type="noConversion"/>
  </si>
  <si>
    <t>旺宏期貨次月提前一日轉倉</t>
    <phoneticPr fontId="2" type="noConversion"/>
  </si>
  <si>
    <t>旺宏期貨202103</t>
    <phoneticPr fontId="2" type="noConversion"/>
  </si>
  <si>
    <t>旺宏期貨202103／06</t>
    <phoneticPr fontId="2" type="noConversion"/>
  </si>
  <si>
    <t>旺宏期貨202106</t>
    <phoneticPr fontId="2" type="noConversion"/>
  </si>
  <si>
    <t>旺宏期貨202109</t>
    <phoneticPr fontId="2" type="noConversion"/>
  </si>
  <si>
    <t>旺宏期貨202112</t>
    <phoneticPr fontId="2" type="noConversion"/>
  </si>
  <si>
    <t>華碩期貨近期</t>
    <phoneticPr fontId="2" type="noConversion"/>
  </si>
  <si>
    <t>華碩期貨近期提前一日轉倉</t>
    <phoneticPr fontId="2" type="noConversion"/>
  </si>
  <si>
    <t>華碩期貨次月</t>
    <phoneticPr fontId="2" type="noConversion"/>
  </si>
  <si>
    <t>華碩期貨次月提前一日轉倉</t>
    <phoneticPr fontId="2" type="noConversion"/>
  </si>
  <si>
    <t>華碩期貨202103</t>
    <phoneticPr fontId="2" type="noConversion"/>
  </si>
  <si>
    <t>華碩期貨202106</t>
    <phoneticPr fontId="2" type="noConversion"/>
  </si>
  <si>
    <t>華碩期貨202109</t>
    <phoneticPr fontId="2" type="noConversion"/>
  </si>
  <si>
    <t>華碩期貨202112</t>
    <phoneticPr fontId="2" type="noConversion"/>
  </si>
  <si>
    <t>廣達期貨近期</t>
    <phoneticPr fontId="2" type="noConversion"/>
  </si>
  <si>
    <t>廣達期貨近期提前一日轉倉</t>
    <phoneticPr fontId="2" type="noConversion"/>
  </si>
  <si>
    <t>廣達期貨次月</t>
    <phoneticPr fontId="2" type="noConversion"/>
  </si>
  <si>
    <t>廣達期貨次月提前一日轉倉</t>
    <phoneticPr fontId="2" type="noConversion"/>
  </si>
  <si>
    <t>廣達期貨202103</t>
    <phoneticPr fontId="2" type="noConversion"/>
  </si>
  <si>
    <t>廣達期貨202106</t>
    <phoneticPr fontId="2" type="noConversion"/>
  </si>
  <si>
    <t>廣達期貨202109</t>
    <phoneticPr fontId="2" type="noConversion"/>
  </si>
  <si>
    <t>廣達期貨202112</t>
    <phoneticPr fontId="2" type="noConversion"/>
  </si>
  <si>
    <t>中華電期貨近期</t>
    <phoneticPr fontId="2" type="noConversion"/>
  </si>
  <si>
    <t>中華電期貨近期提前一日轉倉</t>
    <phoneticPr fontId="2" type="noConversion"/>
  </si>
  <si>
    <t>中華電期貨次月</t>
    <phoneticPr fontId="2" type="noConversion"/>
  </si>
  <si>
    <t>中華電期貨次月提前一日轉倉</t>
    <phoneticPr fontId="2" type="noConversion"/>
  </si>
  <si>
    <t>中華電期貨202103</t>
    <phoneticPr fontId="2" type="noConversion"/>
  </si>
  <si>
    <t>中華電期貨202106</t>
    <phoneticPr fontId="2" type="noConversion"/>
  </si>
  <si>
    <t>中華電期貨202109</t>
    <phoneticPr fontId="2" type="noConversion"/>
  </si>
  <si>
    <t>中華電期貨202112</t>
    <phoneticPr fontId="2" type="noConversion"/>
  </si>
  <si>
    <t>玉山金期貨近期</t>
    <phoneticPr fontId="2" type="noConversion"/>
  </si>
  <si>
    <t>玉山金期貨近期提前一日轉倉</t>
    <phoneticPr fontId="2" type="noConversion"/>
  </si>
  <si>
    <t>玉山金期貨次月</t>
    <phoneticPr fontId="2" type="noConversion"/>
  </si>
  <si>
    <t>玉山金期貨次月提前一日轉倉</t>
    <phoneticPr fontId="2" type="noConversion"/>
  </si>
  <si>
    <t>玉山金期貨202103</t>
    <phoneticPr fontId="2" type="noConversion"/>
  </si>
  <si>
    <t>玉山金期貨202106</t>
    <phoneticPr fontId="2" type="noConversion"/>
  </si>
  <si>
    <t>玉山金期貨202109</t>
    <phoneticPr fontId="2" type="noConversion"/>
  </si>
  <si>
    <t>玉山金期貨202112</t>
    <phoneticPr fontId="2" type="noConversion"/>
  </si>
  <si>
    <t>元大金期貨近期</t>
    <phoneticPr fontId="2" type="noConversion"/>
  </si>
  <si>
    <t>元大金期貨近期提前一日轉倉</t>
    <phoneticPr fontId="2" type="noConversion"/>
  </si>
  <si>
    <t>元大金期貨次月</t>
    <phoneticPr fontId="2" type="noConversion"/>
  </si>
  <si>
    <t>元大金期貨次月提前一日轉倉</t>
    <phoneticPr fontId="2" type="noConversion"/>
  </si>
  <si>
    <t>元大金期貨202103</t>
    <phoneticPr fontId="2" type="noConversion"/>
  </si>
  <si>
    <t>元大金期貨202106</t>
    <phoneticPr fontId="2" type="noConversion"/>
  </si>
  <si>
    <t>元大金期貨202109</t>
    <phoneticPr fontId="2" type="noConversion"/>
  </si>
  <si>
    <t>元大金期貨202112</t>
    <phoneticPr fontId="2" type="noConversion"/>
  </si>
  <si>
    <t>第一金期貨近期</t>
    <phoneticPr fontId="2" type="noConversion"/>
  </si>
  <si>
    <t>第一金期貨近期提前一日轉倉</t>
    <phoneticPr fontId="2" type="noConversion"/>
  </si>
  <si>
    <t>第一金期貨次月</t>
    <phoneticPr fontId="2" type="noConversion"/>
  </si>
  <si>
    <t>第一金期貨次月提前一日轉倉</t>
    <phoneticPr fontId="2" type="noConversion"/>
  </si>
  <si>
    <t>第一金期貨202103</t>
    <phoneticPr fontId="2" type="noConversion"/>
  </si>
  <si>
    <t>第一金期貨202106</t>
    <phoneticPr fontId="2" type="noConversion"/>
  </si>
  <si>
    <t>第一金期貨202109</t>
    <phoneticPr fontId="2" type="noConversion"/>
  </si>
  <si>
    <t>第一金期貨202112</t>
    <phoneticPr fontId="2" type="noConversion"/>
  </si>
  <si>
    <t>群創期貨近期</t>
    <phoneticPr fontId="2" type="noConversion"/>
  </si>
  <si>
    <t>群創期貨近期提前一日轉倉</t>
    <phoneticPr fontId="2" type="noConversion"/>
  </si>
  <si>
    <t>群創期貨次月</t>
    <phoneticPr fontId="2" type="noConversion"/>
  </si>
  <si>
    <t>群創期貨次月提前一日轉倉</t>
    <phoneticPr fontId="2" type="noConversion"/>
  </si>
  <si>
    <t>群創期貨202103</t>
    <phoneticPr fontId="2" type="noConversion"/>
  </si>
  <si>
    <t>群創期貨202103／06</t>
    <phoneticPr fontId="2" type="noConversion"/>
  </si>
  <si>
    <t>群創期貨202106</t>
    <phoneticPr fontId="2" type="noConversion"/>
  </si>
  <si>
    <t>群創期貨202109</t>
    <phoneticPr fontId="2" type="noConversion"/>
  </si>
  <si>
    <t>群創期貨202112</t>
    <phoneticPr fontId="2" type="noConversion"/>
  </si>
  <si>
    <t>宏碁期貨近期</t>
    <phoneticPr fontId="2" type="noConversion"/>
  </si>
  <si>
    <t>宏碁期貨近期提前一日轉倉</t>
    <phoneticPr fontId="2" type="noConversion"/>
  </si>
  <si>
    <t>宏碁期貨次月</t>
    <phoneticPr fontId="2" type="noConversion"/>
  </si>
  <si>
    <t>宏碁期貨次月提前一日轉倉</t>
    <phoneticPr fontId="2" type="noConversion"/>
  </si>
  <si>
    <t>宏碁期貨202103</t>
    <phoneticPr fontId="2" type="noConversion"/>
  </si>
  <si>
    <t>宏碁期貨202106</t>
    <phoneticPr fontId="2" type="noConversion"/>
  </si>
  <si>
    <t>宏碁期貨202109</t>
    <phoneticPr fontId="2" type="noConversion"/>
  </si>
  <si>
    <t>宏碁期貨202112</t>
    <phoneticPr fontId="2" type="noConversion"/>
  </si>
  <si>
    <t>聯發科期貨近期</t>
    <phoneticPr fontId="2" type="noConversion"/>
  </si>
  <si>
    <t>聯發科期貨近期提前一日轉倉</t>
    <phoneticPr fontId="2" type="noConversion"/>
  </si>
  <si>
    <t>聯發科期貨次月</t>
    <phoneticPr fontId="2" type="noConversion"/>
  </si>
  <si>
    <t>聯發科期貨次月提前一日轉倉</t>
    <phoneticPr fontId="2" type="noConversion"/>
  </si>
  <si>
    <t>聯發科期貨202103</t>
    <phoneticPr fontId="2" type="noConversion"/>
  </si>
  <si>
    <t>聯發科期貨202106</t>
    <phoneticPr fontId="2" type="noConversion"/>
  </si>
  <si>
    <t>聯發科期貨202109</t>
    <phoneticPr fontId="2" type="noConversion"/>
  </si>
  <si>
    <t>聯發科期貨202112</t>
    <phoneticPr fontId="2" type="noConversion"/>
  </si>
  <si>
    <t>潤泰全期貨近期</t>
    <phoneticPr fontId="2" type="noConversion"/>
  </si>
  <si>
    <t>潤泰全期貨近期提前一日轉倉</t>
    <phoneticPr fontId="2" type="noConversion"/>
  </si>
  <si>
    <t>潤泰全期貨次月</t>
    <phoneticPr fontId="2" type="noConversion"/>
  </si>
  <si>
    <t>潤泰全期貨次月提前一日轉倉</t>
    <phoneticPr fontId="2" type="noConversion"/>
  </si>
  <si>
    <t>潤泰全期貨202103</t>
    <phoneticPr fontId="2" type="noConversion"/>
  </si>
  <si>
    <t>潤泰全期貨202106</t>
    <phoneticPr fontId="2" type="noConversion"/>
  </si>
  <si>
    <t>潤泰全期貨202109</t>
    <phoneticPr fontId="2" type="noConversion"/>
  </si>
  <si>
    <t>潤泰全期貨202112</t>
    <phoneticPr fontId="2" type="noConversion"/>
  </si>
  <si>
    <t>緯創期貨近期</t>
    <phoneticPr fontId="2" type="noConversion"/>
  </si>
  <si>
    <t>緯創期貨近期提前一日轉倉</t>
    <phoneticPr fontId="2" type="noConversion"/>
  </si>
  <si>
    <t>緯創期貨次月</t>
    <phoneticPr fontId="2" type="noConversion"/>
  </si>
  <si>
    <t>緯創期貨次月提前一日轉倉</t>
    <phoneticPr fontId="2" type="noConversion"/>
  </si>
  <si>
    <t>緯創期貨202103</t>
    <phoneticPr fontId="2" type="noConversion"/>
  </si>
  <si>
    <t>緯創期貨202106</t>
    <phoneticPr fontId="2" type="noConversion"/>
  </si>
  <si>
    <t>緯創期貨202109</t>
    <phoneticPr fontId="2" type="noConversion"/>
  </si>
  <si>
    <t>緯創期貨202112</t>
    <phoneticPr fontId="2" type="noConversion"/>
  </si>
  <si>
    <t>亞泥期貨近期</t>
    <phoneticPr fontId="2" type="noConversion"/>
  </si>
  <si>
    <t>亞泥期貨近期提前一日轉倉</t>
    <phoneticPr fontId="2" type="noConversion"/>
  </si>
  <si>
    <t>亞泥期貨次月</t>
    <phoneticPr fontId="2" type="noConversion"/>
  </si>
  <si>
    <t>亞泥期貨次月提前一日轉倉</t>
    <phoneticPr fontId="2" type="noConversion"/>
  </si>
  <si>
    <t>亞泥期貨202103</t>
    <phoneticPr fontId="2" type="noConversion"/>
  </si>
  <si>
    <t>亞泥期貨202106</t>
    <phoneticPr fontId="2" type="noConversion"/>
  </si>
  <si>
    <t>亞泥期貨202109</t>
    <phoneticPr fontId="2" type="noConversion"/>
  </si>
  <si>
    <t>亞泥期貨202112</t>
    <phoneticPr fontId="2" type="noConversion"/>
  </si>
  <si>
    <t>大成期貨近期</t>
    <phoneticPr fontId="2" type="noConversion"/>
  </si>
  <si>
    <t>大成期貨近期提前一日轉倉</t>
    <phoneticPr fontId="2" type="noConversion"/>
  </si>
  <si>
    <t>大成期貨次月</t>
    <phoneticPr fontId="2" type="noConversion"/>
  </si>
  <si>
    <t>大成期貨次月提前一日轉倉</t>
    <phoneticPr fontId="2" type="noConversion"/>
  </si>
  <si>
    <t>大成期貨202103</t>
    <phoneticPr fontId="2" type="noConversion"/>
  </si>
  <si>
    <t>大成期貨202106</t>
    <phoneticPr fontId="2" type="noConversion"/>
  </si>
  <si>
    <t>大成期貨202109</t>
    <phoneticPr fontId="2" type="noConversion"/>
  </si>
  <si>
    <t>大成期貨202112</t>
    <phoneticPr fontId="2" type="noConversion"/>
  </si>
  <si>
    <t>臺灣永續期貨近期</t>
    <phoneticPr fontId="2" type="noConversion"/>
  </si>
  <si>
    <t>臺灣永續期貨近期提前一日轉倉</t>
    <phoneticPr fontId="2" type="noConversion"/>
  </si>
  <si>
    <t>臺灣永續期貨次月</t>
    <phoneticPr fontId="2" type="noConversion"/>
  </si>
  <si>
    <t>臺灣永續期貨次月提前一日轉倉</t>
    <phoneticPr fontId="2" type="noConversion"/>
  </si>
  <si>
    <t>臺灣永續期貨202103</t>
    <phoneticPr fontId="2" type="noConversion"/>
  </si>
  <si>
    <t>臺灣永續期貨202104</t>
    <phoneticPr fontId="2" type="noConversion"/>
  </si>
  <si>
    <t>臺灣永續期貨202106</t>
    <phoneticPr fontId="2" type="noConversion"/>
  </si>
  <si>
    <t>臺灣永續期貨202109</t>
    <phoneticPr fontId="2" type="noConversion"/>
  </si>
  <si>
    <t>臺灣永續期貨202112</t>
    <phoneticPr fontId="2" type="noConversion"/>
  </si>
  <si>
    <t>臺灣永續期貨近三月</t>
    <phoneticPr fontId="2" type="noConversion"/>
  </si>
  <si>
    <t>臺灣永續期貨近三月提前一日轉倉</t>
    <phoneticPr fontId="2" type="noConversion"/>
  </si>
  <si>
    <t>國喬期貨近期</t>
    <phoneticPr fontId="2" type="noConversion"/>
  </si>
  <si>
    <t>國喬期貨近期提前一日轉倉</t>
    <phoneticPr fontId="2" type="noConversion"/>
  </si>
  <si>
    <t>國喬期貨次月</t>
    <phoneticPr fontId="2" type="noConversion"/>
  </si>
  <si>
    <t>國喬期貨次月提前一日轉倉</t>
    <phoneticPr fontId="2" type="noConversion"/>
  </si>
  <si>
    <t>國喬期貨202103</t>
    <phoneticPr fontId="2" type="noConversion"/>
  </si>
  <si>
    <t>國喬期貨202106</t>
    <phoneticPr fontId="2" type="noConversion"/>
  </si>
  <si>
    <t>國喬期貨202109</t>
    <phoneticPr fontId="2" type="noConversion"/>
  </si>
  <si>
    <t>國喬期貨202112</t>
    <phoneticPr fontId="2" type="noConversion"/>
  </si>
  <si>
    <t>中石化期貨近期</t>
    <phoneticPr fontId="2" type="noConversion"/>
  </si>
  <si>
    <t>中石化期貨近期提前一日轉倉</t>
    <phoneticPr fontId="2" type="noConversion"/>
  </si>
  <si>
    <t>中石化期貨次月</t>
    <phoneticPr fontId="2" type="noConversion"/>
  </si>
  <si>
    <t>中石化期貨次月提前一日轉倉</t>
    <phoneticPr fontId="2" type="noConversion"/>
  </si>
  <si>
    <t>中石化期貨202103</t>
    <phoneticPr fontId="2" type="noConversion"/>
  </si>
  <si>
    <t>中石化期貨202106</t>
    <phoneticPr fontId="2" type="noConversion"/>
  </si>
  <si>
    <t>中石化期貨202109</t>
    <phoneticPr fontId="2" type="noConversion"/>
  </si>
  <si>
    <t>中石化期貨202112</t>
    <phoneticPr fontId="2" type="noConversion"/>
  </si>
  <si>
    <t>東陽期貨近期</t>
    <phoneticPr fontId="2" type="noConversion"/>
  </si>
  <si>
    <t>東陽期貨近期提前一日轉倉</t>
    <phoneticPr fontId="2" type="noConversion"/>
  </si>
  <si>
    <t>東陽期貨次月</t>
    <phoneticPr fontId="2" type="noConversion"/>
  </si>
  <si>
    <t>東陽期貨次月提前一日轉倉</t>
    <phoneticPr fontId="2" type="noConversion"/>
  </si>
  <si>
    <t>東陽期貨202103</t>
    <phoneticPr fontId="2" type="noConversion"/>
  </si>
  <si>
    <t>東陽期貨202106</t>
    <phoneticPr fontId="2" type="noConversion"/>
  </si>
  <si>
    <t>東陽期貨202109</t>
    <phoneticPr fontId="2" type="noConversion"/>
  </si>
  <si>
    <t>東陽期貨202112</t>
    <phoneticPr fontId="2" type="noConversion"/>
  </si>
  <si>
    <t>東元期貨近期</t>
    <phoneticPr fontId="2" type="noConversion"/>
  </si>
  <si>
    <t>東元期貨近期提前一日轉倉</t>
    <phoneticPr fontId="2" type="noConversion"/>
  </si>
  <si>
    <t>東元期貨次月</t>
    <phoneticPr fontId="2" type="noConversion"/>
  </si>
  <si>
    <t>東元期貨次月提前一日轉倉</t>
    <phoneticPr fontId="2" type="noConversion"/>
  </si>
  <si>
    <t>東元期貨202103</t>
    <phoneticPr fontId="2" type="noConversion"/>
  </si>
  <si>
    <t>東元期貨202106</t>
    <phoneticPr fontId="2" type="noConversion"/>
  </si>
  <si>
    <t>東元期貨202109</t>
    <phoneticPr fontId="2" type="noConversion"/>
  </si>
  <si>
    <t>東元期貨202112</t>
    <phoneticPr fontId="2" type="noConversion"/>
  </si>
  <si>
    <t>亞德客-KY期貨近期</t>
    <phoneticPr fontId="2" type="noConversion"/>
  </si>
  <si>
    <t>亞德客-KY期貨近期提前一日轉倉</t>
    <phoneticPr fontId="2" type="noConversion"/>
  </si>
  <si>
    <t>亞德客-KY期貨次月</t>
    <phoneticPr fontId="2" type="noConversion"/>
  </si>
  <si>
    <t>亞德客-KY期貨次月提前一日轉倉</t>
    <phoneticPr fontId="2" type="noConversion"/>
  </si>
  <si>
    <t>亞德客-KY期貨202103</t>
    <phoneticPr fontId="2" type="noConversion"/>
  </si>
  <si>
    <t>亞德客-KY期貨202106</t>
    <phoneticPr fontId="2" type="noConversion"/>
  </si>
  <si>
    <t>亞德客-KY期貨202109</t>
    <phoneticPr fontId="2" type="noConversion"/>
  </si>
  <si>
    <t>亞德客-KY期貨202112</t>
    <phoneticPr fontId="2" type="noConversion"/>
  </si>
  <si>
    <t>南僑期貨近期</t>
    <phoneticPr fontId="2" type="noConversion"/>
  </si>
  <si>
    <t>南僑期貨近期提前一日轉倉</t>
    <phoneticPr fontId="2" type="noConversion"/>
  </si>
  <si>
    <t>南僑期貨次月</t>
    <phoneticPr fontId="2" type="noConversion"/>
  </si>
  <si>
    <t>南僑期貨次月提前一日轉倉</t>
    <phoneticPr fontId="2" type="noConversion"/>
  </si>
  <si>
    <t>南僑期貨202103</t>
    <phoneticPr fontId="2" type="noConversion"/>
  </si>
  <si>
    <t>南僑期貨202106</t>
    <phoneticPr fontId="2" type="noConversion"/>
  </si>
  <si>
    <t>南僑期貨202109</t>
    <phoneticPr fontId="2" type="noConversion"/>
  </si>
  <si>
    <t>南僑期貨202112</t>
    <phoneticPr fontId="2" type="noConversion"/>
  </si>
  <si>
    <t>中纖期貨近期</t>
    <phoneticPr fontId="2" type="noConversion"/>
  </si>
  <si>
    <t>中纖期貨近期提前一日轉倉</t>
    <phoneticPr fontId="2" type="noConversion"/>
  </si>
  <si>
    <t>中纖期貨次月</t>
    <phoneticPr fontId="2" type="noConversion"/>
  </si>
  <si>
    <t>中纖期貨次月提前一日轉倉</t>
    <phoneticPr fontId="2" type="noConversion"/>
  </si>
  <si>
    <t>中纖期貨202103</t>
    <phoneticPr fontId="2" type="noConversion"/>
  </si>
  <si>
    <t>中纖期貨202106</t>
    <phoneticPr fontId="2" type="noConversion"/>
  </si>
  <si>
    <t>中纖期貨202109</t>
    <phoneticPr fontId="2" type="noConversion"/>
  </si>
  <si>
    <t>中纖期貨202112</t>
    <phoneticPr fontId="2" type="noConversion"/>
  </si>
  <si>
    <t>台肥期貨近期</t>
    <phoneticPr fontId="2" type="noConversion"/>
  </si>
  <si>
    <t>台肥期貨近期提前一日轉倉</t>
    <phoneticPr fontId="2" type="noConversion"/>
  </si>
  <si>
    <t>台肥期貨次月</t>
    <phoneticPr fontId="2" type="noConversion"/>
  </si>
  <si>
    <t>台肥期貨次月提前一日轉倉</t>
    <phoneticPr fontId="2" type="noConversion"/>
  </si>
  <si>
    <t>台肥期貨202103</t>
    <phoneticPr fontId="2" type="noConversion"/>
  </si>
  <si>
    <t>台肥期貨202106</t>
    <phoneticPr fontId="2" type="noConversion"/>
  </si>
  <si>
    <t>台肥期貨202109</t>
    <phoneticPr fontId="2" type="noConversion"/>
  </si>
  <si>
    <t>台肥期貨202112</t>
    <phoneticPr fontId="2" type="noConversion"/>
  </si>
  <si>
    <t>英國富時100期貨近期</t>
    <phoneticPr fontId="2" type="noConversion"/>
  </si>
  <si>
    <t>英國富時100期貨近期提前一日轉倉</t>
    <phoneticPr fontId="2" type="noConversion"/>
  </si>
  <si>
    <t>英國富時100期貨近期提前一日轉倉(盤後)</t>
    <phoneticPr fontId="2" type="noConversion"/>
  </si>
  <si>
    <t>英國富時100期貨次月</t>
    <phoneticPr fontId="2" type="noConversion"/>
  </si>
  <si>
    <t>英國富時100期貨次月提前一日轉倉</t>
    <phoneticPr fontId="2" type="noConversion"/>
  </si>
  <si>
    <t>英國富時100期貨202103</t>
    <phoneticPr fontId="2" type="noConversion"/>
  </si>
  <si>
    <t>英國富時100期貨202103(盤後)</t>
    <phoneticPr fontId="2" type="noConversion"/>
  </si>
  <si>
    <t>英國富時100期貨202106</t>
    <phoneticPr fontId="2" type="noConversion"/>
  </si>
  <si>
    <t>英國富時100期貨202106(盤後)</t>
    <phoneticPr fontId="2" type="noConversion"/>
  </si>
  <si>
    <t>英國富時100期貨202109</t>
    <phoneticPr fontId="2" type="noConversion"/>
  </si>
  <si>
    <t>英國富時100期貨202109(盤後)</t>
    <phoneticPr fontId="2" type="noConversion"/>
  </si>
  <si>
    <t>英國富時100期貨202112</t>
    <phoneticPr fontId="2" type="noConversion"/>
  </si>
  <si>
    <t>英國富時100期貨202112(盤後)</t>
    <phoneticPr fontId="2" type="noConversion"/>
  </si>
  <si>
    <t>英國富時100期貨次月(盤後)</t>
    <phoneticPr fontId="2" type="noConversion"/>
  </si>
  <si>
    <t>英國富時100期貨近期(盤後)</t>
    <phoneticPr fontId="2" type="noConversion"/>
  </si>
  <si>
    <t>大成鋼期貨(調整)近期</t>
    <phoneticPr fontId="2" type="noConversion"/>
  </si>
  <si>
    <t>大成鋼期貨(調整)近期提前一日轉倉</t>
    <phoneticPr fontId="2" type="noConversion"/>
  </si>
  <si>
    <t>大成鋼期貨(調整)202106</t>
    <phoneticPr fontId="2" type="noConversion"/>
  </si>
  <si>
    <t>大成鋼期貨近期</t>
    <phoneticPr fontId="2" type="noConversion"/>
  </si>
  <si>
    <t>大成鋼期貨近期提前一日轉倉</t>
    <phoneticPr fontId="2" type="noConversion"/>
  </si>
  <si>
    <t>大成鋼期貨次月</t>
    <phoneticPr fontId="2" type="noConversion"/>
  </si>
  <si>
    <t>大成鋼期貨次月提前一日轉倉</t>
    <phoneticPr fontId="2" type="noConversion"/>
  </si>
  <si>
    <t>大成鋼期貨202103</t>
    <phoneticPr fontId="2" type="noConversion"/>
  </si>
  <si>
    <t>大成鋼期貨202106</t>
    <phoneticPr fontId="2" type="noConversion"/>
  </si>
  <si>
    <t>大成鋼期貨202109</t>
    <phoneticPr fontId="2" type="noConversion"/>
  </si>
  <si>
    <t>大成鋼期貨202112</t>
    <phoneticPr fontId="2" type="noConversion"/>
  </si>
  <si>
    <t>上銀期貨(調整)近期</t>
    <phoneticPr fontId="2" type="noConversion"/>
  </si>
  <si>
    <t>上銀期貨(調整)近期提前一日轉倉</t>
    <phoneticPr fontId="2" type="noConversion"/>
  </si>
  <si>
    <t>上銀期貨(調整)202103</t>
    <phoneticPr fontId="2" type="noConversion"/>
  </si>
  <si>
    <t>上銀期貨近期</t>
    <phoneticPr fontId="2" type="noConversion"/>
  </si>
  <si>
    <t>上銀期貨近期提前一日轉倉</t>
    <phoneticPr fontId="2" type="noConversion"/>
  </si>
  <si>
    <t>上銀期貨次月</t>
    <phoneticPr fontId="2" type="noConversion"/>
  </si>
  <si>
    <t>上銀期貨次月提前一日轉倉</t>
    <phoneticPr fontId="2" type="noConversion"/>
  </si>
  <si>
    <t>上銀期貨202103</t>
    <phoneticPr fontId="2" type="noConversion"/>
  </si>
  <si>
    <t>上銀期貨202106</t>
    <phoneticPr fontId="2" type="noConversion"/>
  </si>
  <si>
    <t>上銀期貨202109</t>
    <phoneticPr fontId="2" type="noConversion"/>
  </si>
  <si>
    <t>上銀期貨202112</t>
    <phoneticPr fontId="2" type="noConversion"/>
  </si>
  <si>
    <t>川湖期貨近期</t>
    <phoneticPr fontId="2" type="noConversion"/>
  </si>
  <si>
    <t>川湖期貨近期提前一日轉倉</t>
    <phoneticPr fontId="2" type="noConversion"/>
  </si>
  <si>
    <t>川湖期貨次月</t>
    <phoneticPr fontId="2" type="noConversion"/>
  </si>
  <si>
    <t>川湖期貨次月提前一日轉倉</t>
    <phoneticPr fontId="2" type="noConversion"/>
  </si>
  <si>
    <t>川湖期貨202103</t>
    <phoneticPr fontId="2" type="noConversion"/>
  </si>
  <si>
    <t>川湖期貨202106</t>
    <phoneticPr fontId="2" type="noConversion"/>
  </si>
  <si>
    <t>川湖期貨202109</t>
    <phoneticPr fontId="2" type="noConversion"/>
  </si>
  <si>
    <t>川湖期貨202112</t>
    <phoneticPr fontId="2" type="noConversion"/>
  </si>
  <si>
    <t>正新期貨近期</t>
    <phoneticPr fontId="2" type="noConversion"/>
  </si>
  <si>
    <t>正新期貨近期提前一日轉倉</t>
    <phoneticPr fontId="2" type="noConversion"/>
  </si>
  <si>
    <t>正新期貨次月</t>
    <phoneticPr fontId="2" type="noConversion"/>
  </si>
  <si>
    <t>正新期貨次月提前一日轉倉</t>
    <phoneticPr fontId="2" type="noConversion"/>
  </si>
  <si>
    <t>正新期貨202103</t>
    <phoneticPr fontId="2" type="noConversion"/>
  </si>
  <si>
    <t>正新期貨202106</t>
    <phoneticPr fontId="2" type="noConversion"/>
  </si>
  <si>
    <t>正新期貨202109</t>
    <phoneticPr fontId="2" type="noConversion"/>
  </si>
  <si>
    <t>正新期貨202112</t>
    <phoneticPr fontId="2" type="noConversion"/>
  </si>
  <si>
    <t>裕隆期貨近期</t>
    <phoneticPr fontId="2" type="noConversion"/>
  </si>
  <si>
    <t>裕隆期貨近期提前一日轉倉</t>
    <phoneticPr fontId="2" type="noConversion"/>
  </si>
  <si>
    <t>裕隆期貨次月</t>
    <phoneticPr fontId="2" type="noConversion"/>
  </si>
  <si>
    <t>裕隆期貨次月提前一日轉倉</t>
    <phoneticPr fontId="2" type="noConversion"/>
  </si>
  <si>
    <t>裕隆期貨202103</t>
    <phoneticPr fontId="2" type="noConversion"/>
  </si>
  <si>
    <t>裕隆期貨202106</t>
    <phoneticPr fontId="2" type="noConversion"/>
  </si>
  <si>
    <t>裕隆期貨202109</t>
    <phoneticPr fontId="2" type="noConversion"/>
  </si>
  <si>
    <t>裕隆期貨202112</t>
    <phoneticPr fontId="2" type="noConversion"/>
  </si>
  <si>
    <t>光寶科期貨近期</t>
    <phoneticPr fontId="2" type="noConversion"/>
  </si>
  <si>
    <t>光寶科期貨近期提前一日轉倉</t>
    <phoneticPr fontId="2" type="noConversion"/>
  </si>
  <si>
    <t>光寶科期貨次月</t>
    <phoneticPr fontId="2" type="noConversion"/>
  </si>
  <si>
    <t>光寶科期貨次月提前一日轉倉</t>
    <phoneticPr fontId="2" type="noConversion"/>
  </si>
  <si>
    <t>光寶科期貨202103</t>
    <phoneticPr fontId="2" type="noConversion"/>
  </si>
  <si>
    <t>光寶科期貨202106</t>
    <phoneticPr fontId="2" type="noConversion"/>
  </si>
  <si>
    <t>光寶科期貨202109</t>
    <phoneticPr fontId="2" type="noConversion"/>
  </si>
  <si>
    <t>光寶科期貨202112</t>
    <phoneticPr fontId="2" type="noConversion"/>
  </si>
  <si>
    <t>台達電期貨近期</t>
    <phoneticPr fontId="2" type="noConversion"/>
  </si>
  <si>
    <t>台達電期貨近期提前一日轉倉</t>
    <phoneticPr fontId="2" type="noConversion"/>
  </si>
  <si>
    <t>台達電期貨次月</t>
    <phoneticPr fontId="2" type="noConversion"/>
  </si>
  <si>
    <t>台達電期貨次月提前一日轉倉</t>
    <phoneticPr fontId="2" type="noConversion"/>
  </si>
  <si>
    <t>台達電期貨202103</t>
    <phoneticPr fontId="2" type="noConversion"/>
  </si>
  <si>
    <t>台達電期貨202106</t>
    <phoneticPr fontId="2" type="noConversion"/>
  </si>
  <si>
    <t>台達電期貨202109</t>
    <phoneticPr fontId="2" type="noConversion"/>
  </si>
  <si>
    <t>台達電期貨202112</t>
    <phoneticPr fontId="2" type="noConversion"/>
  </si>
  <si>
    <t>華通期貨近期</t>
    <phoneticPr fontId="2" type="noConversion"/>
  </si>
  <si>
    <t>華通期貨近期提前一日轉倉</t>
    <phoneticPr fontId="2" type="noConversion"/>
  </si>
  <si>
    <t>華通期貨次月</t>
    <phoneticPr fontId="2" type="noConversion"/>
  </si>
  <si>
    <t>華通期貨次月提前一日轉倉</t>
    <phoneticPr fontId="2" type="noConversion"/>
  </si>
  <si>
    <t>華通期貨202103</t>
    <phoneticPr fontId="2" type="noConversion"/>
  </si>
  <si>
    <t>華通期貨202106</t>
    <phoneticPr fontId="2" type="noConversion"/>
  </si>
  <si>
    <t>華通期貨202109</t>
    <phoneticPr fontId="2" type="noConversion"/>
  </si>
  <si>
    <t>華通期貨202112</t>
    <phoneticPr fontId="2" type="noConversion"/>
  </si>
  <si>
    <t>精英期貨近期</t>
    <phoneticPr fontId="2" type="noConversion"/>
  </si>
  <si>
    <t>精英期貨近期提前一日轉倉</t>
    <phoneticPr fontId="2" type="noConversion"/>
  </si>
  <si>
    <t>精英期貨次月</t>
    <phoneticPr fontId="2" type="noConversion"/>
  </si>
  <si>
    <t>精英期貨次月提前一日轉倉</t>
    <phoneticPr fontId="2" type="noConversion"/>
  </si>
  <si>
    <t>精英期貨202103</t>
    <phoneticPr fontId="2" type="noConversion"/>
  </si>
  <si>
    <t>精英期貨202106</t>
    <phoneticPr fontId="2" type="noConversion"/>
  </si>
  <si>
    <t>精英期貨202109</t>
    <phoneticPr fontId="2" type="noConversion"/>
  </si>
  <si>
    <t>精英期貨202112</t>
    <phoneticPr fontId="2" type="noConversion"/>
  </si>
  <si>
    <t>友訊期貨近期</t>
    <phoneticPr fontId="2" type="noConversion"/>
  </si>
  <si>
    <t>友訊期貨近期提前一日轉倉</t>
    <phoneticPr fontId="2" type="noConversion"/>
  </si>
  <si>
    <t>友訊期貨次月</t>
    <phoneticPr fontId="2" type="noConversion"/>
  </si>
  <si>
    <t>友訊期貨次月提前一日轉倉</t>
    <phoneticPr fontId="2" type="noConversion"/>
  </si>
  <si>
    <t>友訊期貨202103</t>
    <phoneticPr fontId="2" type="noConversion"/>
  </si>
  <si>
    <t>友訊期貨202106</t>
    <phoneticPr fontId="2" type="noConversion"/>
  </si>
  <si>
    <t>友訊期貨202109</t>
    <phoneticPr fontId="2" type="noConversion"/>
  </si>
  <si>
    <t>友訊期貨202112</t>
    <phoneticPr fontId="2" type="noConversion"/>
  </si>
  <si>
    <t>光磊期貨近期</t>
    <phoneticPr fontId="2" type="noConversion"/>
  </si>
  <si>
    <t>光磊期貨近期提前一日轉倉</t>
    <phoneticPr fontId="2" type="noConversion"/>
  </si>
  <si>
    <t>光磊期貨次月</t>
    <phoneticPr fontId="2" type="noConversion"/>
  </si>
  <si>
    <t>光磊期貨次月提前一日轉倉</t>
    <phoneticPr fontId="2" type="noConversion"/>
  </si>
  <si>
    <t>光磊期貨202103</t>
    <phoneticPr fontId="2" type="noConversion"/>
  </si>
  <si>
    <t>光磊期貨202106</t>
    <phoneticPr fontId="2" type="noConversion"/>
  </si>
  <si>
    <t>光磊期貨202109</t>
    <phoneticPr fontId="2" type="noConversion"/>
  </si>
  <si>
    <t>光磊期貨202112</t>
    <phoneticPr fontId="2" type="noConversion"/>
  </si>
  <si>
    <t>華邦電期貨近期</t>
    <phoneticPr fontId="2" type="noConversion"/>
  </si>
  <si>
    <t>華邦電期貨近期提前一日轉倉</t>
    <phoneticPr fontId="2" type="noConversion"/>
  </si>
  <si>
    <t>華邦電期貨次月</t>
    <phoneticPr fontId="2" type="noConversion"/>
  </si>
  <si>
    <t>華邦電期貨次月提前一日轉倉</t>
    <phoneticPr fontId="2" type="noConversion"/>
  </si>
  <si>
    <t>華邦電期貨202103</t>
    <phoneticPr fontId="2" type="noConversion"/>
  </si>
  <si>
    <t>華邦電期貨202106</t>
    <phoneticPr fontId="2" type="noConversion"/>
  </si>
  <si>
    <t>華邦電期貨202109</t>
    <phoneticPr fontId="2" type="noConversion"/>
  </si>
  <si>
    <t>華邦電期貨202112</t>
    <phoneticPr fontId="2" type="noConversion"/>
  </si>
  <si>
    <t>富櫃200期貨近期</t>
    <phoneticPr fontId="2" type="noConversion"/>
  </si>
  <si>
    <t>富櫃200期貨近期提前一日轉倉</t>
    <phoneticPr fontId="2" type="noConversion"/>
  </si>
  <si>
    <t>富櫃200期貨次月</t>
    <phoneticPr fontId="2" type="noConversion"/>
  </si>
  <si>
    <t>富櫃200期貨次月提前一日轉倉</t>
    <phoneticPr fontId="2" type="noConversion"/>
  </si>
  <si>
    <t>富櫃200期貨202103</t>
    <phoneticPr fontId="2" type="noConversion"/>
  </si>
  <si>
    <t>富櫃200期貨202104</t>
    <phoneticPr fontId="2" type="noConversion"/>
  </si>
  <si>
    <t>富櫃200期貨202106</t>
    <phoneticPr fontId="2" type="noConversion"/>
  </si>
  <si>
    <t>富櫃200期貨202109</t>
    <phoneticPr fontId="2" type="noConversion"/>
  </si>
  <si>
    <t>富櫃200期貨202112</t>
    <phoneticPr fontId="2" type="noConversion"/>
  </si>
  <si>
    <t>富櫃200期貨近三月</t>
    <phoneticPr fontId="2" type="noConversion"/>
  </si>
  <si>
    <t>富櫃200期貨近三月提前一日轉倉</t>
    <phoneticPr fontId="2" type="noConversion"/>
  </si>
  <si>
    <t>聯強期貨近期</t>
    <phoneticPr fontId="2" type="noConversion"/>
  </si>
  <si>
    <t>聯強期貨近期提前一日轉倉</t>
    <phoneticPr fontId="2" type="noConversion"/>
  </si>
  <si>
    <t>聯強期貨次月</t>
    <phoneticPr fontId="2" type="noConversion"/>
  </si>
  <si>
    <t>聯強期貨次月提前一日轉倉</t>
    <phoneticPr fontId="2" type="noConversion"/>
  </si>
  <si>
    <t>聯強期貨202103</t>
    <phoneticPr fontId="2" type="noConversion"/>
  </si>
  <si>
    <t>聯強期貨202106</t>
    <phoneticPr fontId="2" type="noConversion"/>
  </si>
  <si>
    <t>聯強期貨202109</t>
    <phoneticPr fontId="2" type="noConversion"/>
  </si>
  <si>
    <t>聯強期貨202112</t>
    <phoneticPr fontId="2" type="noConversion"/>
  </si>
  <si>
    <t>鴻準期貨近期</t>
    <phoneticPr fontId="2" type="noConversion"/>
  </si>
  <si>
    <t>鴻準期貨近期提前一日轉倉</t>
    <phoneticPr fontId="2" type="noConversion"/>
  </si>
  <si>
    <t>鴻準期貨次月</t>
    <phoneticPr fontId="2" type="noConversion"/>
  </si>
  <si>
    <t>鴻準期貨次月提前一日轉倉</t>
    <phoneticPr fontId="2" type="noConversion"/>
  </si>
  <si>
    <t>鴻準期貨202103</t>
    <phoneticPr fontId="2" type="noConversion"/>
  </si>
  <si>
    <t>鴻準期貨202106</t>
    <phoneticPr fontId="2" type="noConversion"/>
  </si>
  <si>
    <t>鴻準期貨202109</t>
    <phoneticPr fontId="2" type="noConversion"/>
  </si>
  <si>
    <t>鴻準期貨202112</t>
    <phoneticPr fontId="2" type="noConversion"/>
  </si>
  <si>
    <t>黃金期貨近期</t>
    <phoneticPr fontId="2" type="noConversion"/>
  </si>
  <si>
    <t>黃金期貨近期提前一日轉倉</t>
    <phoneticPr fontId="2" type="noConversion"/>
  </si>
  <si>
    <t>黃金期貨近期提前一日轉倉(盤後)</t>
    <phoneticPr fontId="2" type="noConversion"/>
  </si>
  <si>
    <t>黃金期貨次月</t>
    <phoneticPr fontId="2" type="noConversion"/>
  </si>
  <si>
    <t>黃金期貨次月提前一日轉倉</t>
    <phoneticPr fontId="2" type="noConversion"/>
  </si>
  <si>
    <t>黃金期貨202102</t>
    <phoneticPr fontId="2" type="noConversion"/>
  </si>
  <si>
    <t>黃金期貨202102(盤後)</t>
    <phoneticPr fontId="2" type="noConversion"/>
  </si>
  <si>
    <t>黃金期貨202104</t>
    <phoneticPr fontId="2" type="noConversion"/>
  </si>
  <si>
    <t>黃金期貨202104(盤後)</t>
    <phoneticPr fontId="2" type="noConversion"/>
  </si>
  <si>
    <t>黃金期貨202106</t>
    <phoneticPr fontId="2" type="noConversion"/>
  </si>
  <si>
    <t>黃金期貨202106(盤後)</t>
    <phoneticPr fontId="2" type="noConversion"/>
  </si>
  <si>
    <t>黃金期貨202108</t>
    <phoneticPr fontId="2" type="noConversion"/>
  </si>
  <si>
    <t>黃金期貨202108(盤後)</t>
    <phoneticPr fontId="2" type="noConversion"/>
  </si>
  <si>
    <t>黃金期貨202110</t>
    <phoneticPr fontId="2" type="noConversion"/>
  </si>
  <si>
    <t>黃金期貨202110(盤後)</t>
    <phoneticPr fontId="2" type="noConversion"/>
  </si>
  <si>
    <t>黃金期貨202112</t>
    <phoneticPr fontId="2" type="noConversion"/>
  </si>
  <si>
    <t>黃金期貨202112(盤後)</t>
    <phoneticPr fontId="2" type="noConversion"/>
  </si>
  <si>
    <t>黃金期貨次月(盤後)</t>
    <phoneticPr fontId="2" type="noConversion"/>
  </si>
  <si>
    <t>黃金期貨近期(盤後)</t>
    <phoneticPr fontId="2" type="noConversion"/>
  </si>
  <si>
    <t>技嘉期貨近期</t>
    <phoneticPr fontId="2" type="noConversion"/>
  </si>
  <si>
    <t>技嘉期貨近期提前一日轉倉</t>
    <phoneticPr fontId="2" type="noConversion"/>
  </si>
  <si>
    <t>技嘉期貨次月</t>
    <phoneticPr fontId="2" type="noConversion"/>
  </si>
  <si>
    <t>技嘉期貨次月提前一日轉倉</t>
    <phoneticPr fontId="2" type="noConversion"/>
  </si>
  <si>
    <t>技嘉期貨202103</t>
    <phoneticPr fontId="2" type="noConversion"/>
  </si>
  <si>
    <t>技嘉期貨202106</t>
    <phoneticPr fontId="2" type="noConversion"/>
  </si>
  <si>
    <t>技嘉期貨202109</t>
    <phoneticPr fontId="2" type="noConversion"/>
  </si>
  <si>
    <t>技嘉期貨202112</t>
    <phoneticPr fontId="2" type="noConversion"/>
  </si>
  <si>
    <t>微星期貨近期</t>
    <phoneticPr fontId="2" type="noConversion"/>
  </si>
  <si>
    <t>微星期貨近期提前一日轉倉</t>
    <phoneticPr fontId="2" type="noConversion"/>
  </si>
  <si>
    <t>微星期貨次月</t>
    <phoneticPr fontId="2" type="noConversion"/>
  </si>
  <si>
    <t>微星期貨次月提前一日轉倉</t>
    <phoneticPr fontId="2" type="noConversion"/>
  </si>
  <si>
    <t>微星期貨202103</t>
    <phoneticPr fontId="2" type="noConversion"/>
  </si>
  <si>
    <t>微星期貨202106</t>
    <phoneticPr fontId="2" type="noConversion"/>
  </si>
  <si>
    <t>微星期貨202109</t>
    <phoneticPr fontId="2" type="noConversion"/>
  </si>
  <si>
    <t>微星期貨202112</t>
    <phoneticPr fontId="2" type="noConversion"/>
  </si>
  <si>
    <t>瑞昱期貨近期</t>
    <phoneticPr fontId="2" type="noConversion"/>
  </si>
  <si>
    <t>瑞昱期貨近期提前一日轉倉</t>
    <phoneticPr fontId="2" type="noConversion"/>
  </si>
  <si>
    <t>瑞昱期貨次月</t>
    <phoneticPr fontId="2" type="noConversion"/>
  </si>
  <si>
    <t>瑞昱期貨次月提前一日轉倉</t>
    <phoneticPr fontId="2" type="noConversion"/>
  </si>
  <si>
    <t>瑞昱期貨202103</t>
    <phoneticPr fontId="2" type="noConversion"/>
  </si>
  <si>
    <t>瑞昱期貨202106</t>
    <phoneticPr fontId="2" type="noConversion"/>
  </si>
  <si>
    <t>瑞昱期貨202109</t>
    <phoneticPr fontId="2" type="noConversion"/>
  </si>
  <si>
    <t>瑞昱期貨202112</t>
    <phoneticPr fontId="2" type="noConversion"/>
  </si>
  <si>
    <t>正崴期貨近期</t>
    <phoneticPr fontId="2" type="noConversion"/>
  </si>
  <si>
    <t>正崴期貨近期提前一日轉倉</t>
    <phoneticPr fontId="2" type="noConversion"/>
  </si>
  <si>
    <t>正崴期貨次月</t>
    <phoneticPr fontId="2" type="noConversion"/>
  </si>
  <si>
    <t>正崴期貨次月提前一日轉倉</t>
    <phoneticPr fontId="2" type="noConversion"/>
  </si>
  <si>
    <t>正崴期貨202103</t>
    <phoneticPr fontId="2" type="noConversion"/>
  </si>
  <si>
    <t>正崴期貨202106</t>
    <phoneticPr fontId="2" type="noConversion"/>
  </si>
  <si>
    <t>正崴期貨202109</t>
    <phoneticPr fontId="2" type="noConversion"/>
  </si>
  <si>
    <t>正崴期貨202112</t>
    <phoneticPr fontId="2" type="noConversion"/>
  </si>
  <si>
    <t>億光期貨近期</t>
    <phoneticPr fontId="2" type="noConversion"/>
  </si>
  <si>
    <t>億光期貨近期提前一日轉倉</t>
    <phoneticPr fontId="2" type="noConversion"/>
  </si>
  <si>
    <t>億光期貨次月</t>
    <phoneticPr fontId="2" type="noConversion"/>
  </si>
  <si>
    <t>億光期貨次月提前一日轉倉</t>
    <phoneticPr fontId="2" type="noConversion"/>
  </si>
  <si>
    <t>億光期貨202103</t>
    <phoneticPr fontId="2" type="noConversion"/>
  </si>
  <si>
    <t>億光期貨202106</t>
    <phoneticPr fontId="2" type="noConversion"/>
  </si>
  <si>
    <t>億光期貨202109</t>
    <phoneticPr fontId="2" type="noConversion"/>
  </si>
  <si>
    <t>億光期貨202112</t>
    <phoneticPr fontId="2" type="noConversion"/>
  </si>
  <si>
    <t>凌陽期貨近期</t>
    <phoneticPr fontId="2" type="noConversion"/>
  </si>
  <si>
    <t>凌陽期貨近期提前一日轉倉</t>
    <phoneticPr fontId="2" type="noConversion"/>
  </si>
  <si>
    <t>凌陽期貨次月</t>
    <phoneticPr fontId="2" type="noConversion"/>
  </si>
  <si>
    <t>凌陽期貨次月提前一日轉倉</t>
    <phoneticPr fontId="2" type="noConversion"/>
  </si>
  <si>
    <t>凌陽期貨202103</t>
    <phoneticPr fontId="2" type="noConversion"/>
  </si>
  <si>
    <t>凌陽期貨202106</t>
    <phoneticPr fontId="2" type="noConversion"/>
  </si>
  <si>
    <t>凌陽期貨202109</t>
    <phoneticPr fontId="2" type="noConversion"/>
  </si>
  <si>
    <t>凌陽期貨202112</t>
    <phoneticPr fontId="2" type="noConversion"/>
  </si>
  <si>
    <t>漢唐期貨近期</t>
    <phoneticPr fontId="2" type="noConversion"/>
  </si>
  <si>
    <t>漢唐期貨近期提前一日轉倉</t>
    <phoneticPr fontId="2" type="noConversion"/>
  </si>
  <si>
    <t>漢唐期貨次月</t>
    <phoneticPr fontId="2" type="noConversion"/>
  </si>
  <si>
    <t>漢唐期貨次月提前一日轉倉</t>
    <phoneticPr fontId="2" type="noConversion"/>
  </si>
  <si>
    <t>漢唐期貨202103</t>
    <phoneticPr fontId="2" type="noConversion"/>
  </si>
  <si>
    <t>漢唐期貨202106</t>
    <phoneticPr fontId="2" type="noConversion"/>
  </si>
  <si>
    <t>漢唐期貨202109</t>
    <phoneticPr fontId="2" type="noConversion"/>
  </si>
  <si>
    <t>漢唐期貨202112</t>
    <phoneticPr fontId="2" type="noConversion"/>
  </si>
  <si>
    <t>京元電子期貨近期</t>
    <phoneticPr fontId="2" type="noConversion"/>
  </si>
  <si>
    <t>京元電子期貨近期提前一日轉倉</t>
    <phoneticPr fontId="2" type="noConversion"/>
  </si>
  <si>
    <t>京元電子期貨次月</t>
    <phoneticPr fontId="2" type="noConversion"/>
  </si>
  <si>
    <t>京元電子期貨次月提前一日轉倉</t>
    <phoneticPr fontId="2" type="noConversion"/>
  </si>
  <si>
    <t>京元電子期貨202103</t>
    <phoneticPr fontId="2" type="noConversion"/>
  </si>
  <si>
    <t>京元電子期貨202106</t>
    <phoneticPr fontId="2" type="noConversion"/>
  </si>
  <si>
    <t>京元電子期貨202109</t>
    <phoneticPr fontId="2" type="noConversion"/>
  </si>
  <si>
    <t>京元電子期貨202112</t>
    <phoneticPr fontId="2" type="noConversion"/>
  </si>
  <si>
    <t>櫃買期貨近期</t>
    <phoneticPr fontId="2" type="noConversion"/>
  </si>
  <si>
    <t>櫃買期貨近期提前一日轉倉</t>
    <phoneticPr fontId="2" type="noConversion"/>
  </si>
  <si>
    <t>櫃買期貨次月</t>
    <phoneticPr fontId="2" type="noConversion"/>
  </si>
  <si>
    <t>櫃買期貨次月提前一日轉倉</t>
    <phoneticPr fontId="2" type="noConversion"/>
  </si>
  <si>
    <t>櫃買期貨202103</t>
    <phoneticPr fontId="2" type="noConversion"/>
  </si>
  <si>
    <t>櫃買期貨202104</t>
    <phoneticPr fontId="2" type="noConversion"/>
  </si>
  <si>
    <t>櫃買期貨202106</t>
    <phoneticPr fontId="2" type="noConversion"/>
  </si>
  <si>
    <t>櫃買期貨202109</t>
    <phoneticPr fontId="2" type="noConversion"/>
  </si>
  <si>
    <t>櫃買期貨202112</t>
    <phoneticPr fontId="2" type="noConversion"/>
  </si>
  <si>
    <t>櫃買期貨近三月</t>
    <phoneticPr fontId="2" type="noConversion"/>
  </si>
  <si>
    <t>櫃買期貨近三月提前一日轉倉</t>
    <phoneticPr fontId="2" type="noConversion"/>
  </si>
  <si>
    <t>全新期貨近期</t>
    <phoneticPr fontId="2" type="noConversion"/>
  </si>
  <si>
    <t>全新期貨近期提前一日轉倉</t>
    <phoneticPr fontId="2" type="noConversion"/>
  </si>
  <si>
    <t>全新期貨次月</t>
    <phoneticPr fontId="2" type="noConversion"/>
  </si>
  <si>
    <t>全新期貨次月提前一日轉倉</t>
    <phoneticPr fontId="2" type="noConversion"/>
  </si>
  <si>
    <t>全新期貨202103</t>
    <phoneticPr fontId="2" type="noConversion"/>
  </si>
  <si>
    <t>全新期貨202106</t>
    <phoneticPr fontId="2" type="noConversion"/>
  </si>
  <si>
    <t>全新期貨202109</t>
    <phoneticPr fontId="2" type="noConversion"/>
  </si>
  <si>
    <t>全新期貨202112</t>
    <phoneticPr fontId="2" type="noConversion"/>
  </si>
  <si>
    <t>義隆期貨近期</t>
    <phoneticPr fontId="2" type="noConversion"/>
  </si>
  <si>
    <t>義隆期貨近期提前一日轉倉</t>
    <phoneticPr fontId="2" type="noConversion"/>
  </si>
  <si>
    <t>義隆期貨次月</t>
    <phoneticPr fontId="2" type="noConversion"/>
  </si>
  <si>
    <t>義隆期貨次月提前一日轉倉</t>
    <phoneticPr fontId="2" type="noConversion"/>
  </si>
  <si>
    <t>義隆期貨202103</t>
    <phoneticPr fontId="2" type="noConversion"/>
  </si>
  <si>
    <t>義隆期貨202103／06</t>
    <phoneticPr fontId="2" type="noConversion"/>
  </si>
  <si>
    <t>義隆期貨202106</t>
    <phoneticPr fontId="2" type="noConversion"/>
  </si>
  <si>
    <t>義隆期貨202109</t>
    <phoneticPr fontId="2" type="noConversion"/>
  </si>
  <si>
    <t>義隆期貨202112</t>
    <phoneticPr fontId="2" type="noConversion"/>
  </si>
  <si>
    <t>可成期貨近期</t>
    <phoneticPr fontId="2" type="noConversion"/>
  </si>
  <si>
    <t>可成期貨近期提前一日轉倉</t>
    <phoneticPr fontId="2" type="noConversion"/>
  </si>
  <si>
    <t>可成期貨次月</t>
    <phoneticPr fontId="2" type="noConversion"/>
  </si>
  <si>
    <t>可成期貨次月提前一日轉倉</t>
    <phoneticPr fontId="2" type="noConversion"/>
  </si>
  <si>
    <t>可成期貨202103</t>
    <phoneticPr fontId="2" type="noConversion"/>
  </si>
  <si>
    <t>可成期貨202106</t>
    <phoneticPr fontId="2" type="noConversion"/>
  </si>
  <si>
    <t>可成期貨202109</t>
    <phoneticPr fontId="2" type="noConversion"/>
  </si>
  <si>
    <t>可成期貨202112</t>
    <phoneticPr fontId="2" type="noConversion"/>
  </si>
  <si>
    <t>兆赫期貨近期</t>
    <phoneticPr fontId="2" type="noConversion"/>
  </si>
  <si>
    <t>兆赫期貨近期提前一日轉倉</t>
    <phoneticPr fontId="2" type="noConversion"/>
  </si>
  <si>
    <t>兆赫期貨次月</t>
    <phoneticPr fontId="2" type="noConversion"/>
  </si>
  <si>
    <t>兆赫期貨次月提前一日轉倉</t>
    <phoneticPr fontId="2" type="noConversion"/>
  </si>
  <si>
    <t>兆赫期貨202103</t>
    <phoneticPr fontId="2" type="noConversion"/>
  </si>
  <si>
    <t>兆赫期貨202106</t>
    <phoneticPr fontId="2" type="noConversion"/>
  </si>
  <si>
    <t>兆赫期貨202109</t>
    <phoneticPr fontId="2" type="noConversion"/>
  </si>
  <si>
    <t>兆赫期貨202112</t>
    <phoneticPr fontId="2" type="noConversion"/>
  </si>
  <si>
    <t>瑞軒期貨近期</t>
    <phoneticPr fontId="2" type="noConversion"/>
  </si>
  <si>
    <t>瑞軒期貨近期提前一日轉倉</t>
    <phoneticPr fontId="2" type="noConversion"/>
  </si>
  <si>
    <t>瑞軒期貨次月</t>
    <phoneticPr fontId="2" type="noConversion"/>
  </si>
  <si>
    <t>瑞軒期貨次月提前一日轉倉</t>
    <phoneticPr fontId="2" type="noConversion"/>
  </si>
  <si>
    <t>瑞軒期貨202103</t>
    <phoneticPr fontId="2" type="noConversion"/>
  </si>
  <si>
    <t>瑞軒期貨202106</t>
    <phoneticPr fontId="2" type="noConversion"/>
  </si>
  <si>
    <t>瑞軒期貨202109</t>
    <phoneticPr fontId="2" type="noConversion"/>
  </si>
  <si>
    <t>瑞軒期貨202112</t>
    <phoneticPr fontId="2" type="noConversion"/>
  </si>
  <si>
    <t>華新科期貨近期</t>
    <phoneticPr fontId="2" type="noConversion"/>
  </si>
  <si>
    <t>華新科期貨近期提前一日轉倉</t>
    <phoneticPr fontId="2" type="noConversion"/>
  </si>
  <si>
    <t>華新科期貨次月</t>
    <phoneticPr fontId="2" type="noConversion"/>
  </si>
  <si>
    <t>華新科期貨次月提前一日轉倉</t>
    <phoneticPr fontId="2" type="noConversion"/>
  </si>
  <si>
    <t>華新科期貨202103</t>
    <phoneticPr fontId="2" type="noConversion"/>
  </si>
  <si>
    <t>華新科期貨202106</t>
    <phoneticPr fontId="2" type="noConversion"/>
  </si>
  <si>
    <t>華新科期貨202109</t>
    <phoneticPr fontId="2" type="noConversion"/>
  </si>
  <si>
    <t>華新科期貨202112</t>
    <phoneticPr fontId="2" type="noConversion"/>
  </si>
  <si>
    <t>宏達電期貨近期</t>
    <phoneticPr fontId="2" type="noConversion"/>
  </si>
  <si>
    <t>宏達電期貨近期提前一日轉倉</t>
    <phoneticPr fontId="2" type="noConversion"/>
  </si>
  <si>
    <t>宏達電期貨次月</t>
    <phoneticPr fontId="2" type="noConversion"/>
  </si>
  <si>
    <t>宏達電期貨次月提前一日轉倉</t>
    <phoneticPr fontId="2" type="noConversion"/>
  </si>
  <si>
    <t>宏達電期貨202103</t>
    <phoneticPr fontId="2" type="noConversion"/>
  </si>
  <si>
    <t>宏達電期貨202106</t>
    <phoneticPr fontId="2" type="noConversion"/>
  </si>
  <si>
    <t>宏達電期貨202109</t>
    <phoneticPr fontId="2" type="noConversion"/>
  </si>
  <si>
    <t>宏達電期貨202112</t>
    <phoneticPr fontId="2" type="noConversion"/>
  </si>
  <si>
    <t>中工期貨近期</t>
    <phoneticPr fontId="2" type="noConversion"/>
  </si>
  <si>
    <t>中工期貨近期提前一日轉倉</t>
    <phoneticPr fontId="2" type="noConversion"/>
  </si>
  <si>
    <t>中工期貨次月</t>
    <phoneticPr fontId="2" type="noConversion"/>
  </si>
  <si>
    <t>中工期貨次月提前一日轉倉</t>
    <phoneticPr fontId="2" type="noConversion"/>
  </si>
  <si>
    <t>中工期貨202103</t>
    <phoneticPr fontId="2" type="noConversion"/>
  </si>
  <si>
    <t>中工期貨202106</t>
    <phoneticPr fontId="2" type="noConversion"/>
  </si>
  <si>
    <t>中工期貨202109</t>
    <phoneticPr fontId="2" type="noConversion"/>
  </si>
  <si>
    <t>中工期貨202112</t>
    <phoneticPr fontId="2" type="noConversion"/>
  </si>
  <si>
    <t>冠德期貨近期</t>
    <phoneticPr fontId="2" type="noConversion"/>
  </si>
  <si>
    <t>冠德期貨近期提前一日轉倉</t>
    <phoneticPr fontId="2" type="noConversion"/>
  </si>
  <si>
    <t>冠德期貨次月</t>
    <phoneticPr fontId="2" type="noConversion"/>
  </si>
  <si>
    <t>冠德期貨次月提前一日轉倉</t>
    <phoneticPr fontId="2" type="noConversion"/>
  </si>
  <si>
    <t>冠德期貨202103</t>
    <phoneticPr fontId="2" type="noConversion"/>
  </si>
  <si>
    <t>冠德期貨202106</t>
    <phoneticPr fontId="2" type="noConversion"/>
  </si>
  <si>
    <t>冠德期貨202109</t>
    <phoneticPr fontId="2" type="noConversion"/>
  </si>
  <si>
    <t>冠德期貨202112</t>
    <phoneticPr fontId="2" type="noConversion"/>
  </si>
  <si>
    <t>興富發期貨(調整)近期</t>
    <phoneticPr fontId="2" type="noConversion"/>
  </si>
  <si>
    <t>興富發期貨(調整)近期提前一日轉倉</t>
    <phoneticPr fontId="2" type="noConversion"/>
  </si>
  <si>
    <t>興富發期貨(調整)202103</t>
    <phoneticPr fontId="2" type="noConversion"/>
  </si>
  <si>
    <t>興富發期貨近期</t>
    <phoneticPr fontId="2" type="noConversion"/>
  </si>
  <si>
    <t>興富發期貨近期提前一日轉倉</t>
    <phoneticPr fontId="2" type="noConversion"/>
  </si>
  <si>
    <t>興富發期貨次月</t>
    <phoneticPr fontId="2" type="noConversion"/>
  </si>
  <si>
    <t>興富發期貨次月提前一日轉倉</t>
    <phoneticPr fontId="2" type="noConversion"/>
  </si>
  <si>
    <t>興富發期貨202103</t>
    <phoneticPr fontId="2" type="noConversion"/>
  </si>
  <si>
    <t>興富發期貨202106</t>
    <phoneticPr fontId="2" type="noConversion"/>
  </si>
  <si>
    <t>興富發期貨202109</t>
    <phoneticPr fontId="2" type="noConversion"/>
  </si>
  <si>
    <t>興富發期貨202112</t>
    <phoneticPr fontId="2" type="noConversion"/>
  </si>
  <si>
    <t>香港摩台期指近期</t>
    <phoneticPr fontId="2" type="noConversion"/>
  </si>
  <si>
    <t>香港摩台期指次月</t>
    <phoneticPr fontId="2" type="noConversion"/>
  </si>
  <si>
    <t>香港摩台期指202102</t>
    <phoneticPr fontId="2" type="noConversion"/>
  </si>
  <si>
    <t>香港摩台期指202103</t>
    <phoneticPr fontId="2" type="noConversion"/>
  </si>
  <si>
    <t>華固期貨近期</t>
    <phoneticPr fontId="2" type="noConversion"/>
  </si>
  <si>
    <t>華固期貨近期提前一日轉倉</t>
    <phoneticPr fontId="2" type="noConversion"/>
  </si>
  <si>
    <t>華固期貨次月</t>
    <phoneticPr fontId="2" type="noConversion"/>
  </si>
  <si>
    <t>華固期貨次月提前一日轉倉</t>
    <phoneticPr fontId="2" type="noConversion"/>
  </si>
  <si>
    <t>華固期貨202103</t>
    <phoneticPr fontId="2" type="noConversion"/>
  </si>
  <si>
    <t>華固期貨202106</t>
    <phoneticPr fontId="2" type="noConversion"/>
  </si>
  <si>
    <t>華固期貨202109</t>
    <phoneticPr fontId="2" type="noConversion"/>
  </si>
  <si>
    <t>華固期貨202112</t>
    <phoneticPr fontId="2" type="noConversion"/>
  </si>
  <si>
    <t>長榮航期貨近期</t>
    <phoneticPr fontId="2" type="noConversion"/>
  </si>
  <si>
    <t>長榮航期貨近期提前一日轉倉</t>
    <phoneticPr fontId="2" type="noConversion"/>
  </si>
  <si>
    <t>長榮航期貨次月</t>
    <phoneticPr fontId="2" type="noConversion"/>
  </si>
  <si>
    <t>長榮航期貨次月提前一日轉倉</t>
    <phoneticPr fontId="2" type="noConversion"/>
  </si>
  <si>
    <t>長榮航期貨202103</t>
    <phoneticPr fontId="2" type="noConversion"/>
  </si>
  <si>
    <t>長榮航期貨202106</t>
    <phoneticPr fontId="2" type="noConversion"/>
  </si>
  <si>
    <t>長榮航期貨202109</t>
    <phoneticPr fontId="2" type="noConversion"/>
  </si>
  <si>
    <t>長榮航期貨202112</t>
    <phoneticPr fontId="2" type="noConversion"/>
  </si>
  <si>
    <t>中壽期貨(調整)近期</t>
    <phoneticPr fontId="2" type="noConversion"/>
  </si>
  <si>
    <t>中壽期貨(調整)近期提前一日轉倉</t>
    <phoneticPr fontId="2" type="noConversion"/>
  </si>
  <si>
    <t>中壽期貨(調整)202103</t>
    <phoneticPr fontId="2" type="noConversion"/>
  </si>
  <si>
    <t>中壽期貨近期</t>
    <phoneticPr fontId="2" type="noConversion"/>
  </si>
  <si>
    <t>中壽期貨近期提前一日轉倉</t>
    <phoneticPr fontId="2" type="noConversion"/>
  </si>
  <si>
    <t>中壽期貨次月</t>
    <phoneticPr fontId="2" type="noConversion"/>
  </si>
  <si>
    <t>中壽期貨次月提前一日轉倉</t>
    <phoneticPr fontId="2" type="noConversion"/>
  </si>
  <si>
    <t>中壽期貨202103</t>
    <phoneticPr fontId="2" type="noConversion"/>
  </si>
  <si>
    <t>中壽期貨202106</t>
    <phoneticPr fontId="2" type="noConversion"/>
  </si>
  <si>
    <t>中壽期貨202109</t>
    <phoneticPr fontId="2" type="noConversion"/>
  </si>
  <si>
    <t>中壽期貨202112</t>
    <phoneticPr fontId="2" type="noConversion"/>
  </si>
  <si>
    <t>臺企銀期貨(調整)近期</t>
    <phoneticPr fontId="2" type="noConversion"/>
  </si>
  <si>
    <t>臺企銀期貨(調整)近期提前一日轉倉</t>
    <phoneticPr fontId="2" type="noConversion"/>
  </si>
  <si>
    <t>臺企銀期貨(調整)202103</t>
    <phoneticPr fontId="2" type="noConversion"/>
  </si>
  <si>
    <t>臺企銀期貨近期</t>
    <phoneticPr fontId="2" type="noConversion"/>
  </si>
  <si>
    <t>臺企銀期貨近期提前一日轉倉</t>
    <phoneticPr fontId="2" type="noConversion"/>
  </si>
  <si>
    <t>臺企銀期貨次月</t>
    <phoneticPr fontId="2" type="noConversion"/>
  </si>
  <si>
    <t>臺企銀期貨次月提前一日轉倉</t>
    <phoneticPr fontId="2" type="noConversion"/>
  </si>
  <si>
    <t>臺企銀期貨202103</t>
    <phoneticPr fontId="2" type="noConversion"/>
  </si>
  <si>
    <t>臺企銀期貨202106</t>
    <phoneticPr fontId="2" type="noConversion"/>
  </si>
  <si>
    <t>臺企銀期貨202109</t>
    <phoneticPr fontId="2" type="noConversion"/>
  </si>
  <si>
    <t>臺企銀期貨202112</t>
    <phoneticPr fontId="2" type="noConversion"/>
  </si>
  <si>
    <t>農林期貨近期</t>
    <phoneticPr fontId="2" type="noConversion"/>
  </si>
  <si>
    <t>農林期貨近期提前一日轉倉</t>
    <phoneticPr fontId="2" type="noConversion"/>
  </si>
  <si>
    <t>農林期貨次月</t>
    <phoneticPr fontId="2" type="noConversion"/>
  </si>
  <si>
    <t>農林期貨次月提前一日轉倉</t>
    <phoneticPr fontId="2" type="noConversion"/>
  </si>
  <si>
    <t>農林期貨202103</t>
    <phoneticPr fontId="2" type="noConversion"/>
  </si>
  <si>
    <t>農林期貨202106</t>
    <phoneticPr fontId="2" type="noConversion"/>
  </si>
  <si>
    <t>農林期貨202109</t>
    <phoneticPr fontId="2" type="noConversion"/>
  </si>
  <si>
    <t>農林期貨202112</t>
    <phoneticPr fontId="2" type="noConversion"/>
  </si>
  <si>
    <t>晶豪科期貨近期</t>
    <phoneticPr fontId="2" type="noConversion"/>
  </si>
  <si>
    <t>晶豪科期貨近期提前一日轉倉</t>
    <phoneticPr fontId="2" type="noConversion"/>
  </si>
  <si>
    <t>晶豪科期貨次月</t>
    <phoneticPr fontId="2" type="noConversion"/>
  </si>
  <si>
    <t>晶豪科期貨次月提前一日轉倉</t>
    <phoneticPr fontId="2" type="noConversion"/>
  </si>
  <si>
    <t>晶豪科期貨202103</t>
    <phoneticPr fontId="2" type="noConversion"/>
  </si>
  <si>
    <t>晶豪科期貨202106</t>
    <phoneticPr fontId="2" type="noConversion"/>
  </si>
  <si>
    <t>晶豪科期貨202109</t>
    <phoneticPr fontId="2" type="noConversion"/>
  </si>
  <si>
    <t>晶豪科期貨202112</t>
    <phoneticPr fontId="2" type="noConversion"/>
  </si>
  <si>
    <t>大立光期貨近期</t>
    <phoneticPr fontId="2" type="noConversion"/>
  </si>
  <si>
    <t>大立光期貨近期提前一日轉倉</t>
    <phoneticPr fontId="2" type="noConversion"/>
  </si>
  <si>
    <t>大立光期貨次月</t>
    <phoneticPr fontId="2" type="noConversion"/>
  </si>
  <si>
    <t>大立光期貨次月提前一日轉倉</t>
    <phoneticPr fontId="2" type="noConversion"/>
  </si>
  <si>
    <t>大立光期貨202103</t>
    <phoneticPr fontId="2" type="noConversion"/>
  </si>
  <si>
    <t>大立光期貨202106</t>
    <phoneticPr fontId="2" type="noConversion"/>
  </si>
  <si>
    <t>大立光期貨202109</t>
    <phoneticPr fontId="2" type="noConversion"/>
  </si>
  <si>
    <t>大立光期貨202112</t>
    <phoneticPr fontId="2" type="noConversion"/>
  </si>
  <si>
    <t>亞光期貨近期</t>
    <phoneticPr fontId="2" type="noConversion"/>
  </si>
  <si>
    <t>亞光期貨近期提前一日轉倉</t>
    <phoneticPr fontId="2" type="noConversion"/>
  </si>
  <si>
    <t>亞光期貨次月</t>
    <phoneticPr fontId="2" type="noConversion"/>
  </si>
  <si>
    <t>亞光期貨次月提前一日轉倉</t>
    <phoneticPr fontId="2" type="noConversion"/>
  </si>
  <si>
    <t>亞光期貨202103</t>
    <phoneticPr fontId="2" type="noConversion"/>
  </si>
  <si>
    <t>亞光期貨202106</t>
    <phoneticPr fontId="2" type="noConversion"/>
  </si>
  <si>
    <t>亞光期貨202109</t>
    <phoneticPr fontId="2" type="noConversion"/>
  </si>
  <si>
    <t>亞光期貨202112</t>
    <phoneticPr fontId="2" type="noConversion"/>
  </si>
  <si>
    <t>聯詠期貨近期</t>
    <phoneticPr fontId="2" type="noConversion"/>
  </si>
  <si>
    <t>聯詠期貨近期提前一日轉倉</t>
    <phoneticPr fontId="2" type="noConversion"/>
  </si>
  <si>
    <t>聯詠期貨次月</t>
    <phoneticPr fontId="2" type="noConversion"/>
  </si>
  <si>
    <t>聯詠期貨次月提前一日轉倉</t>
    <phoneticPr fontId="2" type="noConversion"/>
  </si>
  <si>
    <t>聯詠期貨202103</t>
    <phoneticPr fontId="2" type="noConversion"/>
  </si>
  <si>
    <t>聯詠期貨202106</t>
    <phoneticPr fontId="2" type="noConversion"/>
  </si>
  <si>
    <t>聯詠期貨202109</t>
    <phoneticPr fontId="2" type="noConversion"/>
  </si>
  <si>
    <t>聯詠期貨202112</t>
    <phoneticPr fontId="2" type="noConversion"/>
  </si>
  <si>
    <t>智原期貨近期</t>
    <phoneticPr fontId="2" type="noConversion"/>
  </si>
  <si>
    <t>智原期貨近期提前一日轉倉</t>
    <phoneticPr fontId="2" type="noConversion"/>
  </si>
  <si>
    <t>智原期貨次月</t>
    <phoneticPr fontId="2" type="noConversion"/>
  </si>
  <si>
    <t>智原期貨次月提前一日轉倉</t>
    <phoneticPr fontId="2" type="noConversion"/>
  </si>
  <si>
    <t>智原期貨202103</t>
    <phoneticPr fontId="2" type="noConversion"/>
  </si>
  <si>
    <t>智原期貨202106</t>
    <phoneticPr fontId="2" type="noConversion"/>
  </si>
  <si>
    <t>智原期貨202109</t>
    <phoneticPr fontId="2" type="noConversion"/>
  </si>
  <si>
    <t>智原期貨202112</t>
    <phoneticPr fontId="2" type="noConversion"/>
  </si>
  <si>
    <t>文曄期貨近期</t>
    <phoneticPr fontId="2" type="noConversion"/>
  </si>
  <si>
    <t>文曄期貨近期提前一日轉倉</t>
    <phoneticPr fontId="2" type="noConversion"/>
  </si>
  <si>
    <t>文曄期貨次月</t>
    <phoneticPr fontId="2" type="noConversion"/>
  </si>
  <si>
    <t>文曄期貨次月提前一日轉倉</t>
    <phoneticPr fontId="2" type="noConversion"/>
  </si>
  <si>
    <t>文曄期貨202103</t>
    <phoneticPr fontId="2" type="noConversion"/>
  </si>
  <si>
    <t>文曄期貨202106</t>
    <phoneticPr fontId="2" type="noConversion"/>
  </si>
  <si>
    <t>文曄期貨202109</t>
    <phoneticPr fontId="2" type="noConversion"/>
  </si>
  <si>
    <t>文曄期貨202112</t>
    <phoneticPr fontId="2" type="noConversion"/>
  </si>
  <si>
    <t>欣興期貨近期</t>
    <phoneticPr fontId="2" type="noConversion"/>
  </si>
  <si>
    <t>欣興期貨近期提前一日轉倉</t>
    <phoneticPr fontId="2" type="noConversion"/>
  </si>
  <si>
    <t>欣興期貨次月</t>
    <phoneticPr fontId="2" type="noConversion"/>
  </si>
  <si>
    <t>欣興期貨次月提前一日轉倉</t>
    <phoneticPr fontId="2" type="noConversion"/>
  </si>
  <si>
    <t>欣興期貨202103</t>
    <phoneticPr fontId="2" type="noConversion"/>
  </si>
  <si>
    <t>欣興期貨202106</t>
    <phoneticPr fontId="2" type="noConversion"/>
  </si>
  <si>
    <t>欣興期貨202109</t>
    <phoneticPr fontId="2" type="noConversion"/>
  </si>
  <si>
    <t>欣興期貨202112</t>
    <phoneticPr fontId="2" type="noConversion"/>
  </si>
  <si>
    <t>晶技期貨近期</t>
    <phoneticPr fontId="2" type="noConversion"/>
  </si>
  <si>
    <t>晶技期貨近期提前一日轉倉</t>
    <phoneticPr fontId="2" type="noConversion"/>
  </si>
  <si>
    <t>晶技期貨次月</t>
    <phoneticPr fontId="2" type="noConversion"/>
  </si>
  <si>
    <t>晶技期貨次月提前一日轉倉</t>
    <phoneticPr fontId="2" type="noConversion"/>
  </si>
  <si>
    <t>晶技期貨202103</t>
    <phoneticPr fontId="2" type="noConversion"/>
  </si>
  <si>
    <t>晶技期貨202106</t>
    <phoneticPr fontId="2" type="noConversion"/>
  </si>
  <si>
    <t>晶技期貨202109</t>
    <phoneticPr fontId="2" type="noConversion"/>
  </si>
  <si>
    <t>晶技期貨202112</t>
    <phoneticPr fontId="2" type="noConversion"/>
  </si>
  <si>
    <t>景碩期貨近期</t>
    <phoneticPr fontId="2" type="noConversion"/>
  </si>
  <si>
    <t>景碩期貨近期提前一日轉倉</t>
    <phoneticPr fontId="2" type="noConversion"/>
  </si>
  <si>
    <t>景碩期貨次月</t>
    <phoneticPr fontId="2" type="noConversion"/>
  </si>
  <si>
    <t>景碩期貨次月提前一日轉倉</t>
    <phoneticPr fontId="2" type="noConversion"/>
  </si>
  <si>
    <t>景碩期貨202103</t>
    <phoneticPr fontId="2" type="noConversion"/>
  </si>
  <si>
    <t>景碩期貨202106</t>
    <phoneticPr fontId="2" type="noConversion"/>
  </si>
  <si>
    <t>景碩期貨202109</t>
    <phoneticPr fontId="2" type="noConversion"/>
  </si>
  <si>
    <t>景碩期貨202112</t>
    <phoneticPr fontId="2" type="noConversion"/>
  </si>
  <si>
    <t>新日興期貨近期</t>
    <phoneticPr fontId="2" type="noConversion"/>
  </si>
  <si>
    <t>新日興期貨近期提前一日轉倉</t>
    <phoneticPr fontId="2" type="noConversion"/>
  </si>
  <si>
    <t>新日興期貨次月</t>
    <phoneticPr fontId="2" type="noConversion"/>
  </si>
  <si>
    <t>新日興期貨次月提前一日轉倉</t>
    <phoneticPr fontId="2" type="noConversion"/>
  </si>
  <si>
    <t>新日興期貨202103</t>
    <phoneticPr fontId="2" type="noConversion"/>
  </si>
  <si>
    <t>新日興期貨202106</t>
    <phoneticPr fontId="2" type="noConversion"/>
  </si>
  <si>
    <t>新日興期貨202109</t>
    <phoneticPr fontId="2" type="noConversion"/>
  </si>
  <si>
    <t>新日興期貨202112</t>
    <phoneticPr fontId="2" type="noConversion"/>
  </si>
  <si>
    <t>明泰期貨近期</t>
    <phoneticPr fontId="2" type="noConversion"/>
  </si>
  <si>
    <t>明泰期貨近期提前一日轉倉</t>
    <phoneticPr fontId="2" type="noConversion"/>
  </si>
  <si>
    <t>明泰期貨次月</t>
    <phoneticPr fontId="2" type="noConversion"/>
  </si>
  <si>
    <t>明泰期貨次月提前一日轉倉</t>
    <phoneticPr fontId="2" type="noConversion"/>
  </si>
  <si>
    <t>明泰期貨202103</t>
    <phoneticPr fontId="2" type="noConversion"/>
  </si>
  <si>
    <t>明泰期貨202106</t>
    <phoneticPr fontId="2" type="noConversion"/>
  </si>
  <si>
    <t>明泰期貨202109</t>
    <phoneticPr fontId="2" type="noConversion"/>
  </si>
  <si>
    <t>明泰期貨202112</t>
    <phoneticPr fontId="2" type="noConversion"/>
  </si>
  <si>
    <t>創意期貨近期</t>
    <phoneticPr fontId="2" type="noConversion"/>
  </si>
  <si>
    <t>創意期貨近期提前一日轉倉</t>
    <phoneticPr fontId="2" type="noConversion"/>
  </si>
  <si>
    <t>創意期貨次月</t>
    <phoneticPr fontId="2" type="noConversion"/>
  </si>
  <si>
    <t>創意期貨次月提前一日轉倉</t>
    <phoneticPr fontId="2" type="noConversion"/>
  </si>
  <si>
    <t>創意期貨202103</t>
    <phoneticPr fontId="2" type="noConversion"/>
  </si>
  <si>
    <t>創意期貨202106</t>
    <phoneticPr fontId="2" type="noConversion"/>
  </si>
  <si>
    <t>創意期貨202109</t>
    <phoneticPr fontId="2" type="noConversion"/>
  </si>
  <si>
    <t>創意期貨202112</t>
    <phoneticPr fontId="2" type="noConversion"/>
  </si>
  <si>
    <t>嘉澤期貨近期</t>
    <phoneticPr fontId="2" type="noConversion"/>
  </si>
  <si>
    <t>嘉澤期貨近期提前一日轉倉</t>
    <phoneticPr fontId="2" type="noConversion"/>
  </si>
  <si>
    <t>嘉澤期貨次月</t>
    <phoneticPr fontId="2" type="noConversion"/>
  </si>
  <si>
    <t>嘉澤期貨次月提前一日轉倉</t>
    <phoneticPr fontId="2" type="noConversion"/>
  </si>
  <si>
    <t>嘉澤期貨202103</t>
    <phoneticPr fontId="2" type="noConversion"/>
  </si>
  <si>
    <t>嘉澤期貨202106</t>
    <phoneticPr fontId="2" type="noConversion"/>
  </si>
  <si>
    <t>嘉澤期貨202109</t>
    <phoneticPr fontId="2" type="noConversion"/>
  </si>
  <si>
    <t>嘉澤期貨202112</t>
    <phoneticPr fontId="2" type="noConversion"/>
  </si>
  <si>
    <t>健策期貨近期</t>
    <phoneticPr fontId="2" type="noConversion"/>
  </si>
  <si>
    <t>健策期貨近期提前一日轉倉</t>
    <phoneticPr fontId="2" type="noConversion"/>
  </si>
  <si>
    <t>健策期貨次月</t>
    <phoneticPr fontId="2" type="noConversion"/>
  </si>
  <si>
    <t>健策期貨次月提前一日轉倉</t>
    <phoneticPr fontId="2" type="noConversion"/>
  </si>
  <si>
    <t>健策期貨202103</t>
    <phoneticPr fontId="2" type="noConversion"/>
  </si>
  <si>
    <t>健策期貨202106</t>
    <phoneticPr fontId="2" type="noConversion"/>
  </si>
  <si>
    <t>健策期貨202109</t>
    <phoneticPr fontId="2" type="noConversion"/>
  </si>
  <si>
    <t>健策期貨202112</t>
    <phoneticPr fontId="2" type="noConversion"/>
  </si>
  <si>
    <t>TPK-KY期貨近期</t>
    <phoneticPr fontId="2" type="noConversion"/>
  </si>
  <si>
    <t>TPK-KY期貨近期提前一日轉倉</t>
    <phoneticPr fontId="2" type="noConversion"/>
  </si>
  <si>
    <t>TPK-KY期貨次月</t>
    <phoneticPr fontId="2" type="noConversion"/>
  </si>
  <si>
    <t>TPK-KY期貨次月提前一日轉倉</t>
    <phoneticPr fontId="2" type="noConversion"/>
  </si>
  <si>
    <t>TPK-KY期貨202103</t>
    <phoneticPr fontId="2" type="noConversion"/>
  </si>
  <si>
    <t>TPK-KY期貨202106</t>
    <phoneticPr fontId="2" type="noConversion"/>
  </si>
  <si>
    <t>TPK-KY期貨202109</t>
    <phoneticPr fontId="2" type="noConversion"/>
  </si>
  <si>
    <t>TPK-KY期貨202112</t>
    <phoneticPr fontId="2" type="noConversion"/>
  </si>
  <si>
    <t>大聯大期貨近期</t>
    <phoneticPr fontId="2" type="noConversion"/>
  </si>
  <si>
    <t>大聯大期貨近期提前一日轉倉</t>
    <phoneticPr fontId="2" type="noConversion"/>
  </si>
  <si>
    <t>大聯大期貨次月</t>
    <phoneticPr fontId="2" type="noConversion"/>
  </si>
  <si>
    <t>大聯大期貨次月提前一日轉倉</t>
    <phoneticPr fontId="2" type="noConversion"/>
  </si>
  <si>
    <t>大聯大期貨202103</t>
    <phoneticPr fontId="2" type="noConversion"/>
  </si>
  <si>
    <t>大聯大期貨202106</t>
    <phoneticPr fontId="2" type="noConversion"/>
  </si>
  <si>
    <t>大聯大期貨202109</t>
    <phoneticPr fontId="2" type="noConversion"/>
  </si>
  <si>
    <t>大聯大期貨202112</t>
    <phoneticPr fontId="2" type="noConversion"/>
  </si>
  <si>
    <t>和碩期貨近期</t>
    <phoneticPr fontId="2" type="noConversion"/>
  </si>
  <si>
    <t>和碩期貨近期提前一日轉倉</t>
    <phoneticPr fontId="2" type="noConversion"/>
  </si>
  <si>
    <t>和碩期貨次月</t>
    <phoneticPr fontId="2" type="noConversion"/>
  </si>
  <si>
    <t>和碩期貨次月提前一日轉倉</t>
    <phoneticPr fontId="2" type="noConversion"/>
  </si>
  <si>
    <t>和碩期貨202103</t>
    <phoneticPr fontId="2" type="noConversion"/>
  </si>
  <si>
    <t>和碩期貨202106</t>
    <phoneticPr fontId="2" type="noConversion"/>
  </si>
  <si>
    <t>和碩期貨202109</t>
    <phoneticPr fontId="2" type="noConversion"/>
  </si>
  <si>
    <t>和碩期貨202112</t>
    <phoneticPr fontId="2" type="noConversion"/>
  </si>
  <si>
    <t>長虹期貨近期</t>
    <phoneticPr fontId="2" type="noConversion"/>
  </si>
  <si>
    <t>長虹期貨近期提前一日轉倉</t>
    <phoneticPr fontId="2" type="noConversion"/>
  </si>
  <si>
    <t>長虹期貨次月</t>
    <phoneticPr fontId="2" type="noConversion"/>
  </si>
  <si>
    <t>長虹期貨次月提前一日轉倉</t>
    <phoneticPr fontId="2" type="noConversion"/>
  </si>
  <si>
    <t>長虹期貨202103</t>
    <phoneticPr fontId="2" type="noConversion"/>
  </si>
  <si>
    <t>長虹期貨202106</t>
    <phoneticPr fontId="2" type="noConversion"/>
  </si>
  <si>
    <t>長虹期貨202109</t>
    <phoneticPr fontId="2" type="noConversion"/>
  </si>
  <si>
    <t>長虹期貨202112</t>
    <phoneticPr fontId="2" type="noConversion"/>
  </si>
  <si>
    <t>嘉聯益期貨近期</t>
    <phoneticPr fontId="2" type="noConversion"/>
  </si>
  <si>
    <t>嘉聯益期貨近期提前一日轉倉</t>
    <phoneticPr fontId="2" type="noConversion"/>
  </si>
  <si>
    <t>嘉聯益期貨次月</t>
    <phoneticPr fontId="2" type="noConversion"/>
  </si>
  <si>
    <t>嘉聯益期貨次月提前一日轉倉</t>
    <phoneticPr fontId="2" type="noConversion"/>
  </si>
  <si>
    <t>嘉聯益期貨202103</t>
    <phoneticPr fontId="2" type="noConversion"/>
  </si>
  <si>
    <t>嘉聯益期貨202106</t>
    <phoneticPr fontId="2" type="noConversion"/>
  </si>
  <si>
    <t>嘉聯益期貨202109</t>
    <phoneticPr fontId="2" type="noConversion"/>
  </si>
  <si>
    <t>嘉聯益期貨202112</t>
    <phoneticPr fontId="2" type="noConversion"/>
  </si>
  <si>
    <t>瑞儀期貨近期</t>
    <phoneticPr fontId="2" type="noConversion"/>
  </si>
  <si>
    <t>瑞儀期貨近期提前一日轉倉</t>
    <phoneticPr fontId="2" type="noConversion"/>
  </si>
  <si>
    <t>瑞儀期貨次月</t>
    <phoneticPr fontId="2" type="noConversion"/>
  </si>
  <si>
    <t>瑞儀期貨次月提前一日轉倉</t>
    <phoneticPr fontId="2" type="noConversion"/>
  </si>
  <si>
    <t>瑞儀期貨202103</t>
    <phoneticPr fontId="2" type="noConversion"/>
  </si>
  <si>
    <t>瑞儀期貨202106</t>
    <phoneticPr fontId="2" type="noConversion"/>
  </si>
  <si>
    <t>瑞儀期貨202109</t>
    <phoneticPr fontId="2" type="noConversion"/>
  </si>
  <si>
    <t>瑞儀期貨202112</t>
    <phoneticPr fontId="2" type="noConversion"/>
  </si>
  <si>
    <t>聯茂期貨近期</t>
    <phoneticPr fontId="2" type="noConversion"/>
  </si>
  <si>
    <t>聯茂期貨近期提前一日轉倉</t>
    <phoneticPr fontId="2" type="noConversion"/>
  </si>
  <si>
    <t>聯茂期貨次月</t>
    <phoneticPr fontId="2" type="noConversion"/>
  </si>
  <si>
    <t>聯茂期貨次月提前一日轉倉</t>
    <phoneticPr fontId="2" type="noConversion"/>
  </si>
  <si>
    <t>聯茂期貨202103</t>
    <phoneticPr fontId="2" type="noConversion"/>
  </si>
  <si>
    <t>聯茂期貨202106</t>
    <phoneticPr fontId="2" type="noConversion"/>
  </si>
  <si>
    <t>聯茂期貨202109</t>
    <phoneticPr fontId="2" type="noConversion"/>
  </si>
  <si>
    <t>聯茂期貨202112</t>
    <phoneticPr fontId="2" type="noConversion"/>
  </si>
  <si>
    <t>力成期貨近期</t>
    <phoneticPr fontId="2" type="noConversion"/>
  </si>
  <si>
    <t>力成期貨近期提前一日轉倉</t>
    <phoneticPr fontId="2" type="noConversion"/>
  </si>
  <si>
    <t>力成期貨次月</t>
    <phoneticPr fontId="2" type="noConversion"/>
  </si>
  <si>
    <t>力成期貨次月提前一日轉倉</t>
    <phoneticPr fontId="2" type="noConversion"/>
  </si>
  <si>
    <t>力成期貨202103</t>
    <phoneticPr fontId="2" type="noConversion"/>
  </si>
  <si>
    <t>力成期貨202106</t>
    <phoneticPr fontId="2" type="noConversion"/>
  </si>
  <si>
    <t>力成期貨202109</t>
    <phoneticPr fontId="2" type="noConversion"/>
  </si>
  <si>
    <t>力成期貨202112</t>
    <phoneticPr fontId="2" type="noConversion"/>
  </si>
  <si>
    <t>同欣電期貨近期</t>
    <phoneticPr fontId="2" type="noConversion"/>
  </si>
  <si>
    <t>同欣電期貨近期提前一日轉倉</t>
    <phoneticPr fontId="2" type="noConversion"/>
  </si>
  <si>
    <t>同欣電期貨次月</t>
    <phoneticPr fontId="2" type="noConversion"/>
  </si>
  <si>
    <t>同欣電期貨次月提前一日轉倉</t>
    <phoneticPr fontId="2" type="noConversion"/>
  </si>
  <si>
    <t>同欣電期貨202103</t>
    <phoneticPr fontId="2" type="noConversion"/>
  </si>
  <si>
    <t>同欣電期貨202106</t>
    <phoneticPr fontId="2" type="noConversion"/>
  </si>
  <si>
    <t>同欣電期貨202109</t>
    <phoneticPr fontId="2" type="noConversion"/>
  </si>
  <si>
    <t>同欣電期貨202112</t>
    <phoneticPr fontId="2" type="noConversion"/>
  </si>
  <si>
    <t>台表科期貨近期</t>
    <phoneticPr fontId="2" type="noConversion"/>
  </si>
  <si>
    <t>台表科期貨近期提前一日轉倉</t>
    <phoneticPr fontId="2" type="noConversion"/>
  </si>
  <si>
    <t>台表科期貨次月</t>
    <phoneticPr fontId="2" type="noConversion"/>
  </si>
  <si>
    <t>台表科期貨次月提前一日轉倉</t>
    <phoneticPr fontId="2" type="noConversion"/>
  </si>
  <si>
    <t>台表科期貨202103</t>
    <phoneticPr fontId="2" type="noConversion"/>
  </si>
  <si>
    <t>台表科期貨202106</t>
    <phoneticPr fontId="2" type="noConversion"/>
  </si>
  <si>
    <t>台表科期貨202109</t>
    <phoneticPr fontId="2" type="noConversion"/>
  </si>
  <si>
    <t>台表科期貨202112</t>
    <phoneticPr fontId="2" type="noConversion"/>
  </si>
  <si>
    <t>康舒期貨近期</t>
    <phoneticPr fontId="2" type="noConversion"/>
  </si>
  <si>
    <t>康舒期貨近期提前一日轉倉</t>
    <phoneticPr fontId="2" type="noConversion"/>
  </si>
  <si>
    <t>康舒期貨次月</t>
    <phoneticPr fontId="2" type="noConversion"/>
  </si>
  <si>
    <t>康舒期貨次月提前一日轉倉</t>
    <phoneticPr fontId="2" type="noConversion"/>
  </si>
  <si>
    <t>康舒期貨202103</t>
    <phoneticPr fontId="2" type="noConversion"/>
  </si>
  <si>
    <t>康舒期貨202106</t>
    <phoneticPr fontId="2" type="noConversion"/>
  </si>
  <si>
    <t>康舒期貨202109</t>
    <phoneticPr fontId="2" type="noConversion"/>
  </si>
  <si>
    <t>康舒期貨202112</t>
    <phoneticPr fontId="2" type="noConversion"/>
  </si>
  <si>
    <t>啟碁期貨近期</t>
    <phoneticPr fontId="2" type="noConversion"/>
  </si>
  <si>
    <t>啟碁期貨近期提前一日轉倉</t>
    <phoneticPr fontId="2" type="noConversion"/>
  </si>
  <si>
    <t>啟碁期貨次月</t>
    <phoneticPr fontId="2" type="noConversion"/>
  </si>
  <si>
    <t>啟碁期貨次月提前一日轉倉</t>
    <phoneticPr fontId="2" type="noConversion"/>
  </si>
  <si>
    <t>啟碁期貨202103</t>
    <phoneticPr fontId="2" type="noConversion"/>
  </si>
  <si>
    <t>啟碁期貨202106</t>
    <phoneticPr fontId="2" type="noConversion"/>
  </si>
  <si>
    <t>啟碁期貨202109</t>
    <phoneticPr fontId="2" type="noConversion"/>
  </si>
  <si>
    <t>啟碁期貨202112</t>
    <phoneticPr fontId="2" type="noConversion"/>
  </si>
  <si>
    <t>台虹期貨近期</t>
    <phoneticPr fontId="2" type="noConversion"/>
  </si>
  <si>
    <t>台虹期貨近期提前一日轉倉</t>
    <phoneticPr fontId="2" type="noConversion"/>
  </si>
  <si>
    <t>台虹期貨次月</t>
    <phoneticPr fontId="2" type="noConversion"/>
  </si>
  <si>
    <t>台虹期貨次月提前一日轉倉</t>
    <phoneticPr fontId="2" type="noConversion"/>
  </si>
  <si>
    <t>台虹期貨202103</t>
    <phoneticPr fontId="2" type="noConversion"/>
  </si>
  <si>
    <t>台虹期貨202106</t>
    <phoneticPr fontId="2" type="noConversion"/>
  </si>
  <si>
    <t>台虹期貨202109</t>
    <phoneticPr fontId="2" type="noConversion"/>
  </si>
  <si>
    <t>台虹期貨202112</t>
    <phoneticPr fontId="2" type="noConversion"/>
  </si>
  <si>
    <t>達方期貨近期</t>
    <phoneticPr fontId="2" type="noConversion"/>
  </si>
  <si>
    <t>達方期貨近期提前一日轉倉</t>
    <phoneticPr fontId="2" type="noConversion"/>
  </si>
  <si>
    <t>達方期貨次月</t>
    <phoneticPr fontId="2" type="noConversion"/>
  </si>
  <si>
    <t>達方期貨次月提前一日轉倉</t>
    <phoneticPr fontId="2" type="noConversion"/>
  </si>
  <si>
    <t>達方期貨202103</t>
    <phoneticPr fontId="2" type="noConversion"/>
  </si>
  <si>
    <t>達方期貨202106</t>
    <phoneticPr fontId="2" type="noConversion"/>
  </si>
  <si>
    <t>達方期貨202109</t>
    <phoneticPr fontId="2" type="noConversion"/>
  </si>
  <si>
    <t>達方期貨202112</t>
    <phoneticPr fontId="2" type="noConversion"/>
  </si>
  <si>
    <t>寶成期貨近期</t>
    <phoneticPr fontId="2" type="noConversion"/>
  </si>
  <si>
    <t>寶成期貨近期提前一日轉倉</t>
    <phoneticPr fontId="2" type="noConversion"/>
  </si>
  <si>
    <t>寶成期貨次月</t>
    <phoneticPr fontId="2" type="noConversion"/>
  </si>
  <si>
    <t>寶成期貨次月提前一日轉倉</t>
    <phoneticPr fontId="2" type="noConversion"/>
  </si>
  <si>
    <t>寶成期貨202103</t>
    <phoneticPr fontId="2" type="noConversion"/>
  </si>
  <si>
    <t>寶成期貨202106</t>
    <phoneticPr fontId="2" type="noConversion"/>
  </si>
  <si>
    <t>寶成期貨202109</t>
    <phoneticPr fontId="2" type="noConversion"/>
  </si>
  <si>
    <t>寶成期貨202112</t>
    <phoneticPr fontId="2" type="noConversion"/>
  </si>
  <si>
    <t>宏全期貨近期</t>
    <phoneticPr fontId="2" type="noConversion"/>
  </si>
  <si>
    <t>宏全期貨近期提前一日轉倉</t>
    <phoneticPr fontId="2" type="noConversion"/>
  </si>
  <si>
    <t>宏全期貨次月</t>
    <phoneticPr fontId="2" type="noConversion"/>
  </si>
  <si>
    <t>宏全期貨次月提前一日轉倉</t>
    <phoneticPr fontId="2" type="noConversion"/>
  </si>
  <si>
    <t>宏全期貨202103</t>
    <phoneticPr fontId="2" type="noConversion"/>
  </si>
  <si>
    <t>宏全期貨202106</t>
    <phoneticPr fontId="2" type="noConversion"/>
  </si>
  <si>
    <t>宏全期貨202109</t>
    <phoneticPr fontId="2" type="noConversion"/>
  </si>
  <si>
    <t>宏全期貨202112</t>
    <phoneticPr fontId="2" type="noConversion"/>
  </si>
  <si>
    <t>潤泰新期貨近期</t>
    <phoneticPr fontId="2" type="noConversion"/>
  </si>
  <si>
    <t>潤泰新期貨近期提前一日轉倉</t>
    <phoneticPr fontId="2" type="noConversion"/>
  </si>
  <si>
    <t>潤泰新期貨次月</t>
    <phoneticPr fontId="2" type="noConversion"/>
  </si>
  <si>
    <t>潤泰新期貨次月提前一日轉倉</t>
    <phoneticPr fontId="2" type="noConversion"/>
  </si>
  <si>
    <t>潤泰新期貨202103</t>
    <phoneticPr fontId="2" type="noConversion"/>
  </si>
  <si>
    <t>潤泰新期貨202106</t>
    <phoneticPr fontId="2" type="noConversion"/>
  </si>
  <si>
    <t>潤泰新期貨202109</t>
    <phoneticPr fontId="2" type="noConversion"/>
  </si>
  <si>
    <t>潤泰新期貨202112</t>
    <phoneticPr fontId="2" type="noConversion"/>
  </si>
  <si>
    <t>聚陽期貨近期</t>
    <phoneticPr fontId="2" type="noConversion"/>
  </si>
  <si>
    <t>聚陽期貨近期提前一日轉倉</t>
    <phoneticPr fontId="2" type="noConversion"/>
  </si>
  <si>
    <t>聚陽期貨次月</t>
    <phoneticPr fontId="2" type="noConversion"/>
  </si>
  <si>
    <t>聚陽期貨次月提前一日轉倉</t>
    <phoneticPr fontId="2" type="noConversion"/>
  </si>
  <si>
    <t>聚陽期貨202103</t>
    <phoneticPr fontId="2" type="noConversion"/>
  </si>
  <si>
    <t>聚陽期貨202106</t>
    <phoneticPr fontId="2" type="noConversion"/>
  </si>
  <si>
    <t>聚陽期貨202109</t>
    <phoneticPr fontId="2" type="noConversion"/>
  </si>
  <si>
    <t>聚陽期貨202112</t>
    <phoneticPr fontId="2" type="noConversion"/>
  </si>
  <si>
    <t>廣宇期貨近期</t>
    <phoneticPr fontId="2" type="noConversion"/>
  </si>
  <si>
    <t>廣宇期貨近期提前一日轉倉</t>
    <phoneticPr fontId="2" type="noConversion"/>
  </si>
  <si>
    <t>廣宇期貨次月</t>
    <phoneticPr fontId="2" type="noConversion"/>
  </si>
  <si>
    <t>廣宇期貨次月提前一日轉倉</t>
    <phoneticPr fontId="2" type="noConversion"/>
  </si>
  <si>
    <t>廣宇期貨202103</t>
    <phoneticPr fontId="2" type="noConversion"/>
  </si>
  <si>
    <t>廣宇期貨202106</t>
    <phoneticPr fontId="2" type="noConversion"/>
  </si>
  <si>
    <t>廣宇期貨202109</t>
    <phoneticPr fontId="2" type="noConversion"/>
  </si>
  <si>
    <t>廣宇期貨202112</t>
    <phoneticPr fontId="2" type="noConversion"/>
  </si>
  <si>
    <t>健鼎期貨近期</t>
    <phoneticPr fontId="2" type="noConversion"/>
  </si>
  <si>
    <t>健鼎期貨近期提前一日轉倉</t>
    <phoneticPr fontId="2" type="noConversion"/>
  </si>
  <si>
    <t>健鼎期貨次月</t>
    <phoneticPr fontId="2" type="noConversion"/>
  </si>
  <si>
    <t>健鼎期貨次月提前一日轉倉</t>
    <phoneticPr fontId="2" type="noConversion"/>
  </si>
  <si>
    <t>健鼎期貨202103</t>
    <phoneticPr fontId="2" type="noConversion"/>
  </si>
  <si>
    <t>健鼎期貨202106</t>
    <phoneticPr fontId="2" type="noConversion"/>
  </si>
  <si>
    <t>健鼎期貨202109</t>
    <phoneticPr fontId="2" type="noConversion"/>
  </si>
  <si>
    <t>健鼎期貨202112</t>
    <phoneticPr fontId="2" type="noConversion"/>
  </si>
  <si>
    <t>台灣大期貨近期</t>
    <phoneticPr fontId="2" type="noConversion"/>
  </si>
  <si>
    <t>台灣大期貨近期提前一日轉倉</t>
    <phoneticPr fontId="2" type="noConversion"/>
  </si>
  <si>
    <t>台灣大期貨次月</t>
    <phoneticPr fontId="2" type="noConversion"/>
  </si>
  <si>
    <t>台灣大期貨次月提前一日轉倉</t>
    <phoneticPr fontId="2" type="noConversion"/>
  </si>
  <si>
    <t>台灣大期貨202103</t>
    <phoneticPr fontId="2" type="noConversion"/>
  </si>
  <si>
    <t>台灣大期貨202106</t>
    <phoneticPr fontId="2" type="noConversion"/>
  </si>
  <si>
    <t>台灣大期貨202109</t>
    <phoneticPr fontId="2" type="noConversion"/>
  </si>
  <si>
    <t>台灣大期貨202112</t>
    <phoneticPr fontId="2" type="noConversion"/>
  </si>
  <si>
    <t>玉晶光期貨近期</t>
    <phoneticPr fontId="2" type="noConversion"/>
  </si>
  <si>
    <t>玉晶光期貨近期提前一日轉倉</t>
    <phoneticPr fontId="2" type="noConversion"/>
  </si>
  <si>
    <t>玉晶光期貨次月</t>
    <phoneticPr fontId="2" type="noConversion"/>
  </si>
  <si>
    <t>玉晶光期貨次月提前一日轉倉</t>
    <phoneticPr fontId="2" type="noConversion"/>
  </si>
  <si>
    <t>玉晶光期貨202103</t>
    <phoneticPr fontId="2" type="noConversion"/>
  </si>
  <si>
    <t>玉晶光期貨202106</t>
    <phoneticPr fontId="2" type="noConversion"/>
  </si>
  <si>
    <t>玉晶光期貨202109</t>
    <phoneticPr fontId="2" type="noConversion"/>
  </si>
  <si>
    <t>玉晶光期貨202112</t>
    <phoneticPr fontId="2" type="noConversion"/>
  </si>
  <si>
    <t>台郡期貨近期</t>
    <phoneticPr fontId="2" type="noConversion"/>
  </si>
  <si>
    <t>台郡期貨近期提前一日轉倉</t>
    <phoneticPr fontId="2" type="noConversion"/>
  </si>
  <si>
    <t>台郡期貨次月</t>
    <phoneticPr fontId="2" type="noConversion"/>
  </si>
  <si>
    <t>台郡期貨次月提前一日轉倉</t>
    <phoneticPr fontId="2" type="noConversion"/>
  </si>
  <si>
    <t>台郡期貨202103</t>
    <phoneticPr fontId="2" type="noConversion"/>
  </si>
  <si>
    <t>台郡期貨202106</t>
    <phoneticPr fontId="2" type="noConversion"/>
  </si>
  <si>
    <t>台郡期貨202109</t>
    <phoneticPr fontId="2" type="noConversion"/>
  </si>
  <si>
    <t>台郡期貨202112</t>
    <phoneticPr fontId="2" type="noConversion"/>
  </si>
  <si>
    <t>美利達期貨近期</t>
    <phoneticPr fontId="2" type="noConversion"/>
  </si>
  <si>
    <t>美利達期貨近期提前一日轉倉</t>
    <phoneticPr fontId="2" type="noConversion"/>
  </si>
  <si>
    <t>美利達期貨次月</t>
    <phoneticPr fontId="2" type="noConversion"/>
  </si>
  <si>
    <t>美利達期貨次月提前一日轉倉</t>
    <phoneticPr fontId="2" type="noConversion"/>
  </si>
  <si>
    <t>美利達期貨202103</t>
    <phoneticPr fontId="2" type="noConversion"/>
  </si>
  <si>
    <t>美利達期貨202106</t>
    <phoneticPr fontId="2" type="noConversion"/>
  </si>
  <si>
    <t>美利達期貨202109</t>
    <phoneticPr fontId="2" type="noConversion"/>
  </si>
  <si>
    <t>美利達期貨202112</t>
    <phoneticPr fontId="2" type="noConversion"/>
  </si>
  <si>
    <t>合庫金期貨近期</t>
    <phoneticPr fontId="2" type="noConversion"/>
  </si>
  <si>
    <t>合庫金期貨近期提前一日轉倉</t>
    <phoneticPr fontId="2" type="noConversion"/>
  </si>
  <si>
    <t>合庫金期貨次月</t>
    <phoneticPr fontId="2" type="noConversion"/>
  </si>
  <si>
    <t>合庫金期貨次月提前一日轉倉</t>
    <phoneticPr fontId="2" type="noConversion"/>
  </si>
  <si>
    <t>合庫金期貨202103</t>
    <phoneticPr fontId="2" type="noConversion"/>
  </si>
  <si>
    <t>合庫金期貨202106</t>
    <phoneticPr fontId="2" type="noConversion"/>
  </si>
  <si>
    <t>合庫金期貨202109</t>
    <phoneticPr fontId="2" type="noConversion"/>
  </si>
  <si>
    <t>合庫金期貨202112</t>
    <phoneticPr fontId="2" type="noConversion"/>
  </si>
  <si>
    <t>英業達期貨近期</t>
    <phoneticPr fontId="2" type="noConversion"/>
  </si>
  <si>
    <t>英業達期貨近期提前一日轉倉</t>
    <phoneticPr fontId="2" type="noConversion"/>
  </si>
  <si>
    <t>英業達期貨次月</t>
    <phoneticPr fontId="2" type="noConversion"/>
  </si>
  <si>
    <t>英業達期貨次月提前一日轉倉</t>
    <phoneticPr fontId="2" type="noConversion"/>
  </si>
  <si>
    <t>英業達期貨202103</t>
    <phoneticPr fontId="2" type="noConversion"/>
  </si>
  <si>
    <t>英業達期貨202106</t>
    <phoneticPr fontId="2" type="noConversion"/>
  </si>
  <si>
    <t>英業達期貨202109</t>
    <phoneticPr fontId="2" type="noConversion"/>
  </si>
  <si>
    <t>英業達期貨202112</t>
    <phoneticPr fontId="2" type="noConversion"/>
  </si>
  <si>
    <t>開發金期貨近期</t>
    <phoneticPr fontId="2" type="noConversion"/>
  </si>
  <si>
    <t>開發金期貨近期提前一日轉倉</t>
    <phoneticPr fontId="2" type="noConversion"/>
  </si>
  <si>
    <t>開發金期貨次月</t>
    <phoneticPr fontId="2" type="noConversion"/>
  </si>
  <si>
    <t>開發金期貨次月提前一日轉倉</t>
    <phoneticPr fontId="2" type="noConversion"/>
  </si>
  <si>
    <t>開發金期貨202103</t>
    <phoneticPr fontId="2" type="noConversion"/>
  </si>
  <si>
    <t>開發金期貨202106</t>
    <phoneticPr fontId="2" type="noConversion"/>
  </si>
  <si>
    <t>開發金期貨202109</t>
    <phoneticPr fontId="2" type="noConversion"/>
  </si>
  <si>
    <t>開發金期貨202112</t>
    <phoneticPr fontId="2" type="noConversion"/>
  </si>
  <si>
    <t>遠傳期貨近期</t>
    <phoneticPr fontId="2" type="noConversion"/>
  </si>
  <si>
    <t>遠傳期貨近期提前一日轉倉</t>
    <phoneticPr fontId="2" type="noConversion"/>
  </si>
  <si>
    <t>遠傳期貨次月</t>
    <phoneticPr fontId="2" type="noConversion"/>
  </si>
  <si>
    <t>遠傳期貨次月提前一日轉倉</t>
    <phoneticPr fontId="2" type="noConversion"/>
  </si>
  <si>
    <t>遠傳期貨202103</t>
    <phoneticPr fontId="2" type="noConversion"/>
  </si>
  <si>
    <t>遠傳期貨202106</t>
    <phoneticPr fontId="2" type="noConversion"/>
  </si>
  <si>
    <t>遠傳期貨202109</t>
    <phoneticPr fontId="2" type="noConversion"/>
  </si>
  <si>
    <t>遠傳期貨202112</t>
    <phoneticPr fontId="2" type="noConversion"/>
  </si>
  <si>
    <t>臻鼎-KY期貨近期</t>
    <phoneticPr fontId="2" type="noConversion"/>
  </si>
  <si>
    <t>臻鼎-KY期貨近期提前一日轉倉</t>
    <phoneticPr fontId="2" type="noConversion"/>
  </si>
  <si>
    <t>臻鼎-KY期貨次月</t>
    <phoneticPr fontId="2" type="noConversion"/>
  </si>
  <si>
    <t>臻鼎-KY期貨次月提前一日轉倉</t>
    <phoneticPr fontId="2" type="noConversion"/>
  </si>
  <si>
    <t>臻鼎-KY期貨202103</t>
    <phoneticPr fontId="2" type="noConversion"/>
  </si>
  <si>
    <t>臻鼎-KY期貨202103／06</t>
    <phoneticPr fontId="2" type="noConversion"/>
  </si>
  <si>
    <t>臻鼎-KY期貨202106</t>
    <phoneticPr fontId="2" type="noConversion"/>
  </si>
  <si>
    <t>臻鼎-KY期貨202109</t>
    <phoneticPr fontId="2" type="noConversion"/>
  </si>
  <si>
    <t>臻鼎-KY期貨202112</t>
    <phoneticPr fontId="2" type="noConversion"/>
  </si>
  <si>
    <t>中租-KY期貨近期</t>
    <phoneticPr fontId="2" type="noConversion"/>
  </si>
  <si>
    <t>中租-KY期貨近期提前一日轉倉</t>
    <phoneticPr fontId="2" type="noConversion"/>
  </si>
  <si>
    <t>中租-KY期貨次月</t>
    <phoneticPr fontId="2" type="noConversion"/>
  </si>
  <si>
    <t>中租-KY期貨次月提前一日轉倉</t>
    <phoneticPr fontId="2" type="noConversion"/>
  </si>
  <si>
    <t>中租-KY期貨202103</t>
    <phoneticPr fontId="2" type="noConversion"/>
  </si>
  <si>
    <t>中租-KY期貨202106</t>
    <phoneticPr fontId="2" type="noConversion"/>
  </si>
  <si>
    <t>中租-KY期貨202109</t>
    <phoneticPr fontId="2" type="noConversion"/>
  </si>
  <si>
    <t>中租-KY期貨202112</t>
    <phoneticPr fontId="2" type="noConversion"/>
  </si>
  <si>
    <t>儒鴻期貨近期</t>
    <phoneticPr fontId="2" type="noConversion"/>
  </si>
  <si>
    <t>儒鴻期貨近期提前一日轉倉</t>
    <phoneticPr fontId="2" type="noConversion"/>
  </si>
  <si>
    <t>儒鴻期貨次月</t>
    <phoneticPr fontId="2" type="noConversion"/>
  </si>
  <si>
    <t>儒鴻期貨次月提前一日轉倉</t>
    <phoneticPr fontId="2" type="noConversion"/>
  </si>
  <si>
    <t>儒鴻期貨202103</t>
    <phoneticPr fontId="2" type="noConversion"/>
  </si>
  <si>
    <t>儒鴻期貨202106</t>
    <phoneticPr fontId="2" type="noConversion"/>
  </si>
  <si>
    <t>儒鴻期貨202109</t>
    <phoneticPr fontId="2" type="noConversion"/>
  </si>
  <si>
    <t>儒鴻期貨202112</t>
    <phoneticPr fontId="2" type="noConversion"/>
  </si>
  <si>
    <t>國巨期貨近期</t>
    <phoneticPr fontId="2" type="noConversion"/>
  </si>
  <si>
    <t>國巨期貨近期提前一日轉倉</t>
    <phoneticPr fontId="2" type="noConversion"/>
  </si>
  <si>
    <t>國巨期貨次月</t>
    <phoneticPr fontId="2" type="noConversion"/>
  </si>
  <si>
    <t>國巨期貨次月提前一日轉倉</t>
    <phoneticPr fontId="2" type="noConversion"/>
  </si>
  <si>
    <t>國巨期貨202103</t>
    <phoneticPr fontId="2" type="noConversion"/>
  </si>
  <si>
    <t>國巨期貨202106</t>
    <phoneticPr fontId="2" type="noConversion"/>
  </si>
  <si>
    <t>國巨期貨202109</t>
    <phoneticPr fontId="2" type="noConversion"/>
  </si>
  <si>
    <t>國巨期貨202112</t>
    <phoneticPr fontId="2" type="noConversion"/>
  </si>
  <si>
    <t>南電期貨近期</t>
    <phoneticPr fontId="2" type="noConversion"/>
  </si>
  <si>
    <t>南電期貨近期提前一日轉倉</t>
    <phoneticPr fontId="2" type="noConversion"/>
  </si>
  <si>
    <t>南電期貨次月</t>
    <phoneticPr fontId="2" type="noConversion"/>
  </si>
  <si>
    <t>南電期貨次月提前一日轉倉</t>
    <phoneticPr fontId="2" type="noConversion"/>
  </si>
  <si>
    <t>南電期貨202103</t>
    <phoneticPr fontId="2" type="noConversion"/>
  </si>
  <si>
    <t>南電期貨202106</t>
    <phoneticPr fontId="2" type="noConversion"/>
  </si>
  <si>
    <t>南電期貨202109</t>
    <phoneticPr fontId="2" type="noConversion"/>
  </si>
  <si>
    <t>南電期貨202112</t>
    <phoneticPr fontId="2" type="noConversion"/>
  </si>
  <si>
    <t>葡萄王期貨近期</t>
    <phoneticPr fontId="2" type="noConversion"/>
  </si>
  <si>
    <t>葡萄王期貨近期提前一日轉倉</t>
    <phoneticPr fontId="2" type="noConversion"/>
  </si>
  <si>
    <t>葡萄王期貨次月</t>
    <phoneticPr fontId="2" type="noConversion"/>
  </si>
  <si>
    <t>葡萄王期貨次月提前一日轉倉</t>
    <phoneticPr fontId="2" type="noConversion"/>
  </si>
  <si>
    <t>葡萄王期貨202103</t>
    <phoneticPr fontId="2" type="noConversion"/>
  </si>
  <si>
    <t>葡萄王期貨202106</t>
    <phoneticPr fontId="2" type="noConversion"/>
  </si>
  <si>
    <t>葡萄王期貨202109</t>
    <phoneticPr fontId="2" type="noConversion"/>
  </si>
  <si>
    <t>葡萄王期貨202112</t>
    <phoneticPr fontId="2" type="noConversion"/>
  </si>
  <si>
    <t>敬鵬期貨近期</t>
    <phoneticPr fontId="2" type="noConversion"/>
  </si>
  <si>
    <t>敬鵬期貨近期提前一日轉倉</t>
    <phoneticPr fontId="2" type="noConversion"/>
  </si>
  <si>
    <t>敬鵬期貨次月</t>
    <phoneticPr fontId="2" type="noConversion"/>
  </si>
  <si>
    <t>敬鵬期貨次月提前一日轉倉</t>
    <phoneticPr fontId="2" type="noConversion"/>
  </si>
  <si>
    <t>敬鵬期貨202103</t>
    <phoneticPr fontId="2" type="noConversion"/>
  </si>
  <si>
    <t>敬鵬期貨202106</t>
    <phoneticPr fontId="2" type="noConversion"/>
  </si>
  <si>
    <t>敬鵬期貨202109</t>
    <phoneticPr fontId="2" type="noConversion"/>
  </si>
  <si>
    <t>敬鵬期貨202112</t>
    <phoneticPr fontId="2" type="noConversion"/>
  </si>
  <si>
    <t>致茂期貨近期</t>
    <phoneticPr fontId="2" type="noConversion"/>
  </si>
  <si>
    <t>致茂期貨近期提前一日轉倉</t>
    <phoneticPr fontId="2" type="noConversion"/>
  </si>
  <si>
    <t>致茂期貨次月</t>
    <phoneticPr fontId="2" type="noConversion"/>
  </si>
  <si>
    <t>致茂期貨次月提前一日轉倉</t>
    <phoneticPr fontId="2" type="noConversion"/>
  </si>
  <si>
    <t>致茂期貨202103</t>
    <phoneticPr fontId="2" type="noConversion"/>
  </si>
  <si>
    <t>致茂期貨202106</t>
    <phoneticPr fontId="2" type="noConversion"/>
  </si>
  <si>
    <t>致茂期貨202109</t>
    <phoneticPr fontId="2" type="noConversion"/>
  </si>
  <si>
    <t>致茂期貨202112</t>
    <phoneticPr fontId="2" type="noConversion"/>
  </si>
  <si>
    <t>美律期貨近期</t>
    <phoneticPr fontId="2" type="noConversion"/>
  </si>
  <si>
    <t>美律期貨近期提前一日轉倉</t>
    <phoneticPr fontId="2" type="noConversion"/>
  </si>
  <si>
    <t>美律期貨次月</t>
    <phoneticPr fontId="2" type="noConversion"/>
  </si>
  <si>
    <t>美律期貨次月提前一日轉倉</t>
    <phoneticPr fontId="2" type="noConversion"/>
  </si>
  <si>
    <t>美律期貨202103</t>
    <phoneticPr fontId="2" type="noConversion"/>
  </si>
  <si>
    <t>美律期貨202106</t>
    <phoneticPr fontId="2" type="noConversion"/>
  </si>
  <si>
    <t>美律期貨202109</t>
    <phoneticPr fontId="2" type="noConversion"/>
  </si>
  <si>
    <t>美律期貨202112</t>
    <phoneticPr fontId="2" type="noConversion"/>
  </si>
  <si>
    <t>精誠期貨近期</t>
    <phoneticPr fontId="2" type="noConversion"/>
  </si>
  <si>
    <t>精誠期貨近期提前一日轉倉</t>
    <phoneticPr fontId="2" type="noConversion"/>
  </si>
  <si>
    <t>精誠期貨次月</t>
    <phoneticPr fontId="2" type="noConversion"/>
  </si>
  <si>
    <t>精誠期貨次月提前一日轉倉</t>
    <phoneticPr fontId="2" type="noConversion"/>
  </si>
  <si>
    <t>精誠期貨202103</t>
    <phoneticPr fontId="2" type="noConversion"/>
  </si>
  <si>
    <t>精誠期貨202106</t>
    <phoneticPr fontId="2" type="noConversion"/>
  </si>
  <si>
    <t>精誠期貨202109</t>
    <phoneticPr fontId="2" type="noConversion"/>
  </si>
  <si>
    <t>精誠期貨202112</t>
    <phoneticPr fontId="2" type="noConversion"/>
  </si>
  <si>
    <t>矽格期貨近期</t>
    <phoneticPr fontId="2" type="noConversion"/>
  </si>
  <si>
    <t>矽格期貨近期提前一日轉倉</t>
    <phoneticPr fontId="2" type="noConversion"/>
  </si>
  <si>
    <t>矽格期貨次月</t>
    <phoneticPr fontId="2" type="noConversion"/>
  </si>
  <si>
    <t>矽格期貨次月提前一日轉倉</t>
    <phoneticPr fontId="2" type="noConversion"/>
  </si>
  <si>
    <t>矽格期貨202103</t>
    <phoneticPr fontId="2" type="noConversion"/>
  </si>
  <si>
    <t>矽格期貨202106</t>
    <phoneticPr fontId="2" type="noConversion"/>
  </si>
  <si>
    <t>矽格期貨202109</t>
    <phoneticPr fontId="2" type="noConversion"/>
  </si>
  <si>
    <t>矽格期貨202112</t>
    <phoneticPr fontId="2" type="noConversion"/>
  </si>
  <si>
    <t>小台指週期貨近週</t>
    <phoneticPr fontId="2" type="noConversion"/>
  </si>
  <si>
    <t>小台指週期貨近週(盤後)</t>
    <phoneticPr fontId="2" type="noConversion"/>
  </si>
  <si>
    <t>小型臺指近期</t>
    <phoneticPr fontId="2" type="noConversion"/>
  </si>
  <si>
    <t>小型臺指近期提前一日轉倉</t>
    <phoneticPr fontId="2" type="noConversion"/>
  </si>
  <si>
    <t>小型臺指近期提前一日轉倉(盤後)</t>
    <phoneticPr fontId="2" type="noConversion"/>
  </si>
  <si>
    <t>小型臺指次月</t>
    <phoneticPr fontId="2" type="noConversion"/>
  </si>
  <si>
    <t>小型臺指次月提前一日轉倉</t>
    <phoneticPr fontId="2" type="noConversion"/>
  </si>
  <si>
    <t>小型臺指次月提前一日轉倉(盤後)</t>
    <phoneticPr fontId="2" type="noConversion"/>
  </si>
  <si>
    <t>小型臺指202103</t>
    <phoneticPr fontId="2" type="noConversion"/>
  </si>
  <si>
    <t>小型臺指202103／04(盤後)</t>
    <phoneticPr fontId="2" type="noConversion"/>
  </si>
  <si>
    <t>小型臺指202103／12</t>
    <phoneticPr fontId="2" type="noConversion"/>
  </si>
  <si>
    <t>小型臺指202103／12(盤後)</t>
    <phoneticPr fontId="2" type="noConversion"/>
  </si>
  <si>
    <t>小型臺指202103(盤後)</t>
    <phoneticPr fontId="2" type="noConversion"/>
  </si>
  <si>
    <t>小型臺指202104</t>
    <phoneticPr fontId="2" type="noConversion"/>
  </si>
  <si>
    <t>小型臺指202104(盤後)</t>
    <phoneticPr fontId="2" type="noConversion"/>
  </si>
  <si>
    <t>小型臺指202106</t>
    <phoneticPr fontId="2" type="noConversion"/>
  </si>
  <si>
    <t>小型臺指202106(盤後)</t>
    <phoneticPr fontId="2" type="noConversion"/>
  </si>
  <si>
    <t>小型臺指202109</t>
    <phoneticPr fontId="2" type="noConversion"/>
  </si>
  <si>
    <t>小型臺指202109(盤後)</t>
    <phoneticPr fontId="2" type="noConversion"/>
  </si>
  <si>
    <t>小型臺指202112</t>
    <phoneticPr fontId="2" type="noConversion"/>
  </si>
  <si>
    <t>小型臺指202112(盤後)</t>
    <phoneticPr fontId="2" type="noConversion"/>
  </si>
  <si>
    <t>小型臺指次月(盤後)</t>
    <phoneticPr fontId="2" type="noConversion"/>
  </si>
  <si>
    <t>小型臺指近三月</t>
    <phoneticPr fontId="2" type="noConversion"/>
  </si>
  <si>
    <t>小型臺指近三月提前一日轉倉</t>
    <phoneticPr fontId="2" type="noConversion"/>
  </si>
  <si>
    <t>小型臺指近三月(盤後)</t>
    <phoneticPr fontId="2" type="noConversion"/>
  </si>
  <si>
    <t>小型臺指近期(盤後)</t>
    <phoneticPr fontId="2" type="noConversion"/>
  </si>
  <si>
    <t>百和期貨近期</t>
    <phoneticPr fontId="2" type="noConversion"/>
  </si>
  <si>
    <t>百和期貨近期提前一日轉倉</t>
    <phoneticPr fontId="2" type="noConversion"/>
  </si>
  <si>
    <t>百和期貨次月</t>
    <phoneticPr fontId="2" type="noConversion"/>
  </si>
  <si>
    <t>百和期貨次月提前一日轉倉</t>
    <phoneticPr fontId="2" type="noConversion"/>
  </si>
  <si>
    <t>百和期貨202103</t>
    <phoneticPr fontId="2" type="noConversion"/>
  </si>
  <si>
    <t>百和期貨202106</t>
    <phoneticPr fontId="2" type="noConversion"/>
  </si>
  <si>
    <t>百和期貨202109</t>
    <phoneticPr fontId="2" type="noConversion"/>
  </si>
  <si>
    <t>百和期貨202112</t>
    <phoneticPr fontId="2" type="noConversion"/>
  </si>
  <si>
    <t>精華期貨近期</t>
    <phoneticPr fontId="2" type="noConversion"/>
  </si>
  <si>
    <t>精華期貨近期提前一日轉倉</t>
    <phoneticPr fontId="2" type="noConversion"/>
  </si>
  <si>
    <t>精華期貨次月</t>
    <phoneticPr fontId="2" type="noConversion"/>
  </si>
  <si>
    <t>精華期貨次月提前一日轉倉</t>
    <phoneticPr fontId="2" type="noConversion"/>
  </si>
  <si>
    <t>精華期貨202103</t>
    <phoneticPr fontId="2" type="noConversion"/>
  </si>
  <si>
    <t>精華期貨202106</t>
    <phoneticPr fontId="2" type="noConversion"/>
  </si>
  <si>
    <t>精華期貨202109</t>
    <phoneticPr fontId="2" type="noConversion"/>
  </si>
  <si>
    <t>精華期貨202112</t>
    <phoneticPr fontId="2" type="noConversion"/>
  </si>
  <si>
    <t>穩懋期貨近期</t>
    <phoneticPr fontId="2" type="noConversion"/>
  </si>
  <si>
    <t>穩懋期貨近期提前一日轉倉</t>
    <phoneticPr fontId="2" type="noConversion"/>
  </si>
  <si>
    <t>穩懋期貨次月</t>
    <phoneticPr fontId="2" type="noConversion"/>
  </si>
  <si>
    <t>穩懋期貨次月提前一日轉倉</t>
    <phoneticPr fontId="2" type="noConversion"/>
  </si>
  <si>
    <t>穩懋期貨202103</t>
    <phoneticPr fontId="2" type="noConversion"/>
  </si>
  <si>
    <t>穩懋期貨202106</t>
    <phoneticPr fontId="2" type="noConversion"/>
  </si>
  <si>
    <t>穩懋期貨202109</t>
    <phoneticPr fontId="2" type="noConversion"/>
  </si>
  <si>
    <t>穩懋期貨202112</t>
    <phoneticPr fontId="2" type="noConversion"/>
  </si>
  <si>
    <t>璟德期貨近期</t>
    <phoneticPr fontId="2" type="noConversion"/>
  </si>
  <si>
    <t>璟德期貨近期提前一日轉倉</t>
    <phoneticPr fontId="2" type="noConversion"/>
  </si>
  <si>
    <t>璟德期貨次月</t>
    <phoneticPr fontId="2" type="noConversion"/>
  </si>
  <si>
    <t>璟德期貨次月提前一日轉倉</t>
    <phoneticPr fontId="2" type="noConversion"/>
  </si>
  <si>
    <t>璟德期貨202103</t>
    <phoneticPr fontId="2" type="noConversion"/>
  </si>
  <si>
    <t>璟德期貨202106</t>
    <phoneticPr fontId="2" type="noConversion"/>
  </si>
  <si>
    <t>璟德期貨202109</t>
    <phoneticPr fontId="2" type="noConversion"/>
  </si>
  <si>
    <t>璟德期貨202112</t>
    <phoneticPr fontId="2" type="noConversion"/>
  </si>
  <si>
    <t>順達期貨近期</t>
    <phoneticPr fontId="2" type="noConversion"/>
  </si>
  <si>
    <t>順達期貨近期提前一日轉倉</t>
    <phoneticPr fontId="2" type="noConversion"/>
  </si>
  <si>
    <t>順達期貨次月</t>
    <phoneticPr fontId="2" type="noConversion"/>
  </si>
  <si>
    <t>順達期貨次月提前一日轉倉</t>
    <phoneticPr fontId="2" type="noConversion"/>
  </si>
  <si>
    <t>順達期貨202103</t>
    <phoneticPr fontId="2" type="noConversion"/>
  </si>
  <si>
    <t>順達期貨202106</t>
    <phoneticPr fontId="2" type="noConversion"/>
  </si>
  <si>
    <t>順達期貨202109</t>
    <phoneticPr fontId="2" type="noConversion"/>
  </si>
  <si>
    <t>順達期貨202112</t>
    <phoneticPr fontId="2" type="noConversion"/>
  </si>
  <si>
    <t>威剛期貨近期</t>
    <phoneticPr fontId="2" type="noConversion"/>
  </si>
  <si>
    <t>威剛期貨近期提前一日轉倉</t>
    <phoneticPr fontId="2" type="noConversion"/>
  </si>
  <si>
    <t>威剛期貨次月</t>
    <phoneticPr fontId="2" type="noConversion"/>
  </si>
  <si>
    <t>威剛期貨次月提前一日轉倉</t>
    <phoneticPr fontId="2" type="noConversion"/>
  </si>
  <si>
    <t>威剛期貨202103</t>
    <phoneticPr fontId="2" type="noConversion"/>
  </si>
  <si>
    <t>威剛期貨202106</t>
    <phoneticPr fontId="2" type="noConversion"/>
  </si>
  <si>
    <t>威剛期貨202109</t>
    <phoneticPr fontId="2" type="noConversion"/>
  </si>
  <si>
    <t>威剛期貨202112</t>
    <phoneticPr fontId="2" type="noConversion"/>
  </si>
  <si>
    <t>欣銓期貨近期</t>
    <phoneticPr fontId="2" type="noConversion"/>
  </si>
  <si>
    <t>欣銓期貨近期提前一日轉倉</t>
    <phoneticPr fontId="2" type="noConversion"/>
  </si>
  <si>
    <t>欣銓期貨次月</t>
    <phoneticPr fontId="2" type="noConversion"/>
  </si>
  <si>
    <t>欣銓期貨次月提前一日轉倉</t>
    <phoneticPr fontId="2" type="noConversion"/>
  </si>
  <si>
    <t>欣銓期貨202103</t>
    <phoneticPr fontId="2" type="noConversion"/>
  </si>
  <si>
    <t>欣銓期貨202106</t>
    <phoneticPr fontId="2" type="noConversion"/>
  </si>
  <si>
    <t>欣銓期貨202109</t>
    <phoneticPr fontId="2" type="noConversion"/>
  </si>
  <si>
    <t>欣銓期貨202112</t>
    <phoneticPr fontId="2" type="noConversion"/>
  </si>
  <si>
    <t>碩禾期貨近期</t>
    <phoneticPr fontId="2" type="noConversion"/>
  </si>
  <si>
    <t>碩禾期貨近期提前一日轉倉</t>
    <phoneticPr fontId="2" type="noConversion"/>
  </si>
  <si>
    <t>碩禾期貨次月</t>
    <phoneticPr fontId="2" type="noConversion"/>
  </si>
  <si>
    <t>碩禾期貨次月提前一日轉倉</t>
    <phoneticPr fontId="2" type="noConversion"/>
  </si>
  <si>
    <t>碩禾期貨202103</t>
    <phoneticPr fontId="2" type="noConversion"/>
  </si>
  <si>
    <t>碩禾期貨202106</t>
    <phoneticPr fontId="2" type="noConversion"/>
  </si>
  <si>
    <t>碩禾期貨202109</t>
    <phoneticPr fontId="2" type="noConversion"/>
  </si>
  <si>
    <t>碩禾期貨202112</t>
    <phoneticPr fontId="2" type="noConversion"/>
  </si>
  <si>
    <t>晟德期貨近期</t>
    <phoneticPr fontId="2" type="noConversion"/>
  </si>
  <si>
    <t>晟德期貨近期提前一日轉倉</t>
    <phoneticPr fontId="2" type="noConversion"/>
  </si>
  <si>
    <t>晟德期貨次月</t>
    <phoneticPr fontId="2" type="noConversion"/>
  </si>
  <si>
    <t>晟德期貨次月提前一日轉倉</t>
    <phoneticPr fontId="2" type="noConversion"/>
  </si>
  <si>
    <t>晟德期貨202103</t>
    <phoneticPr fontId="2" type="noConversion"/>
  </si>
  <si>
    <t>晟德期貨202106</t>
    <phoneticPr fontId="2" type="noConversion"/>
  </si>
  <si>
    <t>晟德期貨202109</t>
    <phoneticPr fontId="2" type="noConversion"/>
  </si>
  <si>
    <t>晟德期貨202112</t>
    <phoneticPr fontId="2" type="noConversion"/>
  </si>
  <si>
    <t>榮剛期貨近期</t>
    <phoneticPr fontId="2" type="noConversion"/>
  </si>
  <si>
    <t>榮剛期貨近期提前一日轉倉</t>
    <phoneticPr fontId="2" type="noConversion"/>
  </si>
  <si>
    <t>榮剛期貨次月</t>
    <phoneticPr fontId="2" type="noConversion"/>
  </si>
  <si>
    <t>榮剛期貨次月提前一日轉倉</t>
    <phoneticPr fontId="2" type="noConversion"/>
  </si>
  <si>
    <t>榮剛期貨202103</t>
    <phoneticPr fontId="2" type="noConversion"/>
  </si>
  <si>
    <t>榮剛期貨202106</t>
    <phoneticPr fontId="2" type="noConversion"/>
  </si>
  <si>
    <t>榮剛期貨202109</t>
    <phoneticPr fontId="2" type="noConversion"/>
  </si>
  <si>
    <t>榮剛期貨202112</t>
    <phoneticPr fontId="2" type="noConversion"/>
  </si>
  <si>
    <t>世界期貨近期</t>
    <phoneticPr fontId="2" type="noConversion"/>
  </si>
  <si>
    <t>世界期貨近期提前一日轉倉</t>
    <phoneticPr fontId="2" type="noConversion"/>
  </si>
  <si>
    <t>世界期貨次月</t>
    <phoneticPr fontId="2" type="noConversion"/>
  </si>
  <si>
    <t>世界期貨次月提前一日轉倉</t>
    <phoneticPr fontId="2" type="noConversion"/>
  </si>
  <si>
    <t>世界期貨202103</t>
    <phoneticPr fontId="2" type="noConversion"/>
  </si>
  <si>
    <t>世界期貨202106</t>
    <phoneticPr fontId="2" type="noConversion"/>
  </si>
  <si>
    <t>世界期貨202109</t>
    <phoneticPr fontId="2" type="noConversion"/>
  </si>
  <si>
    <t>世界期貨202112</t>
    <phoneticPr fontId="2" type="noConversion"/>
  </si>
  <si>
    <t>中光電期貨近期</t>
    <phoneticPr fontId="2" type="noConversion"/>
  </si>
  <si>
    <t>中光電期貨近期提前一日轉倉</t>
    <phoneticPr fontId="2" type="noConversion"/>
  </si>
  <si>
    <t>中光電期貨次月</t>
    <phoneticPr fontId="2" type="noConversion"/>
  </si>
  <si>
    <t>中光電期貨次月提前一日轉倉</t>
    <phoneticPr fontId="2" type="noConversion"/>
  </si>
  <si>
    <t>中光電期貨202103</t>
    <phoneticPr fontId="2" type="noConversion"/>
  </si>
  <si>
    <t>中光電期貨202106</t>
    <phoneticPr fontId="2" type="noConversion"/>
  </si>
  <si>
    <t>中光電期貨202109</t>
    <phoneticPr fontId="2" type="noConversion"/>
  </si>
  <si>
    <t>中光電期貨202112</t>
    <phoneticPr fontId="2" type="noConversion"/>
  </si>
  <si>
    <t>中美晶期貨近期</t>
    <phoneticPr fontId="2" type="noConversion"/>
  </si>
  <si>
    <t>中美晶期貨近期提前一日轉倉</t>
    <phoneticPr fontId="2" type="noConversion"/>
  </si>
  <si>
    <t>中美晶期貨次月</t>
    <phoneticPr fontId="2" type="noConversion"/>
  </si>
  <si>
    <t>中美晶期貨次月提前一日轉倉</t>
    <phoneticPr fontId="2" type="noConversion"/>
  </si>
  <si>
    <t>中美晶期貨202103</t>
    <phoneticPr fontId="2" type="noConversion"/>
  </si>
  <si>
    <t>中美晶期貨202103／06</t>
    <phoneticPr fontId="2" type="noConversion"/>
  </si>
  <si>
    <t>中美晶期貨202103／09</t>
    <phoneticPr fontId="2" type="noConversion"/>
  </si>
  <si>
    <t>中美晶期貨202106</t>
    <phoneticPr fontId="2" type="noConversion"/>
  </si>
  <si>
    <t>中美晶期貨202109</t>
    <phoneticPr fontId="2" type="noConversion"/>
  </si>
  <si>
    <t>中美晶期貨202112</t>
    <phoneticPr fontId="2" type="noConversion"/>
  </si>
  <si>
    <t>新普期貨近期</t>
    <phoneticPr fontId="2" type="noConversion"/>
  </si>
  <si>
    <t>新普期貨近期提前一日轉倉</t>
    <phoneticPr fontId="2" type="noConversion"/>
  </si>
  <si>
    <t>新普期貨次月</t>
    <phoneticPr fontId="2" type="noConversion"/>
  </si>
  <si>
    <t>新普期貨次月提前一日轉倉</t>
    <phoneticPr fontId="2" type="noConversion"/>
  </si>
  <si>
    <t>新普期貨202103</t>
    <phoneticPr fontId="2" type="noConversion"/>
  </si>
  <si>
    <t>新普期貨202106</t>
    <phoneticPr fontId="2" type="noConversion"/>
  </si>
  <si>
    <t>新普期貨202109</t>
    <phoneticPr fontId="2" type="noConversion"/>
  </si>
  <si>
    <t>新普期貨202112</t>
    <phoneticPr fontId="2" type="noConversion"/>
  </si>
  <si>
    <t>頎邦期貨近期</t>
    <phoneticPr fontId="2" type="noConversion"/>
  </si>
  <si>
    <t>頎邦期貨近期提前一日轉倉</t>
    <phoneticPr fontId="2" type="noConversion"/>
  </si>
  <si>
    <t>頎邦期貨次月</t>
    <phoneticPr fontId="2" type="noConversion"/>
  </si>
  <si>
    <t>頎邦期貨次月提前一日轉倉</t>
    <phoneticPr fontId="2" type="noConversion"/>
  </si>
  <si>
    <t>頎邦期貨202103</t>
    <phoneticPr fontId="2" type="noConversion"/>
  </si>
  <si>
    <t>頎邦期貨202106</t>
    <phoneticPr fontId="2" type="noConversion"/>
  </si>
  <si>
    <t>頎邦期貨202109</t>
    <phoneticPr fontId="2" type="noConversion"/>
  </si>
  <si>
    <t>頎邦期貨202112</t>
    <phoneticPr fontId="2" type="noConversion"/>
  </si>
  <si>
    <t>網家期貨近期</t>
    <phoneticPr fontId="2" type="noConversion"/>
  </si>
  <si>
    <t>網家期貨近期提前一日轉倉</t>
    <phoneticPr fontId="2" type="noConversion"/>
  </si>
  <si>
    <t>網家期貨次月</t>
    <phoneticPr fontId="2" type="noConversion"/>
  </si>
  <si>
    <t>網家期貨次月提前一日轉倉</t>
    <phoneticPr fontId="2" type="noConversion"/>
  </si>
  <si>
    <t>網家期貨202103</t>
    <phoneticPr fontId="2" type="noConversion"/>
  </si>
  <si>
    <t>網家期貨202106</t>
    <phoneticPr fontId="2" type="noConversion"/>
  </si>
  <si>
    <t>網家期貨202109</t>
    <phoneticPr fontId="2" type="noConversion"/>
  </si>
  <si>
    <t>網家期貨202112</t>
    <phoneticPr fontId="2" type="noConversion"/>
  </si>
  <si>
    <t>元太期貨近期</t>
    <phoneticPr fontId="2" type="noConversion"/>
  </si>
  <si>
    <t>元太期貨近期提前一日轉倉</t>
    <phoneticPr fontId="2" type="noConversion"/>
  </si>
  <si>
    <t>元太期貨次月</t>
    <phoneticPr fontId="2" type="noConversion"/>
  </si>
  <si>
    <t>元太期貨次月提前一日轉倉</t>
    <phoneticPr fontId="2" type="noConversion"/>
  </si>
  <si>
    <t>元太期貨202103</t>
    <phoneticPr fontId="2" type="noConversion"/>
  </si>
  <si>
    <t>元太期貨202106</t>
    <phoneticPr fontId="2" type="noConversion"/>
  </si>
  <si>
    <t>元太期貨202109</t>
    <phoneticPr fontId="2" type="noConversion"/>
  </si>
  <si>
    <t>元太期貨202112</t>
    <phoneticPr fontId="2" type="noConversion"/>
  </si>
  <si>
    <t>群聯期貨近期</t>
    <phoneticPr fontId="2" type="noConversion"/>
  </si>
  <si>
    <t>群聯期貨近期提前一日轉倉</t>
    <phoneticPr fontId="2" type="noConversion"/>
  </si>
  <si>
    <t>群聯期貨次月</t>
    <phoneticPr fontId="2" type="noConversion"/>
  </si>
  <si>
    <t>群聯期貨次月提前一日轉倉</t>
    <phoneticPr fontId="2" type="noConversion"/>
  </si>
  <si>
    <t>群聯期貨202103</t>
    <phoneticPr fontId="2" type="noConversion"/>
  </si>
  <si>
    <t>群聯期貨202106</t>
    <phoneticPr fontId="2" type="noConversion"/>
  </si>
  <si>
    <t>群聯期貨202109</t>
    <phoneticPr fontId="2" type="noConversion"/>
  </si>
  <si>
    <t>群聯期貨202112</t>
    <phoneticPr fontId="2" type="noConversion"/>
  </si>
  <si>
    <t>森鉅期貨近期</t>
    <phoneticPr fontId="2" type="noConversion"/>
  </si>
  <si>
    <t>森鉅期貨近期提前一日轉倉</t>
    <phoneticPr fontId="2" type="noConversion"/>
  </si>
  <si>
    <t>森鉅期貨次月</t>
    <phoneticPr fontId="2" type="noConversion"/>
  </si>
  <si>
    <t>森鉅期貨次月提前一日轉倉</t>
    <phoneticPr fontId="2" type="noConversion"/>
  </si>
  <si>
    <t>森鉅期貨202103</t>
    <phoneticPr fontId="2" type="noConversion"/>
  </si>
  <si>
    <t>森鉅期貨202106</t>
    <phoneticPr fontId="2" type="noConversion"/>
  </si>
  <si>
    <t>森鉅期貨202109</t>
    <phoneticPr fontId="2" type="noConversion"/>
  </si>
  <si>
    <t>森鉅期貨202112</t>
    <phoneticPr fontId="2" type="noConversion"/>
  </si>
  <si>
    <t>元大台灣50ETF期貨近期</t>
    <phoneticPr fontId="2" type="noConversion"/>
  </si>
  <si>
    <t>元大台灣50ETF期貨近期提前一日轉倉</t>
    <phoneticPr fontId="2" type="noConversion"/>
  </si>
  <si>
    <t>元大台灣50ETF期貨次月</t>
    <phoneticPr fontId="2" type="noConversion"/>
  </si>
  <si>
    <t>元大台灣50ETF期貨次月提前一日轉倉</t>
    <phoneticPr fontId="2" type="noConversion"/>
  </si>
  <si>
    <t>元大台灣50ETF期貨202103</t>
    <phoneticPr fontId="2" type="noConversion"/>
  </si>
  <si>
    <t>元大台灣50ETF期貨202106</t>
    <phoneticPr fontId="2" type="noConversion"/>
  </si>
  <si>
    <t>元大台灣50ETF期貨202109</t>
    <phoneticPr fontId="2" type="noConversion"/>
  </si>
  <si>
    <t>元大台灣50ETF期貨202112</t>
    <phoneticPr fontId="2" type="noConversion"/>
  </si>
  <si>
    <t>元大寶滬深ETF期貨近期</t>
    <phoneticPr fontId="2" type="noConversion"/>
  </si>
  <si>
    <t>元大寶滬深ETF期貨近期提前一日轉倉</t>
    <phoneticPr fontId="2" type="noConversion"/>
  </si>
  <si>
    <t>元大寶滬深ETF期貨次月</t>
    <phoneticPr fontId="2" type="noConversion"/>
  </si>
  <si>
    <t>元大寶滬深ETF期貨次月提前一日轉倉</t>
    <phoneticPr fontId="2" type="noConversion"/>
  </si>
  <si>
    <t>元大寶滬深ETF期貨202103</t>
    <phoneticPr fontId="2" type="noConversion"/>
  </si>
  <si>
    <t>元大寶滬深ETF期貨202106</t>
    <phoneticPr fontId="2" type="noConversion"/>
  </si>
  <si>
    <t>元大寶滬深ETF期貨202109</t>
    <phoneticPr fontId="2" type="noConversion"/>
  </si>
  <si>
    <t>元大寶滬深ETF期貨202112</t>
    <phoneticPr fontId="2" type="noConversion"/>
  </si>
  <si>
    <t>富邦上証ETF期貨近期</t>
    <phoneticPr fontId="2" type="noConversion"/>
  </si>
  <si>
    <t>富邦上証ETF期貨近期提前一日轉倉</t>
    <phoneticPr fontId="2" type="noConversion"/>
  </si>
  <si>
    <t>富邦上証ETF期貨次月</t>
    <phoneticPr fontId="2" type="noConversion"/>
  </si>
  <si>
    <t>富邦上証ETF期貨次月提前一日轉倉</t>
    <phoneticPr fontId="2" type="noConversion"/>
  </si>
  <si>
    <t>富邦上証ETF期貨202103</t>
    <phoneticPr fontId="2" type="noConversion"/>
  </si>
  <si>
    <t>富邦上証ETF期貨202106</t>
    <phoneticPr fontId="2" type="noConversion"/>
  </si>
  <si>
    <t>富邦上証ETF期貨202109</t>
    <phoneticPr fontId="2" type="noConversion"/>
  </si>
  <si>
    <t>富邦上証ETF期貨202112</t>
    <phoneticPr fontId="2" type="noConversion"/>
  </si>
  <si>
    <t>元大上證50ETF期貨近期</t>
    <phoneticPr fontId="2" type="noConversion"/>
  </si>
  <si>
    <t>元大上證50ETF期貨近期提前一日轉倉</t>
    <phoneticPr fontId="2" type="noConversion"/>
  </si>
  <si>
    <t>元大上證50ETF期貨次月</t>
    <phoneticPr fontId="2" type="noConversion"/>
  </si>
  <si>
    <t>元大上證50ETF期貨次月提前一日轉倉</t>
    <phoneticPr fontId="2" type="noConversion"/>
  </si>
  <si>
    <t>元大上證50ETF期貨202103</t>
    <phoneticPr fontId="2" type="noConversion"/>
  </si>
  <si>
    <t>元大上證50ETF期貨202106</t>
    <phoneticPr fontId="2" type="noConversion"/>
  </si>
  <si>
    <t>元大上證50ETF期貨202109</t>
    <phoneticPr fontId="2" type="noConversion"/>
  </si>
  <si>
    <t>元大上證50ETF期貨202112</t>
    <phoneticPr fontId="2" type="noConversion"/>
  </si>
  <si>
    <t>FH滬深ETF期貨近期</t>
    <phoneticPr fontId="2" type="noConversion"/>
  </si>
  <si>
    <t>FH滬深ETF期貨近期提前一日轉倉</t>
    <phoneticPr fontId="2" type="noConversion"/>
  </si>
  <si>
    <t>FH滬深ETF期貨次月</t>
    <phoneticPr fontId="2" type="noConversion"/>
  </si>
  <si>
    <t>FH滬深ETF期貨次月提前一日轉倉</t>
    <phoneticPr fontId="2" type="noConversion"/>
  </si>
  <si>
    <t>FH滬深ETF期貨202103</t>
    <phoneticPr fontId="2" type="noConversion"/>
  </si>
  <si>
    <t>FH滬深ETF期貨202106</t>
    <phoneticPr fontId="2" type="noConversion"/>
  </si>
  <si>
    <t>FH滬深ETF期貨202109</t>
    <phoneticPr fontId="2" type="noConversion"/>
  </si>
  <si>
    <t>FH滬深ETF期貨202112</t>
    <phoneticPr fontId="2" type="noConversion"/>
  </si>
  <si>
    <t>為升期貨近期</t>
    <phoneticPr fontId="2" type="noConversion"/>
  </si>
  <si>
    <t>為升期貨近期提前一日轉倉</t>
    <phoneticPr fontId="2" type="noConversion"/>
  </si>
  <si>
    <t>為升期貨次月</t>
    <phoneticPr fontId="2" type="noConversion"/>
  </si>
  <si>
    <t>為升期貨次月提前一日轉倉</t>
    <phoneticPr fontId="2" type="noConversion"/>
  </si>
  <si>
    <t>為升期貨202103</t>
    <phoneticPr fontId="2" type="noConversion"/>
  </si>
  <si>
    <t>為升期貨202106</t>
    <phoneticPr fontId="2" type="noConversion"/>
  </si>
  <si>
    <t>為升期貨202109</t>
    <phoneticPr fontId="2" type="noConversion"/>
  </si>
  <si>
    <t>為升期貨202112</t>
    <phoneticPr fontId="2" type="noConversion"/>
  </si>
  <si>
    <t>彩晶期貨近期</t>
    <phoneticPr fontId="2" type="noConversion"/>
  </si>
  <si>
    <t>彩晶期貨近期提前一日轉倉</t>
    <phoneticPr fontId="2" type="noConversion"/>
  </si>
  <si>
    <t>彩晶期貨次月</t>
    <phoneticPr fontId="2" type="noConversion"/>
  </si>
  <si>
    <t>彩晶期貨次月提前一日轉倉</t>
    <phoneticPr fontId="2" type="noConversion"/>
  </si>
  <si>
    <t>彩晶期貨202103</t>
    <phoneticPr fontId="2" type="noConversion"/>
  </si>
  <si>
    <t>彩晶期貨202106</t>
    <phoneticPr fontId="2" type="noConversion"/>
  </si>
  <si>
    <t>彩晶期貨202109</t>
    <phoneticPr fontId="2" type="noConversion"/>
  </si>
  <si>
    <t>彩晶期貨202112</t>
    <phoneticPr fontId="2" type="noConversion"/>
  </si>
  <si>
    <t>胡連期貨近期</t>
    <phoneticPr fontId="2" type="noConversion"/>
  </si>
  <si>
    <t>胡連期貨近期提前一日轉倉</t>
    <phoneticPr fontId="2" type="noConversion"/>
  </si>
  <si>
    <t>胡連期貨次月</t>
    <phoneticPr fontId="2" type="noConversion"/>
  </si>
  <si>
    <t>胡連期貨次月提前一日轉倉</t>
    <phoneticPr fontId="2" type="noConversion"/>
  </si>
  <si>
    <t>胡連期貨202103</t>
    <phoneticPr fontId="2" type="noConversion"/>
  </si>
  <si>
    <t>胡連期貨202106</t>
    <phoneticPr fontId="2" type="noConversion"/>
  </si>
  <si>
    <t>胡連期貨202109</t>
    <phoneticPr fontId="2" type="noConversion"/>
  </si>
  <si>
    <t>胡連期貨202112</t>
    <phoneticPr fontId="2" type="noConversion"/>
  </si>
  <si>
    <t>國泰中國A50ETF期貨近期</t>
    <phoneticPr fontId="2" type="noConversion"/>
  </si>
  <si>
    <t>國泰中國A50ETF期貨近期提前一日轉倉</t>
    <phoneticPr fontId="2" type="noConversion"/>
  </si>
  <si>
    <t>國泰中國A50ETF期貨次月</t>
    <phoneticPr fontId="2" type="noConversion"/>
  </si>
  <si>
    <t>國泰中國A50ETF期貨次月提前一日轉倉</t>
    <phoneticPr fontId="2" type="noConversion"/>
  </si>
  <si>
    <t>國泰中國A50ETF期貨202103</t>
    <phoneticPr fontId="2" type="noConversion"/>
  </si>
  <si>
    <t>國泰中國A50ETF期貨202106</t>
    <phoneticPr fontId="2" type="noConversion"/>
  </si>
  <si>
    <t>國泰中國A50ETF期貨202109</t>
    <phoneticPr fontId="2" type="noConversion"/>
  </si>
  <si>
    <t>國泰中國A50ETF期貨202112</t>
    <phoneticPr fontId="2" type="noConversion"/>
  </si>
  <si>
    <t>富邦深100ETF期貨近期</t>
    <phoneticPr fontId="2" type="noConversion"/>
  </si>
  <si>
    <t>富邦深100ETF期貨近期提前一日轉倉</t>
    <phoneticPr fontId="2" type="noConversion"/>
  </si>
  <si>
    <t>富邦深100ETF期貨次月</t>
    <phoneticPr fontId="2" type="noConversion"/>
  </si>
  <si>
    <t>富邦深100ETF期貨次月提前一日轉倉</t>
    <phoneticPr fontId="2" type="noConversion"/>
  </si>
  <si>
    <t>富邦深100ETF期貨202103</t>
    <phoneticPr fontId="2" type="noConversion"/>
  </si>
  <si>
    <t>富邦深100ETF期貨202106</t>
    <phoneticPr fontId="2" type="noConversion"/>
  </si>
  <si>
    <t>富邦深100ETF期貨202109</t>
    <phoneticPr fontId="2" type="noConversion"/>
  </si>
  <si>
    <t>富邦深100ETF期貨202112</t>
    <phoneticPr fontId="2" type="noConversion"/>
  </si>
  <si>
    <t>小型大立光期貨近期</t>
    <phoneticPr fontId="2" type="noConversion"/>
  </si>
  <si>
    <t>小型大立光期貨近期提前一日轉倉</t>
    <phoneticPr fontId="2" type="noConversion"/>
  </si>
  <si>
    <t>小型大立光期貨次月</t>
    <phoneticPr fontId="2" type="noConversion"/>
  </si>
  <si>
    <t>小型大立光期貨次月提前一日轉倉</t>
    <phoneticPr fontId="2" type="noConversion"/>
  </si>
  <si>
    <t>小型大立光期貨202103</t>
    <phoneticPr fontId="2" type="noConversion"/>
  </si>
  <si>
    <t>小型大立光期貨202106</t>
    <phoneticPr fontId="2" type="noConversion"/>
  </si>
  <si>
    <t>小型大立光期貨202109</t>
    <phoneticPr fontId="2" type="noConversion"/>
  </si>
  <si>
    <t>小型大立光期貨202112</t>
    <phoneticPr fontId="2" type="noConversion"/>
  </si>
  <si>
    <t>小型精華期貨近期</t>
    <phoneticPr fontId="2" type="noConversion"/>
  </si>
  <si>
    <t>小型精華期貨近期提前一日轉倉</t>
    <phoneticPr fontId="2" type="noConversion"/>
  </si>
  <si>
    <t>小型精華期貨次月</t>
    <phoneticPr fontId="2" type="noConversion"/>
  </si>
  <si>
    <t>小型精華期貨次月提前一日轉倉</t>
    <phoneticPr fontId="2" type="noConversion"/>
  </si>
  <si>
    <t>小型精華期貨202103</t>
    <phoneticPr fontId="2" type="noConversion"/>
  </si>
  <si>
    <t>小型精華期貨202106</t>
    <phoneticPr fontId="2" type="noConversion"/>
  </si>
  <si>
    <t>小型精華期貨202109</t>
    <phoneticPr fontId="2" type="noConversion"/>
  </si>
  <si>
    <t>小型精華期貨202112</t>
    <phoneticPr fontId="2" type="noConversion"/>
  </si>
  <si>
    <t>群益深証中小ETF期貨近期</t>
    <phoneticPr fontId="2" type="noConversion"/>
  </si>
  <si>
    <t>群益深証中小ETF期貨近期提前一日轉倉</t>
    <phoneticPr fontId="2" type="noConversion"/>
  </si>
  <si>
    <t>群益深証中小ETF期貨次月</t>
    <phoneticPr fontId="2" type="noConversion"/>
  </si>
  <si>
    <t>群益深証中小ETF期貨次月提前一日轉倉</t>
    <phoneticPr fontId="2" type="noConversion"/>
  </si>
  <si>
    <t>群益深証中小ETF期貨202103</t>
    <phoneticPr fontId="2" type="noConversion"/>
  </si>
  <si>
    <t>群益深証中小ETF期貨202106</t>
    <phoneticPr fontId="2" type="noConversion"/>
  </si>
  <si>
    <t>群益深証中小ETF期貨202109</t>
    <phoneticPr fontId="2" type="noConversion"/>
  </si>
  <si>
    <t>群益深証中小ETF期貨202112</t>
    <phoneticPr fontId="2" type="noConversion"/>
  </si>
  <si>
    <t>智邦期貨近期</t>
    <phoneticPr fontId="2" type="noConversion"/>
  </si>
  <si>
    <t>智邦期貨近期提前一日轉倉</t>
    <phoneticPr fontId="2" type="noConversion"/>
  </si>
  <si>
    <t>智邦期貨次月</t>
    <phoneticPr fontId="2" type="noConversion"/>
  </si>
  <si>
    <t>智邦期貨次月提前一日轉倉</t>
    <phoneticPr fontId="2" type="noConversion"/>
  </si>
  <si>
    <t>智邦期貨202103</t>
    <phoneticPr fontId="2" type="noConversion"/>
  </si>
  <si>
    <t>智邦期貨202106</t>
    <phoneticPr fontId="2" type="noConversion"/>
  </si>
  <si>
    <t>智邦期貨202109</t>
    <phoneticPr fontId="2" type="noConversion"/>
  </si>
  <si>
    <t>智邦期貨202112</t>
    <phoneticPr fontId="2" type="noConversion"/>
  </si>
  <si>
    <t>樺漢期貨近期</t>
    <phoneticPr fontId="2" type="noConversion"/>
  </si>
  <si>
    <t>樺漢期貨近期提前一日轉倉</t>
    <phoneticPr fontId="2" type="noConversion"/>
  </si>
  <si>
    <t>樺漢期貨次月</t>
    <phoneticPr fontId="2" type="noConversion"/>
  </si>
  <si>
    <t>樺漢期貨次月提前一日轉倉</t>
    <phoneticPr fontId="2" type="noConversion"/>
  </si>
  <si>
    <t>樺漢期貨202103</t>
    <phoneticPr fontId="2" type="noConversion"/>
  </si>
  <si>
    <t>樺漢期貨202106</t>
    <phoneticPr fontId="2" type="noConversion"/>
  </si>
  <si>
    <t>樺漢期貨202109</t>
    <phoneticPr fontId="2" type="noConversion"/>
  </si>
  <si>
    <t>樺漢期貨202112</t>
    <phoneticPr fontId="2" type="noConversion"/>
  </si>
  <si>
    <t>和大期貨(調整)近期</t>
    <phoneticPr fontId="2" type="noConversion"/>
  </si>
  <si>
    <t>和大期貨(調整)近期提前一日轉倉</t>
    <phoneticPr fontId="2" type="noConversion"/>
  </si>
  <si>
    <t>和大期貨(調整)202103</t>
    <phoneticPr fontId="2" type="noConversion"/>
  </si>
  <si>
    <t>和大期貨近期</t>
    <phoneticPr fontId="2" type="noConversion"/>
  </si>
  <si>
    <t>和大期貨近期提前一日轉倉</t>
    <phoneticPr fontId="2" type="noConversion"/>
  </si>
  <si>
    <t>和大期貨次月</t>
    <phoneticPr fontId="2" type="noConversion"/>
  </si>
  <si>
    <t>和大期貨次月提前一日轉倉</t>
    <phoneticPr fontId="2" type="noConversion"/>
  </si>
  <si>
    <t>和大期貨202103</t>
    <phoneticPr fontId="2" type="noConversion"/>
  </si>
  <si>
    <t>和大期貨202106</t>
    <phoneticPr fontId="2" type="noConversion"/>
  </si>
  <si>
    <t>和大期貨202109</t>
    <phoneticPr fontId="2" type="noConversion"/>
  </si>
  <si>
    <t>和大期貨202112</t>
    <phoneticPr fontId="2" type="noConversion"/>
  </si>
  <si>
    <t>榮成期貨近期</t>
    <phoneticPr fontId="2" type="noConversion"/>
  </si>
  <si>
    <t>榮成期貨近期提前一日轉倉</t>
    <phoneticPr fontId="2" type="noConversion"/>
  </si>
  <si>
    <t>榮成期貨次月</t>
    <phoneticPr fontId="2" type="noConversion"/>
  </si>
  <si>
    <t>榮成期貨次月提前一日轉倉</t>
    <phoneticPr fontId="2" type="noConversion"/>
  </si>
  <si>
    <t>榮成期貨202103</t>
    <phoneticPr fontId="2" type="noConversion"/>
  </si>
  <si>
    <t>榮成期貨202106</t>
    <phoneticPr fontId="2" type="noConversion"/>
  </si>
  <si>
    <t>榮成期貨202109</t>
    <phoneticPr fontId="2" type="noConversion"/>
  </si>
  <si>
    <t>榮成期貨202112</t>
    <phoneticPr fontId="2" type="noConversion"/>
  </si>
  <si>
    <t>聯亞期貨近期</t>
    <phoneticPr fontId="2" type="noConversion"/>
  </si>
  <si>
    <t>聯亞期貨近期提前一日轉倉</t>
    <phoneticPr fontId="2" type="noConversion"/>
  </si>
  <si>
    <t>聯亞期貨次月</t>
    <phoneticPr fontId="2" type="noConversion"/>
  </si>
  <si>
    <t>聯亞期貨次月提前一日轉倉</t>
    <phoneticPr fontId="2" type="noConversion"/>
  </si>
  <si>
    <t>聯亞期貨202103</t>
    <phoneticPr fontId="2" type="noConversion"/>
  </si>
  <si>
    <t>聯亞期貨202106</t>
    <phoneticPr fontId="2" type="noConversion"/>
  </si>
  <si>
    <t>聯亞期貨202109</t>
    <phoneticPr fontId="2" type="noConversion"/>
  </si>
  <si>
    <t>聯亞期貨202112</t>
    <phoneticPr fontId="2" type="noConversion"/>
  </si>
  <si>
    <t>同致期貨近期</t>
    <phoneticPr fontId="2" type="noConversion"/>
  </si>
  <si>
    <t>同致期貨近期提前一日轉倉</t>
    <phoneticPr fontId="2" type="noConversion"/>
  </si>
  <si>
    <t>同致期貨次月</t>
    <phoneticPr fontId="2" type="noConversion"/>
  </si>
  <si>
    <t>同致期貨次月提前一日轉倉</t>
    <phoneticPr fontId="2" type="noConversion"/>
  </si>
  <si>
    <t>同致期貨202103</t>
    <phoneticPr fontId="2" type="noConversion"/>
  </si>
  <si>
    <t>同致期貨202106</t>
    <phoneticPr fontId="2" type="noConversion"/>
  </si>
  <si>
    <t>同致期貨202109</t>
    <phoneticPr fontId="2" type="noConversion"/>
  </si>
  <si>
    <t>同致期貨202112</t>
    <phoneticPr fontId="2" type="noConversion"/>
  </si>
  <si>
    <t>台燿期貨近期</t>
    <phoneticPr fontId="2" type="noConversion"/>
  </si>
  <si>
    <t>台燿期貨近期提前一日轉倉</t>
    <phoneticPr fontId="2" type="noConversion"/>
  </si>
  <si>
    <t>台燿期貨次月</t>
    <phoneticPr fontId="2" type="noConversion"/>
  </si>
  <si>
    <t>台燿期貨次月提前一日轉倉</t>
    <phoneticPr fontId="2" type="noConversion"/>
  </si>
  <si>
    <t>台燿期貨202103</t>
    <phoneticPr fontId="2" type="noConversion"/>
  </si>
  <si>
    <t>台燿期貨202106</t>
    <phoneticPr fontId="2" type="noConversion"/>
  </si>
  <si>
    <t>台燿期貨202109</t>
    <phoneticPr fontId="2" type="noConversion"/>
  </si>
  <si>
    <t>台燿期貨202112</t>
    <phoneticPr fontId="2" type="noConversion"/>
  </si>
  <si>
    <t>環球晶期貨近期</t>
    <phoneticPr fontId="2" type="noConversion"/>
  </si>
  <si>
    <t>環球晶期貨近期提前一日轉倉</t>
    <phoneticPr fontId="2" type="noConversion"/>
  </si>
  <si>
    <t>環球晶期貨次月</t>
    <phoneticPr fontId="2" type="noConversion"/>
  </si>
  <si>
    <t>環球晶期貨次月提前一日轉倉</t>
    <phoneticPr fontId="2" type="noConversion"/>
  </si>
  <si>
    <t>環球晶期貨202103</t>
    <phoneticPr fontId="2" type="noConversion"/>
  </si>
  <si>
    <t>環球晶期貨202106</t>
    <phoneticPr fontId="2" type="noConversion"/>
  </si>
  <si>
    <t>環球晶期貨202109</t>
    <phoneticPr fontId="2" type="noConversion"/>
  </si>
  <si>
    <t>環球晶期貨202112</t>
    <phoneticPr fontId="2" type="noConversion"/>
  </si>
  <si>
    <t>精測期貨近期</t>
    <phoneticPr fontId="2" type="noConversion"/>
  </si>
  <si>
    <t>精測期貨近期提前一日轉倉</t>
    <phoneticPr fontId="2" type="noConversion"/>
  </si>
  <si>
    <t>精測期貨次月</t>
    <phoneticPr fontId="2" type="noConversion"/>
  </si>
  <si>
    <t>精測期貨次月提前一日轉倉</t>
    <phoneticPr fontId="2" type="noConversion"/>
  </si>
  <si>
    <t>精測期貨202103</t>
    <phoneticPr fontId="2" type="noConversion"/>
  </si>
  <si>
    <t>精測期貨202106</t>
    <phoneticPr fontId="2" type="noConversion"/>
  </si>
  <si>
    <t>精測期貨202109</t>
    <phoneticPr fontId="2" type="noConversion"/>
  </si>
  <si>
    <t>精測期貨202112</t>
    <phoneticPr fontId="2" type="noConversion"/>
  </si>
  <si>
    <t>小型精測期貨近期</t>
    <phoneticPr fontId="2" type="noConversion"/>
  </si>
  <si>
    <t>小型精測期貨近期提前一日轉倉</t>
    <phoneticPr fontId="2" type="noConversion"/>
  </si>
  <si>
    <t>小型精測期貨次月</t>
    <phoneticPr fontId="2" type="noConversion"/>
  </si>
  <si>
    <t>小型精測期貨次月提前一日轉倉</t>
    <phoneticPr fontId="2" type="noConversion"/>
  </si>
  <si>
    <t>小型精測期貨202103</t>
    <phoneticPr fontId="2" type="noConversion"/>
  </si>
  <si>
    <t>小型精測期貨202106</t>
    <phoneticPr fontId="2" type="noConversion"/>
  </si>
  <si>
    <t>小型精測期貨202109</t>
    <phoneticPr fontId="2" type="noConversion"/>
  </si>
  <si>
    <t>小型精測期貨202112</t>
    <phoneticPr fontId="2" type="noConversion"/>
  </si>
  <si>
    <t>日月光投控期貨近期</t>
    <phoneticPr fontId="2" type="noConversion"/>
  </si>
  <si>
    <t>日月光投控期貨近期提前一日轉倉</t>
    <phoneticPr fontId="2" type="noConversion"/>
  </si>
  <si>
    <t>日月光投控期貨次月</t>
    <phoneticPr fontId="2" type="noConversion"/>
  </si>
  <si>
    <t>日月光投控期貨次月提前一日轉倉</t>
    <phoneticPr fontId="2" type="noConversion"/>
  </si>
  <si>
    <t>日月光投控期貨202103</t>
    <phoneticPr fontId="2" type="noConversion"/>
  </si>
  <si>
    <t>日月光投控期貨202106</t>
    <phoneticPr fontId="2" type="noConversion"/>
  </si>
  <si>
    <t>日月光投控期貨202109</t>
    <phoneticPr fontId="2" type="noConversion"/>
  </si>
  <si>
    <t>日月光投控期貨202112</t>
    <phoneticPr fontId="2" type="noConversion"/>
  </si>
  <si>
    <t>原相期貨近期</t>
    <phoneticPr fontId="2" type="noConversion"/>
  </si>
  <si>
    <t>原相期貨近期提前一日轉倉</t>
    <phoneticPr fontId="2" type="noConversion"/>
  </si>
  <si>
    <t>原相期貨次月</t>
    <phoneticPr fontId="2" type="noConversion"/>
  </si>
  <si>
    <t>原相期貨次月提前一日轉倉</t>
    <phoneticPr fontId="2" type="noConversion"/>
  </si>
  <si>
    <t>原相期貨202103</t>
    <phoneticPr fontId="2" type="noConversion"/>
  </si>
  <si>
    <t>原相期貨202106</t>
    <phoneticPr fontId="2" type="noConversion"/>
  </si>
  <si>
    <t>原相期貨202109</t>
    <phoneticPr fontId="2" type="noConversion"/>
  </si>
  <si>
    <t>原相期貨202112</t>
    <phoneticPr fontId="2" type="noConversion"/>
  </si>
  <si>
    <t>小型環球晶期貨近期</t>
    <phoneticPr fontId="2" type="noConversion"/>
  </si>
  <si>
    <t>小型環球晶期貨近期提前一日轉倉</t>
    <phoneticPr fontId="2" type="noConversion"/>
  </si>
  <si>
    <t>小型環球晶期貨次月</t>
    <phoneticPr fontId="2" type="noConversion"/>
  </si>
  <si>
    <t>小型環球晶期貨次月提前一日轉倉</t>
    <phoneticPr fontId="2" type="noConversion"/>
  </si>
  <si>
    <t>小型環球晶期貨202103</t>
    <phoneticPr fontId="2" type="noConversion"/>
  </si>
  <si>
    <t>小型環球晶期貨202106</t>
    <phoneticPr fontId="2" type="noConversion"/>
  </si>
  <si>
    <t>小型環球晶期貨202109</t>
    <phoneticPr fontId="2" type="noConversion"/>
  </si>
  <si>
    <t>小型環球晶期貨202112</t>
    <phoneticPr fontId="2" type="noConversion"/>
  </si>
  <si>
    <t>智擎期貨近期</t>
    <phoneticPr fontId="2" type="noConversion"/>
  </si>
  <si>
    <t>智擎期貨近期提前一日轉倉</t>
    <phoneticPr fontId="2" type="noConversion"/>
  </si>
  <si>
    <t>智擎期貨次月</t>
    <phoneticPr fontId="2" type="noConversion"/>
  </si>
  <si>
    <t>智擎期貨次月提前一日轉倉</t>
    <phoneticPr fontId="2" type="noConversion"/>
  </si>
  <si>
    <t>智擎期貨202103</t>
    <phoneticPr fontId="2" type="noConversion"/>
  </si>
  <si>
    <t>智擎期貨202106</t>
    <phoneticPr fontId="2" type="noConversion"/>
  </si>
  <si>
    <t>智擎期貨202109</t>
    <phoneticPr fontId="2" type="noConversion"/>
  </si>
  <si>
    <t>智擎期貨202112</t>
    <phoneticPr fontId="2" type="noConversion"/>
  </si>
  <si>
    <t>泰博期貨近期</t>
    <phoneticPr fontId="2" type="noConversion"/>
  </si>
  <si>
    <t>泰博期貨近期提前一日轉倉</t>
    <phoneticPr fontId="2" type="noConversion"/>
  </si>
  <si>
    <t>泰博期貨次月</t>
    <phoneticPr fontId="2" type="noConversion"/>
  </si>
  <si>
    <t>泰博期貨次月提前一日轉倉</t>
    <phoneticPr fontId="2" type="noConversion"/>
  </si>
  <si>
    <t>泰博期貨202103</t>
    <phoneticPr fontId="2" type="noConversion"/>
  </si>
  <si>
    <t>泰博期貨202106</t>
    <phoneticPr fontId="2" type="noConversion"/>
  </si>
  <si>
    <t>泰博期貨202109</t>
    <phoneticPr fontId="2" type="noConversion"/>
  </si>
  <si>
    <t>泰博期貨202112</t>
    <phoneticPr fontId="2" type="noConversion"/>
  </si>
  <si>
    <t>台半期貨近期</t>
    <phoneticPr fontId="2" type="noConversion"/>
  </si>
  <si>
    <t>台半期貨近期提前一日轉倉</t>
    <phoneticPr fontId="2" type="noConversion"/>
  </si>
  <si>
    <t>台半期貨次月</t>
    <phoneticPr fontId="2" type="noConversion"/>
  </si>
  <si>
    <t>台半期貨次月提前一日轉倉</t>
    <phoneticPr fontId="2" type="noConversion"/>
  </si>
  <si>
    <t>台半期貨202103</t>
    <phoneticPr fontId="2" type="noConversion"/>
  </si>
  <si>
    <t>台半期貨202106</t>
    <phoneticPr fontId="2" type="noConversion"/>
  </si>
  <si>
    <t>台半期貨202109</t>
    <phoneticPr fontId="2" type="noConversion"/>
  </si>
  <si>
    <t>台半期貨202112</t>
    <phoneticPr fontId="2" type="noConversion"/>
  </si>
  <si>
    <t>元大高股息ETF期貨近期</t>
    <phoneticPr fontId="2" type="noConversion"/>
  </si>
  <si>
    <t>元大高股息ETF期貨近期提前一日轉倉</t>
    <phoneticPr fontId="2" type="noConversion"/>
  </si>
  <si>
    <t>元大高股息ETF期貨次月</t>
    <phoneticPr fontId="2" type="noConversion"/>
  </si>
  <si>
    <t>元大高股息ETF期貨次月提前一日轉倉</t>
    <phoneticPr fontId="2" type="noConversion"/>
  </si>
  <si>
    <t>元大高股息ETF期貨202103</t>
    <phoneticPr fontId="2" type="noConversion"/>
  </si>
  <si>
    <t>元大高股息ETF期貨202106</t>
    <phoneticPr fontId="2" type="noConversion"/>
  </si>
  <si>
    <t>元大高股息ETF期貨202109</t>
    <phoneticPr fontId="2" type="noConversion"/>
  </si>
  <si>
    <t>元大高股息ETF期貨202112</t>
    <phoneticPr fontId="2" type="noConversion"/>
  </si>
  <si>
    <t>台灣高鐵期貨近期</t>
    <phoneticPr fontId="2" type="noConversion"/>
  </si>
  <si>
    <t>台灣高鐵期貨近期提前一日轉倉</t>
    <phoneticPr fontId="2" type="noConversion"/>
  </si>
  <si>
    <t>台灣高鐵期貨次月</t>
    <phoneticPr fontId="2" type="noConversion"/>
  </si>
  <si>
    <t>台灣高鐵期貨次月提前一日轉倉</t>
    <phoneticPr fontId="2" type="noConversion"/>
  </si>
  <si>
    <t>台灣高鐵期貨202103</t>
    <phoneticPr fontId="2" type="noConversion"/>
  </si>
  <si>
    <t>台灣高鐵期貨202106</t>
    <phoneticPr fontId="2" type="noConversion"/>
  </si>
  <si>
    <t>台灣高鐵期貨202109</t>
    <phoneticPr fontId="2" type="noConversion"/>
  </si>
  <si>
    <t>台灣高鐵期貨202112</t>
    <phoneticPr fontId="2" type="noConversion"/>
  </si>
  <si>
    <t>祥碩期貨近期</t>
    <phoneticPr fontId="2" type="noConversion"/>
  </si>
  <si>
    <t>祥碩期貨近期提前一日轉倉</t>
    <phoneticPr fontId="2" type="noConversion"/>
  </si>
  <si>
    <t>祥碩期貨次月</t>
    <phoneticPr fontId="2" type="noConversion"/>
  </si>
  <si>
    <t>祥碩期貨次月提前一日轉倉</t>
    <phoneticPr fontId="2" type="noConversion"/>
  </si>
  <si>
    <t>祥碩期貨202103</t>
    <phoneticPr fontId="2" type="noConversion"/>
  </si>
  <si>
    <t>祥碩期貨202106</t>
    <phoneticPr fontId="2" type="noConversion"/>
  </si>
  <si>
    <t>祥碩期貨202109</t>
    <phoneticPr fontId="2" type="noConversion"/>
  </si>
  <si>
    <t>祥碩期貨202112</t>
    <phoneticPr fontId="2" type="noConversion"/>
  </si>
  <si>
    <t>力旺期貨近期</t>
    <phoneticPr fontId="2" type="noConversion"/>
  </si>
  <si>
    <t>力旺期貨近期提前一日轉倉</t>
    <phoneticPr fontId="2" type="noConversion"/>
  </si>
  <si>
    <t>力旺期貨次月</t>
    <phoneticPr fontId="2" type="noConversion"/>
  </si>
  <si>
    <t>力旺期貨次月提前一日轉倉</t>
    <phoneticPr fontId="2" type="noConversion"/>
  </si>
  <si>
    <t>力旺期貨202103</t>
    <phoneticPr fontId="2" type="noConversion"/>
  </si>
  <si>
    <t>力旺期貨202106</t>
    <phoneticPr fontId="2" type="noConversion"/>
  </si>
  <si>
    <t>力旺期貨202109</t>
    <phoneticPr fontId="2" type="noConversion"/>
  </si>
  <si>
    <t>力旺期貨202112</t>
    <phoneticPr fontId="2" type="noConversion"/>
  </si>
  <si>
    <t>台光電期貨近期</t>
    <phoneticPr fontId="2" type="noConversion"/>
  </si>
  <si>
    <t>台光電期貨近期提前一日轉倉</t>
    <phoneticPr fontId="2" type="noConversion"/>
  </si>
  <si>
    <t>台光電期貨次月</t>
    <phoneticPr fontId="2" type="noConversion"/>
  </si>
  <si>
    <t>台光電期貨次月提前一日轉倉</t>
    <phoneticPr fontId="2" type="noConversion"/>
  </si>
  <si>
    <t>台光電期貨202103</t>
    <phoneticPr fontId="2" type="noConversion"/>
  </si>
  <si>
    <t>台光電期貨202106</t>
    <phoneticPr fontId="2" type="noConversion"/>
  </si>
  <si>
    <t>台光電期貨202109</t>
    <phoneticPr fontId="2" type="noConversion"/>
  </si>
  <si>
    <t>台光電期貨202112</t>
    <phoneticPr fontId="2" type="noConversion"/>
  </si>
  <si>
    <t>信昌電期貨近期</t>
    <phoneticPr fontId="2" type="noConversion"/>
  </si>
  <si>
    <t>信昌電期貨近期提前一日轉倉</t>
    <phoneticPr fontId="2" type="noConversion"/>
  </si>
  <si>
    <t>信昌電期貨次月</t>
    <phoneticPr fontId="2" type="noConversion"/>
  </si>
  <si>
    <t>信昌電期貨次月提前一日轉倉</t>
    <phoneticPr fontId="2" type="noConversion"/>
  </si>
  <si>
    <t>信昌電期貨202103</t>
    <phoneticPr fontId="2" type="noConversion"/>
  </si>
  <si>
    <t>信昌電期貨202106</t>
    <phoneticPr fontId="2" type="noConversion"/>
  </si>
  <si>
    <t>信昌電期貨202109</t>
    <phoneticPr fontId="2" type="noConversion"/>
  </si>
  <si>
    <t>信昌電期貨202112</t>
    <phoneticPr fontId="2" type="noConversion"/>
  </si>
  <si>
    <t>合晶期貨近期</t>
    <phoneticPr fontId="2" type="noConversion"/>
  </si>
  <si>
    <t>合晶期貨近期提前一日轉倉</t>
    <phoneticPr fontId="2" type="noConversion"/>
  </si>
  <si>
    <t>合晶期貨次月</t>
    <phoneticPr fontId="2" type="noConversion"/>
  </si>
  <si>
    <t>合晶期貨次月提前一日轉倉</t>
    <phoneticPr fontId="2" type="noConversion"/>
  </si>
  <si>
    <t>合晶期貨202103</t>
    <phoneticPr fontId="2" type="noConversion"/>
  </si>
  <si>
    <t>合晶期貨202106</t>
    <phoneticPr fontId="2" type="noConversion"/>
  </si>
  <si>
    <t>合晶期貨202109</t>
    <phoneticPr fontId="2" type="noConversion"/>
  </si>
  <si>
    <t>合晶期貨202112</t>
    <phoneticPr fontId="2" type="noConversion"/>
  </si>
  <si>
    <t>大江期貨近期</t>
    <phoneticPr fontId="2" type="noConversion"/>
  </si>
  <si>
    <t>大江期貨近期提前一日轉倉</t>
    <phoneticPr fontId="2" type="noConversion"/>
  </si>
  <si>
    <t>大江期貨次月</t>
    <phoneticPr fontId="2" type="noConversion"/>
  </si>
  <si>
    <t>大江期貨次月提前一日轉倉</t>
    <phoneticPr fontId="2" type="noConversion"/>
  </si>
  <si>
    <t>大江期貨202103</t>
    <phoneticPr fontId="2" type="noConversion"/>
  </si>
  <si>
    <t>大江期貨202106</t>
    <phoneticPr fontId="2" type="noConversion"/>
  </si>
  <si>
    <t>大江期貨202109</t>
    <phoneticPr fontId="2" type="noConversion"/>
  </si>
  <si>
    <t>大江期貨202112</t>
    <phoneticPr fontId="2" type="noConversion"/>
  </si>
  <si>
    <t>小型祥碩期貨近期</t>
    <phoneticPr fontId="2" type="noConversion"/>
  </si>
  <si>
    <t>小型祥碩期貨近期提前一日轉倉</t>
    <phoneticPr fontId="2" type="noConversion"/>
  </si>
  <si>
    <t>小型祥碩期貨次月</t>
    <phoneticPr fontId="2" type="noConversion"/>
  </si>
  <si>
    <t>小型祥碩期貨次月提前一日轉倉</t>
    <phoneticPr fontId="2" type="noConversion"/>
  </si>
  <si>
    <t>小型祥碩期貨202103</t>
    <phoneticPr fontId="2" type="noConversion"/>
  </si>
  <si>
    <t>小型祥碩期貨202106</t>
    <phoneticPr fontId="2" type="noConversion"/>
  </si>
  <si>
    <t>小型祥碩期貨202109</t>
    <phoneticPr fontId="2" type="noConversion"/>
  </si>
  <si>
    <t>小型祥碩期貨202112</t>
    <phoneticPr fontId="2" type="noConversion"/>
  </si>
  <si>
    <t>神盾期貨近期</t>
    <phoneticPr fontId="2" type="noConversion"/>
  </si>
  <si>
    <t>神盾期貨近期提前一日轉倉</t>
    <phoneticPr fontId="2" type="noConversion"/>
  </si>
  <si>
    <t>神盾期貨次月</t>
    <phoneticPr fontId="2" type="noConversion"/>
  </si>
  <si>
    <t>神盾期貨次月提前一日轉倉</t>
    <phoneticPr fontId="2" type="noConversion"/>
  </si>
  <si>
    <t>神盾期貨202103</t>
    <phoneticPr fontId="2" type="noConversion"/>
  </si>
  <si>
    <t>神盾期貨202106</t>
    <phoneticPr fontId="2" type="noConversion"/>
  </si>
  <si>
    <t>神盾期貨202109</t>
    <phoneticPr fontId="2" type="noConversion"/>
  </si>
  <si>
    <t>神盾期貨202112</t>
    <phoneticPr fontId="2" type="noConversion"/>
  </si>
  <si>
    <t>宣德期貨近期</t>
    <phoneticPr fontId="2" type="noConversion"/>
  </si>
  <si>
    <t>宣德期貨近期提前一日轉倉</t>
    <phoneticPr fontId="2" type="noConversion"/>
  </si>
  <si>
    <t>宣德期貨次月</t>
    <phoneticPr fontId="2" type="noConversion"/>
  </si>
  <si>
    <t>宣德期貨次月提前一日轉倉</t>
    <phoneticPr fontId="2" type="noConversion"/>
  </si>
  <si>
    <t>宣德期貨202103</t>
    <phoneticPr fontId="2" type="noConversion"/>
  </si>
  <si>
    <t>宣德期貨202106</t>
    <phoneticPr fontId="2" type="noConversion"/>
  </si>
  <si>
    <t>宣德期貨202109</t>
    <phoneticPr fontId="2" type="noConversion"/>
  </si>
  <si>
    <t>宣德期貨202112</t>
    <phoneticPr fontId="2" type="noConversion"/>
  </si>
  <si>
    <t>金居期貨近期</t>
    <phoneticPr fontId="2" type="noConversion"/>
  </si>
  <si>
    <t>金居期貨近期提前一日轉倉</t>
    <phoneticPr fontId="2" type="noConversion"/>
  </si>
  <si>
    <t>金居期貨次月</t>
    <phoneticPr fontId="2" type="noConversion"/>
  </si>
  <si>
    <t>金居期貨次月提前一日轉倉</t>
    <phoneticPr fontId="2" type="noConversion"/>
  </si>
  <si>
    <t>金居期貨202103</t>
    <phoneticPr fontId="2" type="noConversion"/>
  </si>
  <si>
    <t>金居期貨202106</t>
    <phoneticPr fontId="2" type="noConversion"/>
  </si>
  <si>
    <t>金居期貨202109</t>
    <phoneticPr fontId="2" type="noConversion"/>
  </si>
  <si>
    <t>金居期貨202112</t>
    <phoneticPr fontId="2" type="noConversion"/>
  </si>
  <si>
    <t>宏捷科期貨近期</t>
    <phoneticPr fontId="2" type="noConversion"/>
  </si>
  <si>
    <t>宏捷科期貨近期提前一日轉倉</t>
    <phoneticPr fontId="2" type="noConversion"/>
  </si>
  <si>
    <t>宏捷科期貨次月</t>
    <phoneticPr fontId="2" type="noConversion"/>
  </si>
  <si>
    <t>宏捷科期貨次月提前一日轉倉</t>
    <phoneticPr fontId="2" type="noConversion"/>
  </si>
  <si>
    <t>宏捷科期貨202103</t>
    <phoneticPr fontId="2" type="noConversion"/>
  </si>
  <si>
    <t>宏捷科期貨202106</t>
    <phoneticPr fontId="2" type="noConversion"/>
  </si>
  <si>
    <t>宏捷科期貨202109</t>
    <phoneticPr fontId="2" type="noConversion"/>
  </si>
  <si>
    <t>宏捷科期貨202112</t>
    <phoneticPr fontId="2" type="noConversion"/>
  </si>
  <si>
    <t>神達期貨近期</t>
    <phoneticPr fontId="2" type="noConversion"/>
  </si>
  <si>
    <t>神達期貨近期提前一日轉倉</t>
    <phoneticPr fontId="2" type="noConversion"/>
  </si>
  <si>
    <t>神達期貨次月</t>
    <phoneticPr fontId="2" type="noConversion"/>
  </si>
  <si>
    <t>神達期貨次月提前一日轉倉</t>
    <phoneticPr fontId="2" type="noConversion"/>
  </si>
  <si>
    <t>神達期貨202103</t>
    <phoneticPr fontId="2" type="noConversion"/>
  </si>
  <si>
    <t>神達期貨202106</t>
    <phoneticPr fontId="2" type="noConversion"/>
  </si>
  <si>
    <t>神達期貨202109</t>
    <phoneticPr fontId="2" type="noConversion"/>
  </si>
  <si>
    <t>神達期貨202112</t>
    <phoneticPr fontId="2" type="noConversion"/>
  </si>
  <si>
    <t>雙鴻期貨近期</t>
    <phoneticPr fontId="2" type="noConversion"/>
  </si>
  <si>
    <t>雙鴻期貨近期提前一日轉倉</t>
    <phoneticPr fontId="2" type="noConversion"/>
  </si>
  <si>
    <t>雙鴻期貨次月</t>
    <phoneticPr fontId="2" type="noConversion"/>
  </si>
  <si>
    <t>雙鴻期貨次月提前一日轉倉</t>
    <phoneticPr fontId="2" type="noConversion"/>
  </si>
  <si>
    <t>雙鴻期貨202103</t>
    <phoneticPr fontId="2" type="noConversion"/>
  </si>
  <si>
    <t>雙鴻期貨202106</t>
    <phoneticPr fontId="2" type="noConversion"/>
  </si>
  <si>
    <t>雙鴻期貨202109</t>
    <phoneticPr fontId="2" type="noConversion"/>
  </si>
  <si>
    <t>雙鴻期貨202112</t>
    <phoneticPr fontId="2" type="noConversion"/>
  </si>
  <si>
    <t>小型聯發科期貨近期</t>
    <phoneticPr fontId="2" type="noConversion"/>
  </si>
  <si>
    <t>小型聯發科期貨近期提前一日轉倉</t>
    <phoneticPr fontId="2" type="noConversion"/>
  </si>
  <si>
    <t>小型聯發科期貨次月</t>
    <phoneticPr fontId="2" type="noConversion"/>
  </si>
  <si>
    <t>小型聯發科期貨次月提前一日轉倉</t>
    <phoneticPr fontId="2" type="noConversion"/>
  </si>
  <si>
    <t>小型聯發科期貨202103</t>
    <phoneticPr fontId="2" type="noConversion"/>
  </si>
  <si>
    <t>小型聯發科期貨202106</t>
    <phoneticPr fontId="2" type="noConversion"/>
  </si>
  <si>
    <t>小型聯發科期貨202109</t>
    <phoneticPr fontId="2" type="noConversion"/>
  </si>
  <si>
    <t>小型聯發科期貨202112</t>
    <phoneticPr fontId="2" type="noConversion"/>
  </si>
  <si>
    <t>緯穎期貨近期</t>
    <phoneticPr fontId="2" type="noConversion"/>
  </si>
  <si>
    <t>緯穎期貨近期提前一日轉倉</t>
    <phoneticPr fontId="2" type="noConversion"/>
  </si>
  <si>
    <t>緯穎期貨次月</t>
    <phoneticPr fontId="2" type="noConversion"/>
  </si>
  <si>
    <t>緯穎期貨次月提前一日轉倉</t>
    <phoneticPr fontId="2" type="noConversion"/>
  </si>
  <si>
    <t>緯穎期貨202103</t>
    <phoneticPr fontId="2" type="noConversion"/>
  </si>
  <si>
    <t>緯穎期貨202106</t>
    <phoneticPr fontId="2" type="noConversion"/>
  </si>
  <si>
    <t>緯穎期貨202109</t>
    <phoneticPr fontId="2" type="noConversion"/>
  </si>
  <si>
    <t>緯穎期貨202112</t>
    <phoneticPr fontId="2" type="noConversion"/>
  </si>
  <si>
    <t>小型緯穎期貨近期</t>
    <phoneticPr fontId="2" type="noConversion"/>
  </si>
  <si>
    <t>小型緯穎期貨近期提前一日轉倉</t>
    <phoneticPr fontId="2" type="noConversion"/>
  </si>
  <si>
    <t>小型緯穎期貨次月</t>
    <phoneticPr fontId="2" type="noConversion"/>
  </si>
  <si>
    <t>小型緯穎期貨次月提前一日轉倉</t>
    <phoneticPr fontId="2" type="noConversion"/>
  </si>
  <si>
    <t>小型緯穎期貨202103</t>
    <phoneticPr fontId="2" type="noConversion"/>
  </si>
  <si>
    <t>小型緯穎期貨202106</t>
    <phoneticPr fontId="2" type="noConversion"/>
  </si>
  <si>
    <t>小型緯穎期貨202109</t>
    <phoneticPr fontId="2" type="noConversion"/>
  </si>
  <si>
    <t>小型緯穎期貨202112</t>
    <phoneticPr fontId="2" type="noConversion"/>
  </si>
  <si>
    <t>鈊象期貨近期</t>
    <phoneticPr fontId="2" type="noConversion"/>
  </si>
  <si>
    <t>鈊象期貨近期提前一日轉倉</t>
    <phoneticPr fontId="2" type="noConversion"/>
  </si>
  <si>
    <t>鈊象期貨次月</t>
    <phoneticPr fontId="2" type="noConversion"/>
  </si>
  <si>
    <t>鈊象期貨次月提前一日轉倉</t>
    <phoneticPr fontId="2" type="noConversion"/>
  </si>
  <si>
    <t>鈊象期貨202103</t>
    <phoneticPr fontId="2" type="noConversion"/>
  </si>
  <si>
    <t>鈊象期貨202106</t>
    <phoneticPr fontId="2" type="noConversion"/>
  </si>
  <si>
    <t>鈊象期貨202109</t>
    <phoneticPr fontId="2" type="noConversion"/>
  </si>
  <si>
    <t>鈊象期貨202112</t>
    <phoneticPr fontId="2" type="noConversion"/>
  </si>
  <si>
    <t>小型鈊象期貨近期</t>
    <phoneticPr fontId="2" type="noConversion"/>
  </si>
  <si>
    <t>小型鈊象期貨近期提前一日轉倉</t>
    <phoneticPr fontId="2" type="noConversion"/>
  </si>
  <si>
    <t>小型鈊象期貨次月</t>
    <phoneticPr fontId="2" type="noConversion"/>
  </si>
  <si>
    <t>小型鈊象期貨次月提前一日轉倉</t>
    <phoneticPr fontId="2" type="noConversion"/>
  </si>
  <si>
    <t>小型鈊象期貨202103</t>
    <phoneticPr fontId="2" type="noConversion"/>
  </si>
  <si>
    <t>小型鈊象期貨202106</t>
    <phoneticPr fontId="2" type="noConversion"/>
  </si>
  <si>
    <t>小型鈊象期貨202109</t>
    <phoneticPr fontId="2" type="noConversion"/>
  </si>
  <si>
    <t>小型鈊象期貨202112</t>
    <phoneticPr fontId="2" type="noConversion"/>
  </si>
  <si>
    <t>信驊期貨近期</t>
    <phoneticPr fontId="2" type="noConversion"/>
  </si>
  <si>
    <t>信驊期貨近期提前一日轉倉</t>
    <phoneticPr fontId="2" type="noConversion"/>
  </si>
  <si>
    <t>信驊期貨次月</t>
    <phoneticPr fontId="2" type="noConversion"/>
  </si>
  <si>
    <t>信驊期貨次月提前一日轉倉</t>
    <phoneticPr fontId="2" type="noConversion"/>
  </si>
  <si>
    <t>信驊期貨202103</t>
    <phoneticPr fontId="2" type="noConversion"/>
  </si>
  <si>
    <t>信驊期貨202106</t>
    <phoneticPr fontId="2" type="noConversion"/>
  </si>
  <si>
    <t>信驊期貨202109</t>
    <phoneticPr fontId="2" type="noConversion"/>
  </si>
  <si>
    <t>信驊期貨202112</t>
    <phoneticPr fontId="2" type="noConversion"/>
  </si>
  <si>
    <t>小型信驊期貨近期</t>
    <phoneticPr fontId="2" type="noConversion"/>
  </si>
  <si>
    <t>小型信驊期貨近期提前一日轉倉</t>
    <phoneticPr fontId="2" type="noConversion"/>
  </si>
  <si>
    <t>小型信驊期貨次月</t>
    <phoneticPr fontId="2" type="noConversion"/>
  </si>
  <si>
    <t>小型信驊期貨次月提前一日轉倉</t>
    <phoneticPr fontId="2" type="noConversion"/>
  </si>
  <si>
    <t>小型信驊期貨202103</t>
    <phoneticPr fontId="2" type="noConversion"/>
  </si>
  <si>
    <t>小型信驊期貨202106</t>
    <phoneticPr fontId="2" type="noConversion"/>
  </si>
  <si>
    <t>小型信驊期貨202109</t>
    <phoneticPr fontId="2" type="noConversion"/>
  </si>
  <si>
    <t>小型信驊期貨202112</t>
    <phoneticPr fontId="2" type="noConversion"/>
  </si>
  <si>
    <t>富采期貨(調整)近期</t>
    <phoneticPr fontId="2" type="noConversion"/>
  </si>
  <si>
    <t>富采期貨(調整)近期提前一日轉倉</t>
    <phoneticPr fontId="2" type="noConversion"/>
  </si>
  <si>
    <t>富采期貨(調整)次月</t>
    <phoneticPr fontId="2" type="noConversion"/>
  </si>
  <si>
    <t>富采期貨(調整)次月提前一日轉倉</t>
    <phoneticPr fontId="2" type="noConversion"/>
  </si>
  <si>
    <t>富采期貨(調整)202103</t>
    <phoneticPr fontId="2" type="noConversion"/>
  </si>
  <si>
    <t>富采期貨(調整)202106</t>
    <phoneticPr fontId="2" type="noConversion"/>
  </si>
  <si>
    <t>富采期貨近期</t>
    <phoneticPr fontId="2" type="noConversion"/>
  </si>
  <si>
    <t>富采期貨近期提前一日轉倉</t>
    <phoneticPr fontId="2" type="noConversion"/>
  </si>
  <si>
    <t>富采期貨次月</t>
    <phoneticPr fontId="2" type="noConversion"/>
  </si>
  <si>
    <t>富采期貨次月提前一日轉倉</t>
    <phoneticPr fontId="2" type="noConversion"/>
  </si>
  <si>
    <t>富采期貨202103</t>
    <phoneticPr fontId="2" type="noConversion"/>
  </si>
  <si>
    <t>富采期貨202106</t>
    <phoneticPr fontId="2" type="noConversion"/>
  </si>
  <si>
    <t>富采期貨202109</t>
    <phoneticPr fontId="2" type="noConversion"/>
  </si>
  <si>
    <t>富采期貨202112</t>
    <phoneticPr fontId="2" type="noConversion"/>
  </si>
  <si>
    <t>裕民期貨近期</t>
    <phoneticPr fontId="2" type="noConversion"/>
  </si>
  <si>
    <t>裕民期貨近期提前一日轉倉</t>
    <phoneticPr fontId="2" type="noConversion"/>
  </si>
  <si>
    <t>裕民期貨次月</t>
    <phoneticPr fontId="2" type="noConversion"/>
  </si>
  <si>
    <t>裕民期貨次月提前一日轉倉</t>
    <phoneticPr fontId="2" type="noConversion"/>
  </si>
  <si>
    <t>裕民期貨202103</t>
    <phoneticPr fontId="2" type="noConversion"/>
  </si>
  <si>
    <t>裕民期貨202106</t>
    <phoneticPr fontId="2" type="noConversion"/>
  </si>
  <si>
    <t>裕民期貨202109</t>
    <phoneticPr fontId="2" type="noConversion"/>
  </si>
  <si>
    <t>裕民期貨202112</t>
    <phoneticPr fontId="2" type="noConversion"/>
  </si>
  <si>
    <t>台勝科期貨近期</t>
    <phoneticPr fontId="2" type="noConversion"/>
  </si>
  <si>
    <t>台勝科期貨近期提前一日轉倉</t>
    <phoneticPr fontId="2" type="noConversion"/>
  </si>
  <si>
    <t>台勝科期貨次月</t>
    <phoneticPr fontId="2" type="noConversion"/>
  </si>
  <si>
    <t>台勝科期貨次月提前一日轉倉</t>
    <phoneticPr fontId="2" type="noConversion"/>
  </si>
  <si>
    <t>台勝科期貨202103</t>
    <phoneticPr fontId="2" type="noConversion"/>
  </si>
  <si>
    <t>台勝科期貨202106</t>
    <phoneticPr fontId="2" type="noConversion"/>
  </si>
  <si>
    <t>台勝科期貨202109</t>
    <phoneticPr fontId="2" type="noConversion"/>
  </si>
  <si>
    <t>台勝科期貨202112</t>
    <phoneticPr fontId="2" type="noConversion"/>
  </si>
  <si>
    <t>小型國巨期貨近期</t>
    <phoneticPr fontId="2" type="noConversion"/>
  </si>
  <si>
    <t>小型國巨期貨近期提前一日轉倉</t>
    <phoneticPr fontId="2" type="noConversion"/>
  </si>
  <si>
    <t>小型國巨期貨次月</t>
    <phoneticPr fontId="2" type="noConversion"/>
  </si>
  <si>
    <t>小型國巨期貨次月提前一日轉倉</t>
    <phoneticPr fontId="2" type="noConversion"/>
  </si>
  <si>
    <t>小型國巨期貨202103</t>
    <phoneticPr fontId="2" type="noConversion"/>
  </si>
  <si>
    <t>小型國巨期貨202106</t>
    <phoneticPr fontId="2" type="noConversion"/>
  </si>
  <si>
    <t>小型國巨期貨202109</t>
    <phoneticPr fontId="2" type="noConversion"/>
  </si>
  <si>
    <t>小型國巨期貨202112</t>
    <phoneticPr fontId="2" type="noConversion"/>
  </si>
  <si>
    <t>小型台積電期貨近期</t>
    <phoneticPr fontId="2" type="noConversion"/>
  </si>
  <si>
    <t>小型台積電期貨近期提前一日轉倉</t>
    <phoneticPr fontId="2" type="noConversion"/>
  </si>
  <si>
    <t>小型台積電期貨次月</t>
    <phoneticPr fontId="2" type="noConversion"/>
  </si>
  <si>
    <t>小型台積電期貨次月提前一日轉倉</t>
    <phoneticPr fontId="2" type="noConversion"/>
  </si>
  <si>
    <t>小型台積電期貨202103</t>
    <phoneticPr fontId="2" type="noConversion"/>
  </si>
  <si>
    <t>小型台積電期貨202106</t>
    <phoneticPr fontId="2" type="noConversion"/>
  </si>
  <si>
    <t>小型台積電期貨202109</t>
    <phoneticPr fontId="2" type="noConversion"/>
  </si>
  <si>
    <t>小型台積電期貨202112</t>
    <phoneticPr fontId="2" type="noConversion"/>
  </si>
  <si>
    <t>小型瑞昱期貨近期</t>
    <phoneticPr fontId="2" type="noConversion"/>
  </si>
  <si>
    <t>小型瑞昱期貨近期提前一日轉倉</t>
    <phoneticPr fontId="2" type="noConversion"/>
  </si>
  <si>
    <t>小型瑞昱期貨次月</t>
    <phoneticPr fontId="2" type="noConversion"/>
  </si>
  <si>
    <t>小型瑞昱期貨次月提前一日轉倉</t>
    <phoneticPr fontId="2" type="noConversion"/>
  </si>
  <si>
    <t>小型瑞昱期貨202103</t>
    <phoneticPr fontId="2" type="noConversion"/>
  </si>
  <si>
    <t>小型瑞昱期貨202106</t>
    <phoneticPr fontId="2" type="noConversion"/>
  </si>
  <si>
    <t>小型瑞昱期貨202109</t>
    <phoneticPr fontId="2" type="noConversion"/>
  </si>
  <si>
    <t>小型瑞昱期貨202112</t>
    <phoneticPr fontId="2" type="noConversion"/>
  </si>
  <si>
    <t>小型聯詠期貨近期</t>
    <phoneticPr fontId="2" type="noConversion"/>
  </si>
  <si>
    <t>小型聯詠期貨近期提前一日轉倉</t>
    <phoneticPr fontId="2" type="noConversion"/>
  </si>
  <si>
    <t>小型聯詠期貨次月</t>
    <phoneticPr fontId="2" type="noConversion"/>
  </si>
  <si>
    <t>小型聯詠期貨次月提前一日轉倉</t>
    <phoneticPr fontId="2" type="noConversion"/>
  </si>
  <si>
    <t>小型聯詠期貨202103</t>
    <phoneticPr fontId="2" type="noConversion"/>
  </si>
  <si>
    <t>小型聯詠期貨202106</t>
    <phoneticPr fontId="2" type="noConversion"/>
  </si>
  <si>
    <t>小型聯詠期貨202109</t>
    <phoneticPr fontId="2" type="noConversion"/>
  </si>
  <si>
    <t>小型聯詠期貨202112</t>
    <phoneticPr fontId="2" type="noConversion"/>
  </si>
  <si>
    <t>小型穩懋期貨近期</t>
    <phoneticPr fontId="2" type="noConversion"/>
  </si>
  <si>
    <t>小型穩懋期貨近期提前一日轉倉</t>
    <phoneticPr fontId="2" type="noConversion"/>
  </si>
  <si>
    <t>小型穩懋期貨次月</t>
    <phoneticPr fontId="2" type="noConversion"/>
  </si>
  <si>
    <t>小型穩懋期貨次月提前一日轉倉</t>
    <phoneticPr fontId="2" type="noConversion"/>
  </si>
  <si>
    <t>小型穩懋期貨202103</t>
    <phoneticPr fontId="2" type="noConversion"/>
  </si>
  <si>
    <t>小型穩懋期貨202106</t>
    <phoneticPr fontId="2" type="noConversion"/>
  </si>
  <si>
    <t>小型穩懋期貨202109</t>
    <phoneticPr fontId="2" type="noConversion"/>
  </si>
  <si>
    <t>小型穩懋期貨202112</t>
    <phoneticPr fontId="2" type="noConversion"/>
  </si>
  <si>
    <t>小型玉晶光期貨近期</t>
    <phoneticPr fontId="2" type="noConversion"/>
  </si>
  <si>
    <t>小型玉晶光期貨近期提前一日轉倉</t>
    <phoneticPr fontId="2" type="noConversion"/>
  </si>
  <si>
    <t>小型玉晶光期貨次月</t>
    <phoneticPr fontId="2" type="noConversion"/>
  </si>
  <si>
    <t>小型玉晶光期貨次月提前一日轉倉</t>
    <phoneticPr fontId="2" type="noConversion"/>
  </si>
  <si>
    <t>小型玉晶光期貨202103</t>
    <phoneticPr fontId="2" type="noConversion"/>
  </si>
  <si>
    <t>小型玉晶光期貨202106</t>
    <phoneticPr fontId="2" type="noConversion"/>
  </si>
  <si>
    <t>小型玉晶光期貨202109</t>
    <phoneticPr fontId="2" type="noConversion"/>
  </si>
  <si>
    <t>小型玉晶光期貨202112</t>
    <phoneticPr fontId="2" type="noConversion"/>
  </si>
  <si>
    <t>美元兌人民幣期貨近期</t>
    <phoneticPr fontId="2" type="noConversion"/>
  </si>
  <si>
    <t>美元兌人民幣期貨近期提前一日轉倉</t>
    <phoneticPr fontId="2" type="noConversion"/>
  </si>
  <si>
    <t>美元兌人民幣期貨近期提前一日轉倉(盤後)</t>
    <phoneticPr fontId="2" type="noConversion"/>
  </si>
  <si>
    <t>美元兌人民幣期貨次月</t>
    <phoneticPr fontId="2" type="noConversion"/>
  </si>
  <si>
    <t>美元兌人民幣期貨次月提前一日轉倉</t>
    <phoneticPr fontId="2" type="noConversion"/>
  </si>
  <si>
    <t>美元兌人民幣期貨202103</t>
    <phoneticPr fontId="2" type="noConversion"/>
  </si>
  <si>
    <t>美元兌人民幣期貨202103(盤後)</t>
    <phoneticPr fontId="2" type="noConversion"/>
  </si>
  <si>
    <t>美元兌人民幣期貨202106</t>
    <phoneticPr fontId="2" type="noConversion"/>
  </si>
  <si>
    <t>美元兌人民幣期貨202106(盤後)</t>
    <phoneticPr fontId="2" type="noConversion"/>
  </si>
  <si>
    <t>美元兌人民幣期貨202109</t>
    <phoneticPr fontId="2" type="noConversion"/>
  </si>
  <si>
    <t>美元兌人民幣期貨202109(盤後)</t>
    <phoneticPr fontId="2" type="noConversion"/>
  </si>
  <si>
    <t>美元兌人民幣期貨202112</t>
    <phoneticPr fontId="2" type="noConversion"/>
  </si>
  <si>
    <t>美元兌人民幣期貨202112(盤後)</t>
    <phoneticPr fontId="2" type="noConversion"/>
  </si>
  <si>
    <t>美元兌人民幣期貨202203</t>
    <phoneticPr fontId="2" type="noConversion"/>
  </si>
  <si>
    <t>美元兌人民幣期貨202203(盤後)</t>
    <phoneticPr fontId="2" type="noConversion"/>
  </si>
  <si>
    <t>美元兌人民幣期貨次月(盤後)</t>
    <phoneticPr fontId="2" type="noConversion"/>
  </si>
  <si>
    <t>美元兌人民幣期貨近期(盤後)</t>
    <phoneticPr fontId="2" type="noConversion"/>
  </si>
  <si>
    <t>小型美元兌人民幣期貨近期</t>
    <phoneticPr fontId="2" type="noConversion"/>
  </si>
  <si>
    <t>小型美元兌人民幣期貨近期提前一日轉倉</t>
    <phoneticPr fontId="2" type="noConversion"/>
  </si>
  <si>
    <t>小型美元兌人民幣期貨近期提前一日轉倉(盤後)</t>
    <phoneticPr fontId="2" type="noConversion"/>
  </si>
  <si>
    <t>小型美元兌人民幣期貨次月</t>
    <phoneticPr fontId="2" type="noConversion"/>
  </si>
  <si>
    <t>小型美元兌人民幣期貨次月提前一日轉倉</t>
    <phoneticPr fontId="2" type="noConversion"/>
  </si>
  <si>
    <t>小型美元兌人民幣期貨202103</t>
    <phoneticPr fontId="2" type="noConversion"/>
  </si>
  <si>
    <t>小型美元兌人民幣期貨202103(盤後)</t>
    <phoneticPr fontId="2" type="noConversion"/>
  </si>
  <si>
    <t>小型美元兌人民幣期貨202106</t>
    <phoneticPr fontId="2" type="noConversion"/>
  </si>
  <si>
    <t>小型美元兌人民幣期貨202106(盤後)</t>
    <phoneticPr fontId="2" type="noConversion"/>
  </si>
  <si>
    <t>小型美元兌人民幣期貨202109</t>
    <phoneticPr fontId="2" type="noConversion"/>
  </si>
  <si>
    <t>小型美元兌人民幣期貨202109(盤後)</t>
    <phoneticPr fontId="2" type="noConversion"/>
  </si>
  <si>
    <t>小型美元兌人民幣期貨202112</t>
    <phoneticPr fontId="2" type="noConversion"/>
  </si>
  <si>
    <t>小型美元兌人民幣期貨202112(盤後)</t>
    <phoneticPr fontId="2" type="noConversion"/>
  </si>
  <si>
    <t>小型美元兌人民幣期貨202203</t>
    <phoneticPr fontId="2" type="noConversion"/>
  </si>
  <si>
    <t>小型美元兌人民幣期貨202203(盤後)</t>
    <phoneticPr fontId="2" type="noConversion"/>
  </si>
  <si>
    <t>小型美元兌人民幣期貨次月(盤後)</t>
    <phoneticPr fontId="2" type="noConversion"/>
  </si>
  <si>
    <t>小型美元兌人民幣期貨近期(盤後)</t>
    <phoneticPr fontId="2" type="noConversion"/>
  </si>
  <si>
    <t>新加坡富台期指近期</t>
    <phoneticPr fontId="2" type="noConversion"/>
  </si>
  <si>
    <t>新加坡富台期指次月</t>
    <phoneticPr fontId="2" type="noConversion"/>
  </si>
  <si>
    <t>新加坡富台期指202102</t>
    <phoneticPr fontId="2" type="noConversion"/>
  </si>
  <si>
    <t>新加坡富台期指202103</t>
    <phoneticPr fontId="2" type="noConversion"/>
  </si>
  <si>
    <t>美國標普500期貨近期</t>
    <phoneticPr fontId="2" type="noConversion"/>
  </si>
  <si>
    <t>美國標普500期貨近期提前一日轉倉</t>
    <phoneticPr fontId="2" type="noConversion"/>
  </si>
  <si>
    <t>美國標普500期貨近期提前一日轉倉(盤後)</t>
    <phoneticPr fontId="2" type="noConversion"/>
  </si>
  <si>
    <t>美國標普500期貨次月</t>
    <phoneticPr fontId="2" type="noConversion"/>
  </si>
  <si>
    <t>美國標普500期貨次月提前一日轉倉</t>
    <phoneticPr fontId="2" type="noConversion"/>
  </si>
  <si>
    <t>美國標普500期貨202103</t>
    <phoneticPr fontId="2" type="noConversion"/>
  </si>
  <si>
    <t>美國標普500期貨202103(盤後)</t>
    <phoneticPr fontId="2" type="noConversion"/>
  </si>
  <si>
    <t>美國標普500期貨202106</t>
    <phoneticPr fontId="2" type="noConversion"/>
  </si>
  <si>
    <t>美國標普500期貨202106(盤後)</t>
    <phoneticPr fontId="2" type="noConversion"/>
  </si>
  <si>
    <t>美國標普500期貨202109</t>
    <phoneticPr fontId="2" type="noConversion"/>
  </si>
  <si>
    <t>美國標普500期貨202109(盤後)</t>
    <phoneticPr fontId="2" type="noConversion"/>
  </si>
  <si>
    <t>美國標普500期貨202112</t>
    <phoneticPr fontId="2" type="noConversion"/>
  </si>
  <si>
    <t>美國標普500期貨202112(盤後)</t>
    <phoneticPr fontId="2" type="noConversion"/>
  </si>
  <si>
    <t>美國標普500期貨202203</t>
    <phoneticPr fontId="2" type="noConversion"/>
  </si>
  <si>
    <t>美國標普500期貨202203(盤後)</t>
    <phoneticPr fontId="2" type="noConversion"/>
  </si>
  <si>
    <t>美國標普500期貨次月(盤後)</t>
    <phoneticPr fontId="2" type="noConversion"/>
  </si>
  <si>
    <t>美國標普500期貨近期(盤後)</t>
    <phoneticPr fontId="2" type="noConversion"/>
  </si>
  <si>
    <t>臺灣50期貨近期</t>
    <phoneticPr fontId="2" type="noConversion"/>
  </si>
  <si>
    <t>臺灣50期貨近期提前一日轉倉</t>
    <phoneticPr fontId="2" type="noConversion"/>
  </si>
  <si>
    <t>臺灣50期貨次月</t>
    <phoneticPr fontId="2" type="noConversion"/>
  </si>
  <si>
    <t>臺灣50期貨次月提前一日轉倉</t>
    <phoneticPr fontId="2" type="noConversion"/>
  </si>
  <si>
    <t>臺灣50期貨202103</t>
    <phoneticPr fontId="2" type="noConversion"/>
  </si>
  <si>
    <t>臺灣50期貨202104</t>
    <phoneticPr fontId="2" type="noConversion"/>
  </si>
  <si>
    <t>臺灣50期貨202106</t>
    <phoneticPr fontId="2" type="noConversion"/>
  </si>
  <si>
    <t>臺灣50期貨202109</t>
    <phoneticPr fontId="2" type="noConversion"/>
  </si>
  <si>
    <t>臺灣50期貨202112</t>
    <phoneticPr fontId="2" type="noConversion"/>
  </si>
  <si>
    <t>臺灣50期貨近三月</t>
    <phoneticPr fontId="2" type="noConversion"/>
  </si>
  <si>
    <t>臺灣50期貨近三月提前一日轉倉</t>
    <phoneticPr fontId="2" type="noConversion"/>
  </si>
  <si>
    <t>電子期貨近期</t>
    <phoneticPr fontId="2" type="noConversion"/>
  </si>
  <si>
    <t>電子期貨近期提前一日轉倉</t>
    <phoneticPr fontId="2" type="noConversion"/>
  </si>
  <si>
    <t>電子期貨近期提前一日轉倉(盤後)</t>
    <phoneticPr fontId="2" type="noConversion"/>
  </si>
  <si>
    <t>電子期貨次月</t>
    <phoneticPr fontId="2" type="noConversion"/>
  </si>
  <si>
    <t>電子期貨次月提前一日轉倉</t>
    <phoneticPr fontId="2" type="noConversion"/>
  </si>
  <si>
    <t>電子期貨次月提前一日轉倉(盤後)</t>
    <phoneticPr fontId="2" type="noConversion"/>
  </si>
  <si>
    <t>電子期貨202103</t>
    <phoneticPr fontId="2" type="noConversion"/>
  </si>
  <si>
    <t>電子期貨202103／04(盤後)</t>
    <phoneticPr fontId="2" type="noConversion"/>
  </si>
  <si>
    <t>電子期貨202103(盤後)</t>
    <phoneticPr fontId="2" type="noConversion"/>
  </si>
  <si>
    <t>電子期貨202104</t>
    <phoneticPr fontId="2" type="noConversion"/>
  </si>
  <si>
    <t>電子期貨202104(盤後)</t>
    <phoneticPr fontId="2" type="noConversion"/>
  </si>
  <si>
    <t>電子期貨202106</t>
    <phoneticPr fontId="2" type="noConversion"/>
  </si>
  <si>
    <t>電子期貨202106(盤後)</t>
    <phoneticPr fontId="2" type="noConversion"/>
  </si>
  <si>
    <t>電子期貨202109</t>
    <phoneticPr fontId="2" type="noConversion"/>
  </si>
  <si>
    <t>電子期貨202109(盤後)</t>
    <phoneticPr fontId="2" type="noConversion"/>
  </si>
  <si>
    <t>電子期貨202112</t>
    <phoneticPr fontId="2" type="noConversion"/>
  </si>
  <si>
    <t>電子期貨202112(盤後)</t>
    <phoneticPr fontId="2" type="noConversion"/>
  </si>
  <si>
    <t>電子期貨次月(盤後)</t>
    <phoneticPr fontId="2" type="noConversion"/>
  </si>
  <si>
    <t>電子期貨近三月</t>
    <phoneticPr fontId="2" type="noConversion"/>
  </si>
  <si>
    <t>電子期貨近三月提前一日轉倉</t>
    <phoneticPr fontId="2" type="noConversion"/>
  </si>
  <si>
    <t>電子期貨近三月(盤後)</t>
    <phoneticPr fontId="2" type="noConversion"/>
  </si>
  <si>
    <t>電子期貨近期(盤後)</t>
    <phoneticPr fontId="2" type="noConversion"/>
  </si>
  <si>
    <t>金融期貨近期</t>
    <phoneticPr fontId="2" type="noConversion"/>
  </si>
  <si>
    <t>金融期貨近期提前一日轉倉</t>
    <phoneticPr fontId="2" type="noConversion"/>
  </si>
  <si>
    <t>金融期貨次月</t>
    <phoneticPr fontId="2" type="noConversion"/>
  </si>
  <si>
    <t>金融期貨次月提前一日轉倉</t>
    <phoneticPr fontId="2" type="noConversion"/>
  </si>
  <si>
    <t>金融期貨202103</t>
    <phoneticPr fontId="2" type="noConversion"/>
  </si>
  <si>
    <t>金融期貨202104</t>
    <phoneticPr fontId="2" type="noConversion"/>
  </si>
  <si>
    <t>金融期貨202106</t>
    <phoneticPr fontId="2" type="noConversion"/>
  </si>
  <si>
    <t>金融期貨202109</t>
    <phoneticPr fontId="2" type="noConversion"/>
  </si>
  <si>
    <t>金融期貨202112</t>
    <phoneticPr fontId="2" type="noConversion"/>
  </si>
  <si>
    <t>金融期貨近三月</t>
    <phoneticPr fontId="2" type="noConversion"/>
  </si>
  <si>
    <t>金融期貨近三月提前一日轉倉</t>
    <phoneticPr fontId="2" type="noConversion"/>
  </si>
  <si>
    <t>臺幣黃金期貨近期</t>
    <phoneticPr fontId="2" type="noConversion"/>
  </si>
  <si>
    <t>臺幣黃金期貨近期提前一日轉倉</t>
    <phoneticPr fontId="2" type="noConversion"/>
  </si>
  <si>
    <t>臺幣黃金期貨近期提前一日轉倉(盤後)</t>
    <phoneticPr fontId="2" type="noConversion"/>
  </si>
  <si>
    <t>臺幣黃金期貨次月</t>
    <phoneticPr fontId="2" type="noConversion"/>
  </si>
  <si>
    <t>臺幣黃金期貨次月提前一日轉倉</t>
    <phoneticPr fontId="2" type="noConversion"/>
  </si>
  <si>
    <t>臺幣黃金期貨202102</t>
    <phoneticPr fontId="2" type="noConversion"/>
  </si>
  <si>
    <t>臺幣黃金期貨202102／04(盤後)</t>
    <phoneticPr fontId="2" type="noConversion"/>
  </si>
  <si>
    <t>臺幣黃金期貨202102(盤後)</t>
    <phoneticPr fontId="2" type="noConversion"/>
  </si>
  <si>
    <t>臺幣黃金期貨202104</t>
    <phoneticPr fontId="2" type="noConversion"/>
  </si>
  <si>
    <t>臺幣黃金期貨202104(盤後)</t>
    <phoneticPr fontId="2" type="noConversion"/>
  </si>
  <si>
    <t>臺幣黃金期貨202106</t>
    <phoneticPr fontId="2" type="noConversion"/>
  </si>
  <si>
    <t>臺幣黃金期貨202106(盤後)</t>
    <phoneticPr fontId="2" type="noConversion"/>
  </si>
  <si>
    <t>臺幣黃金期貨202108</t>
    <phoneticPr fontId="2" type="noConversion"/>
  </si>
  <si>
    <t>臺幣黃金期貨202108(盤後)</t>
    <phoneticPr fontId="2" type="noConversion"/>
  </si>
  <si>
    <t>臺幣黃金期貨202110</t>
    <phoneticPr fontId="2" type="noConversion"/>
  </si>
  <si>
    <t>臺幣黃金期貨202110(盤後)</t>
    <phoneticPr fontId="2" type="noConversion"/>
  </si>
  <si>
    <t>臺幣黃金期貨202112</t>
    <phoneticPr fontId="2" type="noConversion"/>
  </si>
  <si>
    <t>臺幣黃金期貨202112(盤後)</t>
    <phoneticPr fontId="2" type="noConversion"/>
  </si>
  <si>
    <t>臺幣黃金期貨次月(盤後)</t>
    <phoneticPr fontId="2" type="noConversion"/>
  </si>
  <si>
    <t>臺幣黃金期貨近期(盤後)</t>
    <phoneticPr fontId="2" type="noConversion"/>
  </si>
  <si>
    <t>東證期貨近期</t>
    <phoneticPr fontId="2" type="noConversion"/>
  </si>
  <si>
    <t>東證期貨近期提前一日轉倉</t>
    <phoneticPr fontId="2" type="noConversion"/>
  </si>
  <si>
    <t>東證期貨次月</t>
    <phoneticPr fontId="2" type="noConversion"/>
  </si>
  <si>
    <t>東證期貨次月提前一日轉倉</t>
    <phoneticPr fontId="2" type="noConversion"/>
  </si>
  <si>
    <t>東證期貨202103</t>
    <phoneticPr fontId="2" type="noConversion"/>
  </si>
  <si>
    <t>東證期貨202106</t>
    <phoneticPr fontId="2" type="noConversion"/>
  </si>
  <si>
    <t>東證期貨202109</t>
    <phoneticPr fontId="2" type="noConversion"/>
  </si>
  <si>
    <t>東證期貨202112</t>
    <phoneticPr fontId="2" type="noConversion"/>
  </si>
  <si>
    <t>摩根現貨</t>
    <phoneticPr fontId="2" type="noConversion"/>
  </si>
  <si>
    <t>臺股期貨近期</t>
    <phoneticPr fontId="2" type="noConversion"/>
  </si>
  <si>
    <t>臺股期貨近期提前一日轉倉</t>
    <phoneticPr fontId="2" type="noConversion"/>
  </si>
  <si>
    <t>臺股期貨近期提前一日轉倉(盤後)</t>
    <phoneticPr fontId="2" type="noConversion"/>
  </si>
  <si>
    <t>臺股期貨次月</t>
    <phoneticPr fontId="2" type="noConversion"/>
  </si>
  <si>
    <t>臺股期貨次月提前一日轉倉</t>
    <phoneticPr fontId="2" type="noConversion"/>
  </si>
  <si>
    <t>臺股期貨次月提前一日轉倉(盤後)</t>
    <phoneticPr fontId="2" type="noConversion"/>
  </si>
  <si>
    <t>臺股期貨202103</t>
    <phoneticPr fontId="2" type="noConversion"/>
  </si>
  <si>
    <t>臺股期貨202103／04</t>
    <phoneticPr fontId="2" type="noConversion"/>
  </si>
  <si>
    <t>臺股期貨202103／12</t>
    <phoneticPr fontId="2" type="noConversion"/>
  </si>
  <si>
    <t>臺股期貨202103／12(盤後)</t>
    <phoneticPr fontId="2" type="noConversion"/>
  </si>
  <si>
    <t>臺股期貨202103(盤後)</t>
    <phoneticPr fontId="2" type="noConversion"/>
  </si>
  <si>
    <t>臺股期貨202104</t>
    <phoneticPr fontId="2" type="noConversion"/>
  </si>
  <si>
    <t>臺股期貨202104(盤後)</t>
    <phoneticPr fontId="2" type="noConversion"/>
  </si>
  <si>
    <t>臺股期貨202106</t>
    <phoneticPr fontId="2" type="noConversion"/>
  </si>
  <si>
    <t>臺股期貨202106／09</t>
    <phoneticPr fontId="2" type="noConversion"/>
  </si>
  <si>
    <t>臺股期貨202106(盤後)</t>
    <phoneticPr fontId="2" type="noConversion"/>
  </si>
  <si>
    <t>臺股期貨202109</t>
    <phoneticPr fontId="2" type="noConversion"/>
  </si>
  <si>
    <t>臺股期貨202109(盤後)</t>
    <phoneticPr fontId="2" type="noConversion"/>
  </si>
  <si>
    <t>臺股期貨202112</t>
    <phoneticPr fontId="2" type="noConversion"/>
  </si>
  <si>
    <t>臺股期貨202112(盤後)</t>
    <phoneticPr fontId="2" type="noConversion"/>
  </si>
  <si>
    <t>臺股期貨次月(盤後)</t>
    <phoneticPr fontId="2" type="noConversion"/>
  </si>
  <si>
    <t>臺股期貨近三月</t>
    <phoneticPr fontId="2" type="noConversion"/>
  </si>
  <si>
    <t>臺股期貨近三月提前一日轉倉</t>
    <phoneticPr fontId="2" type="noConversion"/>
  </si>
  <si>
    <t>臺股期貨近三月(盤後)</t>
    <phoneticPr fontId="2" type="noConversion"/>
  </si>
  <si>
    <t>臺股期貨近期(盤後)</t>
    <phoneticPr fontId="2" type="noConversion"/>
  </si>
  <si>
    <t>美國道瓊期貨近期</t>
    <phoneticPr fontId="2" type="noConversion"/>
  </si>
  <si>
    <t>美國道瓊期貨近期提前一日轉倉</t>
    <phoneticPr fontId="2" type="noConversion"/>
  </si>
  <si>
    <t>美國道瓊期貨近期提前一日轉倉(盤後)</t>
    <phoneticPr fontId="2" type="noConversion"/>
  </si>
  <si>
    <t>美國道瓊期貨次月</t>
    <phoneticPr fontId="2" type="noConversion"/>
  </si>
  <si>
    <t>美國道瓊期貨次月提前一日轉倉</t>
    <phoneticPr fontId="2" type="noConversion"/>
  </si>
  <si>
    <t>美國道瓊期貨202103</t>
    <phoneticPr fontId="2" type="noConversion"/>
  </si>
  <si>
    <t>美國道瓊期貨202103／06</t>
    <phoneticPr fontId="2" type="noConversion"/>
  </si>
  <si>
    <t>美國道瓊期貨202103／06(盤後)</t>
    <phoneticPr fontId="2" type="noConversion"/>
  </si>
  <si>
    <t>美國道瓊期貨202103(盤後)</t>
    <phoneticPr fontId="2" type="noConversion"/>
  </si>
  <si>
    <t>美國道瓊期貨202106</t>
    <phoneticPr fontId="2" type="noConversion"/>
  </si>
  <si>
    <t>美國道瓊期貨202106(盤後)</t>
    <phoneticPr fontId="2" type="noConversion"/>
  </si>
  <si>
    <t>美國道瓊期貨202109</t>
    <phoneticPr fontId="2" type="noConversion"/>
  </si>
  <si>
    <t>美國道瓊期貨202109(盤後)</t>
    <phoneticPr fontId="2" type="noConversion"/>
  </si>
  <si>
    <t>美國道瓊期貨202112</t>
    <phoneticPr fontId="2" type="noConversion"/>
  </si>
  <si>
    <t>美國道瓊期貨202112(盤後)</t>
    <phoneticPr fontId="2" type="noConversion"/>
  </si>
  <si>
    <t>美國道瓊期貨次月(盤後)</t>
    <phoneticPr fontId="2" type="noConversion"/>
  </si>
  <si>
    <t>美國道瓊期貨近期(盤後)</t>
    <phoneticPr fontId="2" type="noConversion"/>
  </si>
  <si>
    <t>美國那斯達克100期貨近期</t>
    <phoneticPr fontId="2" type="noConversion"/>
  </si>
  <si>
    <t>美國那斯達克100期貨近期提前一日轉倉</t>
    <phoneticPr fontId="2" type="noConversion"/>
  </si>
  <si>
    <t>美國那斯達克100期貨近期提前一日轉倉(盤後)</t>
    <phoneticPr fontId="2" type="noConversion"/>
  </si>
  <si>
    <t>美國那斯達克100期貨次月</t>
    <phoneticPr fontId="2" type="noConversion"/>
  </si>
  <si>
    <t>美國那斯達克100期貨次月提前一日轉倉</t>
    <phoneticPr fontId="2" type="noConversion"/>
  </si>
  <si>
    <t>美國那斯達克100期貨202103</t>
    <phoneticPr fontId="2" type="noConversion"/>
  </si>
  <si>
    <t>美國那斯達克100期貨202103／06</t>
    <phoneticPr fontId="2" type="noConversion"/>
  </si>
  <si>
    <t>美國那斯達克100期貨202103／06(盤後)</t>
    <phoneticPr fontId="2" type="noConversion"/>
  </si>
  <si>
    <t>美國那斯達克100期貨202103(盤後)</t>
    <phoneticPr fontId="2" type="noConversion"/>
  </si>
  <si>
    <t>美國那斯達克100期貨202106</t>
    <phoneticPr fontId="2" type="noConversion"/>
  </si>
  <si>
    <t>美國那斯達克100期貨202106(盤後)</t>
    <phoneticPr fontId="2" type="noConversion"/>
  </si>
  <si>
    <t>美國那斯達克100期貨202109</t>
    <phoneticPr fontId="2" type="noConversion"/>
  </si>
  <si>
    <t>美國那斯達克100期貨202109(盤後)</t>
    <phoneticPr fontId="2" type="noConversion"/>
  </si>
  <si>
    <t>美國那斯達克100期貨202112</t>
    <phoneticPr fontId="2" type="noConversion"/>
  </si>
  <si>
    <t>美國那斯達克100期貨202112(盤後)</t>
    <phoneticPr fontId="2" type="noConversion"/>
  </si>
  <si>
    <t>美國那斯達克100期貨202203</t>
    <phoneticPr fontId="2" type="noConversion"/>
  </si>
  <si>
    <t>美國那斯達克100期貨202203(盤後)</t>
    <phoneticPr fontId="2" type="noConversion"/>
  </si>
  <si>
    <t>美國那斯達克100期貨次月(盤後)</t>
    <phoneticPr fontId="2" type="noConversion"/>
  </si>
  <si>
    <t>美國那斯達克100期貨近期(盤後)</t>
    <phoneticPr fontId="2" type="noConversion"/>
  </si>
  <si>
    <t>澳幣兌美元期貨近期</t>
    <phoneticPr fontId="2" type="noConversion"/>
  </si>
  <si>
    <t>澳幣兌美元期貨近期提前一日轉倉</t>
    <phoneticPr fontId="2" type="noConversion"/>
  </si>
  <si>
    <t>澳幣兌美元期貨近期提前一日轉倉(盤後)</t>
    <phoneticPr fontId="2" type="noConversion"/>
  </si>
  <si>
    <t>澳幣兌美元期貨次月</t>
    <phoneticPr fontId="2" type="noConversion"/>
  </si>
  <si>
    <t>澳幣兌美元期貨次月提前一日轉倉</t>
    <phoneticPr fontId="2" type="noConversion"/>
  </si>
  <si>
    <t>澳幣兌美元期貨202103</t>
    <phoneticPr fontId="2" type="noConversion"/>
  </si>
  <si>
    <t>澳幣兌美元期貨202103(盤後)</t>
    <phoneticPr fontId="2" type="noConversion"/>
  </si>
  <si>
    <t>澳幣兌美元期貨202106</t>
    <phoneticPr fontId="2" type="noConversion"/>
  </si>
  <si>
    <t>澳幣兌美元期貨202106(盤後)</t>
    <phoneticPr fontId="2" type="noConversion"/>
  </si>
  <si>
    <t>澳幣兌美元期貨202109</t>
    <phoneticPr fontId="2" type="noConversion"/>
  </si>
  <si>
    <t>澳幣兌美元期貨202109(盤後)</t>
    <phoneticPr fontId="2" type="noConversion"/>
  </si>
  <si>
    <t>澳幣兌美元期貨202112</t>
    <phoneticPr fontId="2" type="noConversion"/>
  </si>
  <si>
    <t>澳幣兌美元期貨202112(盤後)</t>
    <phoneticPr fontId="2" type="noConversion"/>
  </si>
  <si>
    <t>澳幣兌美元期貨次月(盤後)</t>
    <phoneticPr fontId="2" type="noConversion"/>
  </si>
  <si>
    <t>澳幣兌美元期貨近期(盤後)</t>
    <phoneticPr fontId="2" type="noConversion"/>
  </si>
  <si>
    <t>英鎊兌美元期貨近期</t>
    <phoneticPr fontId="2" type="noConversion"/>
  </si>
  <si>
    <t>英鎊兌美元期貨近期提前一日轉倉</t>
    <phoneticPr fontId="2" type="noConversion"/>
  </si>
  <si>
    <t>英鎊兌美元期貨近期提前一日轉倉(盤後)</t>
    <phoneticPr fontId="2" type="noConversion"/>
  </si>
  <si>
    <t>英鎊兌美元期貨次月</t>
    <phoneticPr fontId="2" type="noConversion"/>
  </si>
  <si>
    <t>英鎊兌美元期貨次月提前一日轉倉</t>
    <phoneticPr fontId="2" type="noConversion"/>
  </si>
  <si>
    <t>英鎊兌美元期貨202103</t>
    <phoneticPr fontId="2" type="noConversion"/>
  </si>
  <si>
    <t>英鎊兌美元期貨202103(盤後)</t>
    <phoneticPr fontId="2" type="noConversion"/>
  </si>
  <si>
    <t>英鎊兌美元期貨202106</t>
    <phoneticPr fontId="2" type="noConversion"/>
  </si>
  <si>
    <t>英鎊兌美元期貨202106(盤後)</t>
    <phoneticPr fontId="2" type="noConversion"/>
  </si>
  <si>
    <t>英鎊兌美元期貨202109</t>
    <phoneticPr fontId="2" type="noConversion"/>
  </si>
  <si>
    <t>英鎊兌美元期貨202109(盤後)</t>
    <phoneticPr fontId="2" type="noConversion"/>
  </si>
  <si>
    <t>英鎊兌美元期貨202112</t>
    <phoneticPr fontId="2" type="noConversion"/>
  </si>
  <si>
    <t>英鎊兌美元期貨202112(盤後)</t>
    <phoneticPr fontId="2" type="noConversion"/>
  </si>
  <si>
    <t>英鎊兌美元期貨次月(盤後)</t>
    <phoneticPr fontId="2" type="noConversion"/>
  </si>
  <si>
    <t>英鎊兌美元期貨近期(盤後)</t>
    <phoneticPr fontId="2" type="noConversion"/>
  </si>
  <si>
    <t>歐元兌美元期貨近期</t>
    <phoneticPr fontId="2" type="noConversion"/>
  </si>
  <si>
    <t>歐元兌美元期貨近期提前一日轉倉</t>
    <phoneticPr fontId="2" type="noConversion"/>
  </si>
  <si>
    <t>歐元兌美元期貨近期提前一日轉倉(盤後)</t>
    <phoneticPr fontId="2" type="noConversion"/>
  </si>
  <si>
    <t>歐元兌美元期貨次月</t>
    <phoneticPr fontId="2" type="noConversion"/>
  </si>
  <si>
    <t>歐元兌美元期貨次月提前一日轉倉</t>
    <phoneticPr fontId="2" type="noConversion"/>
  </si>
  <si>
    <t>歐元兌美元期貨202103</t>
    <phoneticPr fontId="2" type="noConversion"/>
  </si>
  <si>
    <t>歐元兌美元期貨202103(盤後)</t>
    <phoneticPr fontId="2" type="noConversion"/>
  </si>
  <si>
    <t>歐元兌美元期貨202106</t>
    <phoneticPr fontId="2" type="noConversion"/>
  </si>
  <si>
    <t>歐元兌美元期貨202106(盤後)</t>
    <phoneticPr fontId="2" type="noConversion"/>
  </si>
  <si>
    <t>歐元兌美元期貨202109</t>
    <phoneticPr fontId="2" type="noConversion"/>
  </si>
  <si>
    <t>歐元兌美元期貨202109(盤後)</t>
    <phoneticPr fontId="2" type="noConversion"/>
  </si>
  <si>
    <t>歐元兌美元期貨202112</t>
    <phoneticPr fontId="2" type="noConversion"/>
  </si>
  <si>
    <t>歐元兌美元期貨202112(盤後)</t>
    <phoneticPr fontId="2" type="noConversion"/>
  </si>
  <si>
    <t>歐元兌美元期貨次月(盤後)</t>
    <phoneticPr fontId="2" type="noConversion"/>
  </si>
  <si>
    <t>歐元兌美元期貨近期(盤後)</t>
    <phoneticPr fontId="2" type="noConversion"/>
  </si>
  <si>
    <t>非金電期貨近期</t>
    <phoneticPr fontId="2" type="noConversion"/>
  </si>
  <si>
    <t>非金電期貨近期提前一日轉倉</t>
    <phoneticPr fontId="2" type="noConversion"/>
  </si>
  <si>
    <t>非金電期貨次月</t>
    <phoneticPr fontId="2" type="noConversion"/>
  </si>
  <si>
    <t>非金電期貨次月提前一日轉倉</t>
    <phoneticPr fontId="2" type="noConversion"/>
  </si>
  <si>
    <t>非金電期貨202103</t>
    <phoneticPr fontId="2" type="noConversion"/>
  </si>
  <si>
    <t>非金電期貨202104</t>
    <phoneticPr fontId="2" type="noConversion"/>
  </si>
  <si>
    <t>非金電期貨202106</t>
    <phoneticPr fontId="2" type="noConversion"/>
  </si>
  <si>
    <t>非金電期貨202109</t>
    <phoneticPr fontId="2" type="noConversion"/>
  </si>
  <si>
    <t>非金電期貨202112</t>
    <phoneticPr fontId="2" type="noConversion"/>
  </si>
  <si>
    <t>非金電期貨近三月</t>
    <phoneticPr fontId="2" type="noConversion"/>
  </si>
  <si>
    <t>非金電期貨近三月提前一日轉倉</t>
    <phoneticPr fontId="2" type="noConversion"/>
  </si>
  <si>
    <t>美元兌日圓期貨近期</t>
    <phoneticPr fontId="2" type="noConversion"/>
  </si>
  <si>
    <t>美元兌日圓期貨近期提前一日轉倉</t>
    <phoneticPr fontId="2" type="noConversion"/>
  </si>
  <si>
    <t>美元兌日圓期貨近期提前一日轉倉(盤後)</t>
    <phoneticPr fontId="2" type="noConversion"/>
  </si>
  <si>
    <t>美元兌日圓期貨次月</t>
    <phoneticPr fontId="2" type="noConversion"/>
  </si>
  <si>
    <t>美元兌日圓期貨次月提前一日轉倉</t>
    <phoneticPr fontId="2" type="noConversion"/>
  </si>
  <si>
    <t>美元兌日圓期貨202103</t>
    <phoneticPr fontId="2" type="noConversion"/>
  </si>
  <si>
    <t>美元兌日圓期貨202103(盤後)</t>
    <phoneticPr fontId="2" type="noConversion"/>
  </si>
  <si>
    <t>美元兌日圓期貨202106</t>
    <phoneticPr fontId="2" type="noConversion"/>
  </si>
  <si>
    <t>美元兌日圓期貨202106(盤後)</t>
    <phoneticPr fontId="2" type="noConversion"/>
  </si>
  <si>
    <t>美元兌日圓期貨202109</t>
    <phoneticPr fontId="2" type="noConversion"/>
  </si>
  <si>
    <t>美元兌日圓期貨202109(盤後)</t>
    <phoneticPr fontId="2" type="noConversion"/>
  </si>
  <si>
    <t>美元兌日圓期貨202112</t>
    <phoneticPr fontId="2" type="noConversion"/>
  </si>
  <si>
    <t>美元兌日圓期貨202112(盤後)</t>
    <phoneticPr fontId="2" type="noConversion"/>
  </si>
  <si>
    <t>美元兌日圓期貨次月(盤後)</t>
    <phoneticPr fontId="2" type="noConversion"/>
  </si>
  <si>
    <t>美元兌日圓期貨近期(盤後)</t>
    <phoneticPr fontId="2" type="noConversion"/>
  </si>
  <si>
    <t>202103／06</t>
  </si>
  <si>
    <t>202103／09</t>
  </si>
  <si>
    <t>202106／09</t>
  </si>
  <si>
    <t>202109／12</t>
  </si>
  <si>
    <t>202103／12</t>
  </si>
  <si>
    <t>202106／12</t>
  </si>
  <si>
    <t>202103／04</t>
  </si>
  <si>
    <t>昨結算價</t>
    <phoneticPr fontId="2" type="noConversion"/>
  </si>
  <si>
    <t>C</t>
    <phoneticPr fontId="2" type="noConversion"/>
  </si>
  <si>
    <t>03</t>
    <phoneticPr fontId="2" type="noConversion"/>
  </si>
  <si>
    <t>20210223日期</t>
    <phoneticPr fontId="2" type="noConversion"/>
  </si>
  <si>
    <t>20210223交割月份</t>
    <phoneticPr fontId="2" type="noConversion"/>
  </si>
  <si>
    <t>20210223開盤價</t>
    <phoneticPr fontId="2" type="noConversion"/>
  </si>
  <si>
    <t>20210223最高價</t>
    <phoneticPr fontId="2" type="noConversion"/>
  </si>
  <si>
    <t>20210223最低價</t>
    <phoneticPr fontId="2" type="noConversion"/>
  </si>
  <si>
    <t>20210223收盤價</t>
    <phoneticPr fontId="2" type="noConversion"/>
  </si>
  <si>
    <t>20210223漲跌</t>
    <phoneticPr fontId="2" type="noConversion"/>
  </si>
  <si>
    <t>20210223漲幅(%)</t>
    <phoneticPr fontId="2" type="noConversion"/>
  </si>
  <si>
    <t>20210223成交量</t>
    <phoneticPr fontId="2" type="noConversion"/>
  </si>
  <si>
    <t>20210223結算價</t>
    <phoneticPr fontId="2" type="noConversion"/>
  </si>
  <si>
    <t>20210223未沖銷契約數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</si>
</sst>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.0%"/>
  </numFmts>
  <fonts count="1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rgb="FF0000FF"/>
      <name val="新細明體"/>
      <family val="1"/>
      <charset val="136"/>
    </font>
    <font>
      <sz val="11"/>
      <color theme="1"/>
      <name val="新細明體"/>
      <family val="1"/>
      <charset val="136"/>
    </font>
    <font>
      <b/>
      <sz val="11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176" fontId="3" fillId="0" borderId="0" xfId="2" applyNumberFormat="1" applyFont="1" applyProtection="1">
      <alignment vertical="center"/>
      <protection locked="0"/>
    </xf>
    <xf numFmtId="176" fontId="6" fillId="2" borderId="0" xfId="2" applyNumberFormat="1" applyFont="1" applyFill="1" applyBorder="1" applyAlignment="1" applyProtection="1">
      <alignment horizontal="center" vertical="center" wrapText="1"/>
      <protection locked="0"/>
    </xf>
    <xf numFmtId="176" fontId="7" fillId="0" borderId="0" xfId="2" applyNumberFormat="1" applyFont="1" applyFill="1" applyBorder="1" applyAlignment="1" applyProtection="1">
      <alignment horizontal="left" vertical="center" wrapText="1"/>
      <protection locked="0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0" borderId="0" xfId="0" quotePrefix="1" applyFont="1">
      <alignment vertical="center"/>
    </xf>
    <xf numFmtId="177" fontId="12" fillId="0" borderId="0" xfId="1" applyNumberFormat="1" applyFont="1">
      <alignment vertical="center"/>
    </xf>
    <xf numFmtId="0" fontId="12" fillId="0" borderId="0" xfId="0" applyFont="1" applyFill="1">
      <alignment vertical="center"/>
    </xf>
    <xf numFmtId="177" fontId="12" fillId="0" borderId="0" xfId="1" applyNumberFormat="1" applyFont="1" applyFill="1">
      <alignment vertical="center"/>
    </xf>
    <xf numFmtId="0" fontId="0" fillId="0" borderId="0" xfId="0">
      <alignment vertical="center"/>
    </xf>
    <xf numFmtId="0" fontId="4" fillId="0" borderId="1" xfId="2" applyFont="1" applyBorder="1" applyAlignment="1" applyProtection="1">
      <alignment horizontal="center" vertical="center"/>
      <protection locked="0"/>
    </xf>
    <xf numFmtId="0" fontId="4" fillId="0" borderId="1" xfId="2" applyFont="1" applyBorder="1" applyAlignment="1" applyProtection="1">
      <alignment horizontal="left" vertical="center"/>
      <protection locked="0"/>
    </xf>
    <xf numFmtId="0" fontId="4" fillId="0" borderId="1" xfId="2" applyFont="1" applyBorder="1" applyProtection="1">
      <alignment vertical="center"/>
      <protection locked="0"/>
    </xf>
    <xf numFmtId="0" fontId="7" fillId="0" borderId="1" xfId="2" applyFont="1" applyFill="1" applyBorder="1" applyAlignment="1" applyProtection="1">
      <alignment horizontal="center" vertical="center"/>
      <protection locked="0"/>
    </xf>
    <xf numFmtId="0" fontId="7" fillId="0" borderId="2" xfId="2" applyFont="1" applyFill="1" applyBorder="1" applyAlignment="1" applyProtection="1">
      <alignment horizontal="center" vertical="center"/>
      <protection locked="0"/>
    </xf>
    <xf numFmtId="0" fontId="3" fillId="0" borderId="0" xfId="2" applyFont="1" applyProtection="1">
      <alignment vertical="center"/>
      <protection locked="0"/>
    </xf>
    <xf numFmtId="0" fontId="8" fillId="0" borderId="0" xfId="2" applyFont="1">
      <alignment vertical="center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Alignment="1" applyProtection="1">
      <alignment horizontal="center" vertical="center" wrapText="1"/>
      <protection locked="0"/>
    </xf>
    <xf numFmtId="0" fontId="6" fillId="2" borderId="3" xfId="2" applyFont="1" applyFill="1" applyBorder="1" applyAlignment="1" applyProtection="1">
      <alignment horizontal="center" vertical="center" wrapText="1"/>
      <protection locked="0"/>
    </xf>
    <xf numFmtId="0" fontId="7" fillId="0" borderId="1" xfId="2" applyFont="1" applyFill="1" applyBorder="1" applyAlignment="1" applyProtection="1">
      <alignment horizontal="center" vertical="center" wrapText="1"/>
      <protection locked="0"/>
    </xf>
    <xf numFmtId="0" fontId="7" fillId="0" borderId="1" xfId="2" applyFont="1" applyFill="1" applyBorder="1" applyAlignment="1" applyProtection="1">
      <alignment horizontal="left" vertical="center" wrapText="1"/>
      <protection locked="0"/>
    </xf>
    <xf numFmtId="0" fontId="9" fillId="0" borderId="4" xfId="2" applyFont="1" applyFill="1" applyBorder="1" applyAlignment="1" applyProtection="1">
      <alignment horizontal="center" vertical="center" wrapText="1"/>
      <protection locked="0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2" applyFont="1" applyFill="1" applyBorder="1" applyAlignment="1" applyProtection="1">
      <alignment horizontal="right" vertical="center" wrapText="1"/>
      <protection locked="0"/>
    </xf>
    <xf numFmtId="0" fontId="6" fillId="2" borderId="5" xfId="2" applyFont="1" applyFill="1" applyBorder="1" applyAlignment="1" applyProtection="1">
      <alignment horizontal="center" vertical="center" wrapText="1"/>
      <protection locked="0"/>
    </xf>
    <xf numFmtId="176" fontId="3" fillId="0" borderId="0" xfId="2" applyNumberFormat="1" applyFont="1" applyProtection="1">
      <alignment vertical="center"/>
      <protection locked="0"/>
    </xf>
    <xf numFmtId="176" fontId="4" fillId="0" borderId="4" xfId="2" applyNumberFormat="1" applyFont="1" applyBorder="1" applyAlignment="1" applyProtection="1">
      <alignment horizontal="center" vertical="center"/>
      <protection locked="0"/>
    </xf>
    <xf numFmtId="176" fontId="8" fillId="0" borderId="0" xfId="2" applyNumberFormat="1" applyFont="1">
      <alignment vertical="center"/>
    </xf>
    <xf numFmtId="0" fontId="7" fillId="0" borderId="1" xfId="2" applyFont="1" applyBorder="1">
      <alignment vertical="center"/>
    </xf>
    <xf numFmtId="176" fontId="7" fillId="0" borderId="4" xfId="2" applyNumberFormat="1" applyFont="1" applyFill="1" applyBorder="1" applyAlignment="1" applyProtection="1">
      <alignment horizontal="right" vertical="center" wrapText="1"/>
      <protection locked="0"/>
    </xf>
    <xf numFmtId="0" fontId="7" fillId="0" borderId="1" xfId="2" quotePrefix="1" applyFont="1" applyFill="1" applyBorder="1" applyAlignment="1" applyProtection="1">
      <alignment horizontal="center" vertical="center" wrapText="1"/>
      <protection locked="0"/>
    </xf>
    <xf numFmtId="0" fontId="7" fillId="3" borderId="1" xfId="2" applyFont="1" applyFill="1" applyBorder="1" applyAlignment="1" applyProtection="1">
      <alignment horizontal="center" vertical="center" wrapText="1"/>
      <protection locked="0"/>
    </xf>
    <xf numFmtId="0" fontId="7" fillId="3" borderId="1" xfId="2" applyFont="1" applyFill="1" applyBorder="1" applyAlignment="1" applyProtection="1">
      <alignment horizontal="left" vertical="center" wrapText="1"/>
      <protection locked="0"/>
    </xf>
    <xf numFmtId="0" fontId="7" fillId="0" borderId="1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center" vertical="center"/>
      <protection locked="0"/>
    </xf>
    <xf numFmtId="0" fontId="10" fillId="0" borderId="1" xfId="2" applyFont="1" applyFill="1" applyBorder="1" applyAlignment="1" applyProtection="1">
      <alignment horizontal="center" vertical="center" wrapText="1"/>
      <protection locked="0"/>
    </xf>
    <xf numFmtId="0" fontId="11" fillId="0" borderId="0" xfId="2" applyFont="1">
      <alignment vertical="center"/>
    </xf>
    <xf numFmtId="176" fontId="11" fillId="0" borderId="0" xfId="2" applyNumberFormat="1" applyFont="1">
      <alignment vertical="center"/>
    </xf>
    <xf numFmtId="0" fontId="4" fillId="0" borderId="6" xfId="2" applyFont="1" applyBorder="1" applyAlignment="1" applyProtection="1">
      <alignment horizontal="center" vertical="center"/>
      <protection locked="0"/>
    </xf>
    <xf numFmtId="0" fontId="4" fillId="0" borderId="7" xfId="2" applyFont="1" applyBorder="1" applyAlignment="1" applyProtection="1">
      <alignment horizontal="center" vertical="center"/>
      <protection locked="0"/>
    </xf>
    <xf numFmtId="0" fontId="7" fillId="0" borderId="7" xfId="2" applyFont="1" applyFill="1" applyBorder="1" applyAlignment="1" applyProtection="1">
      <alignment horizontal="center" vertical="center"/>
      <protection locked="0"/>
    </xf>
    <xf numFmtId="0" fontId="9" fillId="0" borderId="6" xfId="2" applyFont="1" applyFill="1" applyBorder="1" applyAlignment="1" applyProtection="1">
      <alignment horizontal="center" vertical="center" wrapText="1"/>
      <protection locked="0"/>
    </xf>
    <xf numFmtId="0" fontId="13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14" fontId="13" fillId="0" borderId="0" xfId="0" applyNumberFormat="1" applyFont="1">
      <alignment vertical="center"/>
    </xf>
    <xf numFmtId="0" fontId="13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8" fillId="0" borderId="0" xfId="2" applyFont="1" applyFill="1" applyBorder="1" applyAlignment="1" applyProtection="1">
      <alignment horizontal="left" vertical="center" wrapText="1"/>
      <protection locked="0"/>
    </xf>
    <xf numFmtId="0" fontId="8" fillId="0" borderId="0" xfId="2" applyFont="1" applyBorder="1" applyAlignment="1" applyProtection="1">
      <alignment horizontal="left" vertical="center" wrapText="1"/>
      <protection locked="0"/>
    </xf>
    <xf numFmtId="0" fontId="6" fillId="2" borderId="9" xfId="2" applyFont="1" applyFill="1" applyBorder="1" applyAlignment="1" applyProtection="1">
      <alignment horizontal="center" vertical="center" wrapText="1"/>
      <protection locked="0"/>
    </xf>
    <xf numFmtId="0" fontId="6" fillId="2" borderId="10" xfId="2" applyFont="1" applyFill="1" applyBorder="1" applyAlignment="1" applyProtection="1">
      <alignment horizontal="center" vertical="center" wrapText="1"/>
      <protection locked="0"/>
    </xf>
    <xf numFmtId="0" fontId="11" fillId="0" borderId="11" xfId="2" applyFont="1" applyFill="1" applyBorder="1" applyAlignment="1" applyProtection="1">
      <alignment horizontal="left" vertical="center" wrapText="1"/>
      <protection locked="0"/>
    </xf>
    <xf numFmtId="0" fontId="11" fillId="0" borderId="11" xfId="2" applyFont="1" applyBorder="1" applyAlignment="1" applyProtection="1">
      <alignment horizontal="left" vertical="center" wrapText="1"/>
      <protection locked="0"/>
    </xf>
    <xf numFmtId="0" fontId="5" fillId="0" borderId="12" xfId="3" applyBorder="1" applyAlignment="1" applyProtection="1">
      <alignment horizontal="left" vertical="center" wrapText="1"/>
      <protection locked="0"/>
    </xf>
    <xf numFmtId="0" fontId="5" fillId="0" borderId="12" xfId="3" applyBorder="1" applyAlignment="1" applyProtection="1">
      <alignment vertical="center"/>
      <protection locked="0"/>
    </xf>
    <xf numFmtId="0" fontId="6" fillId="2" borderId="13" xfId="2" applyFont="1" applyFill="1" applyBorder="1" applyAlignment="1" applyProtection="1">
      <alignment horizontal="center" vertical="center" wrapText="1"/>
      <protection locked="0"/>
    </xf>
    <xf numFmtId="0" fontId="6" fillId="2" borderId="14" xfId="2" applyFont="1" applyFill="1" applyBorder="1" applyAlignment="1" applyProtection="1">
      <alignment horizontal="center" vertical="center" wrapText="1"/>
      <protection locked="0"/>
    </xf>
    <xf numFmtId="0" fontId="3" fillId="0" borderId="14" xfId="2" applyFont="1" applyBorder="1" applyAlignment="1" applyProtection="1">
      <alignment horizontal="center" vertical="center" wrapText="1"/>
      <protection locked="0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Alignment="1" applyProtection="1">
      <alignment horizontal="center" vertical="center" wrapText="1"/>
      <protection locked="0"/>
    </xf>
    <xf numFmtId="176" fontId="6" fillId="2" borderId="8" xfId="2" applyNumberFormat="1" applyFont="1" applyFill="1" applyBorder="1" applyAlignment="1" applyProtection="1">
      <alignment horizontal="center" vertical="center" wrapText="1"/>
      <protection locked="0"/>
    </xf>
    <xf numFmtId="176" fontId="6" fillId="2" borderId="3" xfId="2" applyNumberFormat="1" applyFont="1" applyFill="1" applyBorder="1" applyAlignment="1" applyProtection="1">
      <alignment horizontal="center" vertical="center" wrapText="1"/>
      <protection locked="0"/>
    </xf>
  </cellXfs>
  <cellStyles count="4">
    <cellStyle name="一般" xfId="0" builtinId="0"/>
    <cellStyle name="一般 2" xfId="2"/>
    <cellStyle name="百分比" xfId="1" builtinId="5"/>
    <cellStyle name="超連結" xfId="3" builtinId="8"/>
  </cellStyles>
  <dxfs count="6">
    <dxf>
      <font>
        <b/>
        <i/>
        <color theme="0"/>
      </font>
      <fill>
        <patternFill>
          <bgColor rgb="FFFF0000"/>
        </patternFill>
      </fill>
    </dxf>
    <dxf>
      <font>
        <b/>
        <i/>
        <color auto="1"/>
      </font>
      <fill>
        <patternFill>
          <bgColor rgb="FF92D05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auto="1"/>
      </font>
      <fill>
        <patternFill>
          <bgColor rgb="FF92D05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S" ddeTopic="KS">
    <ddeItems>
      <ddeItem name="CAFB1.123" advise="1">
        <values>
          <value>
            <val>100125</val>
          </value>
        </values>
      </ddeItem>
      <ddeItem name="CAFB1.124" advise="1">
        <values>
          <value>
            <val>16429</val>
          </value>
        </values>
      </ddeItem>
      <ddeItem name="CAFB1.125" advise="1">
        <values>
          <value>
            <val>-14.4</val>
          </value>
        </values>
      </ddeItem>
      <ddeItem name="CAFB1.128" advise="1">
        <values>
          <value>
            <val>2036</val>
          </value>
        </values>
      </ddeItem>
      <ddeItem name="CAFB1.130" advise="1">
        <values>
          <value>
            <val>16329.54</val>
          </value>
        </values>
      </ddeItem>
      <ddeItem name="CAFB1.131" advise="1">
        <values>
          <value>
            <val>16456.939999999999</val>
          </value>
        </values>
      </ddeItem>
      <ddeItem name="CAFB1.132" advise="1">
        <values>
          <value>
            <val>16329.54</val>
          </value>
        </values>
      </ddeItem>
      <ddeItem name="CAFB1.133" advise="1">
        <values>
          <value>
            <val>4015112</val>
          </value>
        </values>
      </ddeItem>
      <ddeItem name="CAFB1.135" advise="1">
        <values>
          <value t="str">
            <val xml:space="preserve"> -</val>
          </value>
        </values>
      </ddeItem>
      <ddeItem name="CAFB1.136" advise="1">
        <values>
          <value t="str">
            <val xml:space="preserve"> -</val>
          </value>
        </values>
      </ddeItem>
      <ddeItem name="CAFB1.201" advise="1">
        <values>
          <value t="str">
            <val xml:space="preserve"> -</val>
          </value>
        </values>
      </ddeItem>
      <ddeItem name="CAFB1.202" advise="1">
        <values>
          <value t="str">
            <val xml:space="preserve"> -</val>
          </value>
        </values>
      </ddeItem>
      <ddeItem name="CAFB1.203" advise="1">
        <values>
          <value t="str">
            <val xml:space="preserve"> -</val>
          </value>
        </values>
      </ddeItem>
      <ddeItem name="CAFB1.204" advise="1">
        <values>
          <value t="str">
            <val xml:space="preserve"> -</val>
          </value>
        </values>
      </ddeItem>
      <ddeItem name="CAFB1.205" advise="1">
        <values>
          <value t="str">
            <val xml:space="preserve"> -</val>
          </value>
        </values>
      </ddeItem>
      <ddeItem name="CAFB1.211" advise="1">
        <values>
          <value t="str">
            <val xml:space="preserve"> -</val>
          </value>
        </values>
      </ddeItem>
      <ddeItem name="CAFB1.212" advise="1">
        <values>
          <value t="str">
            <val xml:space="preserve"> -</val>
          </value>
        </values>
      </ddeItem>
      <ddeItem name="CAFB1.213" advise="1">
        <values>
          <value t="str">
            <val xml:space="preserve"> -</val>
          </value>
        </values>
      </ddeItem>
      <ddeItem name="CAFB1.214" advise="1">
        <values>
          <value t="str">
            <val xml:space="preserve"> -</val>
          </value>
        </values>
      </ddeItem>
      <ddeItem name="CAFB1.215" advise="1">
        <values>
          <value t="str">
            <val xml:space="preserve"> -</val>
          </value>
        </values>
      </ddeItem>
      <ddeItem name="CAFB1.221" advise="1">
        <values>
          <value t="str">
            <val>-</val>
          </value>
        </values>
      </ddeItem>
      <ddeItem name="CAFB1.222" advise="1">
        <values>
          <value t="str">
            <val>-</val>
          </value>
        </values>
      </ddeItem>
      <ddeItem name="CAFB1.223" advise="1">
        <values>
          <value t="str">
            <val>-</val>
          </value>
        </values>
      </ddeItem>
      <ddeItem name="CAFB1.224" advise="1">
        <values>
          <value t="str">
            <val>-</val>
          </value>
        </values>
      </ddeItem>
      <ddeItem name="CAFB1.225" advise="1">
        <values>
          <value t="str">
            <val>-</val>
          </value>
        </values>
      </ddeItem>
      <ddeItem name="CAFB1.231" advise="1">
        <values>
          <value t="str">
            <val>-</val>
          </value>
        </values>
      </ddeItem>
      <ddeItem name="CAFB1.232" advise="1">
        <values>
          <value t="str">
            <val>-</val>
          </value>
        </values>
      </ddeItem>
      <ddeItem name="CAFB1.233" advise="1">
        <values>
          <value t="str">
            <val>-</val>
          </value>
        </values>
      </ddeItem>
      <ddeItem name="CAFB1.234" advise="1">
        <values>
          <value t="str">
            <val>-</val>
          </value>
        </values>
      </ddeItem>
      <ddeItem name="CAFB1.235" advise="1">
        <values>
          <value t="str">
            <val>-</val>
          </value>
        </values>
      </ddeItem>
      <ddeItem name="CAFB1.402" advise="1">
        <values>
          <value t="str">
            <val>加權指數</val>
          </value>
        </values>
      </ddeItem>
      <ddeItem name="CAFB1.406" advise="1">
        <values>
          <value t="str">
            <val xml:space="preserve"> -</val>
          </value>
        </values>
      </ddeItem>
      <ddeItem name="CAFB1.407" advise="1">
        <values>
          <value t="str">
            <val xml:space="preserve"> -</val>
          </value>
        </values>
      </ddeItem>
      <ddeItem name="CAFB1.431" advise="1">
        <values>
          <value t="str">
            <val>-</val>
          </value>
        </values>
      </ddeItem>
      <ddeItem name="CAFB1.437" advise="1">
        <values>
          <value t="str">
            <val xml:space="preserve"> -</val>
          </value>
        </values>
      </ddeItem>
      <ddeItem name="CBFB1.123" advise="1">
        <values>
          <value>
            <val>100125</val>
          </value>
        </values>
      </ddeItem>
      <ddeItem name="CBFB1.124" advise="1">
        <values>
          <value>
            <val>13894.54</val>
          </value>
        </values>
      </ddeItem>
      <ddeItem name="CBFB1.125" advise="1">
        <values>
          <value>
            <val>7.96</val>
          </value>
        </values>
      </ddeItem>
      <ddeItem name="CBFB1.128" advise="1">
        <values>
          <value>
            <val>789</val>
          </value>
        </values>
      </ddeItem>
      <ddeItem name="CBFB1.130" advise="1">
        <values>
          <value>
            <val>13893.03</val>
          </value>
        </values>
      </ddeItem>
      <ddeItem name="CBFB1.131" advise="1">
        <values>
          <value>
            <val>13945.78</val>
          </value>
        </values>
      </ddeItem>
      <ddeItem name="CBFB1.132" advise="1">
        <values>
          <value>
            <val>13875.82</val>
          </value>
        </values>
      </ddeItem>
      <ddeItem name="CBFB1.133" advise="1">
        <values>
          <value>
            <val>870725</val>
          </value>
        </values>
      </ddeItem>
      <ddeItem name="CBFB1.135" advise="1">
        <values>
          <value t="str">
            <val xml:space="preserve"> -</val>
          </value>
        </values>
      </ddeItem>
      <ddeItem name="CBFB1.136" advise="1">
        <values>
          <value t="str">
            <val xml:space="preserve"> -</val>
          </value>
        </values>
      </ddeItem>
      <ddeItem name="CBFB1.201" advise="1">
        <values>
          <value t="str">
            <val xml:space="preserve"> -</val>
          </value>
        </values>
      </ddeItem>
      <ddeItem name="CBFB1.202" advise="1">
        <values>
          <value t="str">
            <val xml:space="preserve"> -</val>
          </value>
        </values>
      </ddeItem>
      <ddeItem name="CBFB1.203" advise="1">
        <values>
          <value t="str">
            <val xml:space="preserve"> -</val>
          </value>
        </values>
      </ddeItem>
      <ddeItem name="CBFB1.204" advise="1">
        <values>
          <value t="str">
            <val xml:space="preserve"> -</val>
          </value>
        </values>
      </ddeItem>
      <ddeItem name="CBFB1.205" advise="1">
        <values>
          <value t="str">
            <val xml:space="preserve"> -</val>
          </value>
        </values>
      </ddeItem>
      <ddeItem name="CBFB1.211" advise="1">
        <values>
          <value t="str">
            <val xml:space="preserve"> -</val>
          </value>
        </values>
      </ddeItem>
      <ddeItem name="CBFB1.212" advise="1">
        <values>
          <value t="str">
            <val xml:space="preserve"> -</val>
          </value>
        </values>
      </ddeItem>
      <ddeItem name="CBFB1.213" advise="1">
        <values>
          <value t="str">
            <val xml:space="preserve"> -</val>
          </value>
        </values>
      </ddeItem>
      <ddeItem name="CBFB1.214" advise="1">
        <values>
          <value t="str">
            <val xml:space="preserve"> -</val>
          </value>
        </values>
      </ddeItem>
      <ddeItem name="CBFB1.215" advise="1">
        <values>
          <value t="str">
            <val xml:space="preserve"> -</val>
          </value>
        </values>
      </ddeItem>
      <ddeItem name="CBFB1.221" advise="1">
        <values>
          <value t="str">
            <val>-</val>
          </value>
        </values>
      </ddeItem>
      <ddeItem name="CBFB1.222" advise="1">
        <values>
          <value t="str">
            <val>-</val>
          </value>
        </values>
      </ddeItem>
      <ddeItem name="CBFB1.223" advise="1">
        <values>
          <value t="str">
            <val>-</val>
          </value>
        </values>
      </ddeItem>
      <ddeItem name="CBFB1.224" advise="1">
        <values>
          <value t="str">
            <val>-</val>
          </value>
        </values>
      </ddeItem>
      <ddeItem name="CBFB1.225" advise="1">
        <values>
          <value t="str">
            <val>-</val>
          </value>
        </values>
      </ddeItem>
      <ddeItem name="CBFB1.231" advise="1">
        <values>
          <value t="str">
            <val>-</val>
          </value>
        </values>
      </ddeItem>
      <ddeItem name="CBFB1.232" advise="1">
        <values>
          <value t="str">
            <val>-</val>
          </value>
        </values>
      </ddeItem>
      <ddeItem name="CBFB1.233" advise="1">
        <values>
          <value t="str">
            <val>-</val>
          </value>
        </values>
      </ddeItem>
      <ddeItem name="CBFB1.234" advise="1">
        <values>
          <value t="str">
            <val>-</val>
          </value>
        </values>
      </ddeItem>
      <ddeItem name="CBFB1.235" advise="1">
        <values>
          <value t="str">
            <val>-</val>
          </value>
        </values>
      </ddeItem>
      <ddeItem name="CBFB1.402" advise="1">
        <values>
          <value t="str">
            <val>不含金電</val>
          </value>
        </values>
      </ddeItem>
      <ddeItem name="CBFB1.406" advise="1">
        <values>
          <value t="str">
            <val xml:space="preserve"> -</val>
          </value>
        </values>
      </ddeItem>
      <ddeItem name="CBFB1.407" advise="1">
        <values>
          <value t="str">
            <val xml:space="preserve"> -</val>
          </value>
        </values>
      </ddeItem>
      <ddeItem name="CBFB1.431" advise="1">
        <values>
          <value t="str">
            <val>-</val>
          </value>
        </values>
      </ddeItem>
      <ddeItem name="CBFB1.437" advise="1">
        <values>
          <value t="str">
            <val xml:space="preserve"> -</val>
          </value>
        </values>
      </ddeItem>
      <ddeItem name="CCFB1.123" advise="1">
        <values>
          <value>
            <val>100135</val>
          </value>
        </values>
      </ddeItem>
      <ddeItem name="CCFB1.124" advise="1">
        <values>
          <value>
            <val>16424.64</val>
          </value>
        </values>
      </ddeItem>
      <ddeItem name="CCFB1.125" advise="1">
        <values>
          <value>
            <val>-18.760000000000002</val>
          </value>
        </values>
      </ddeItem>
      <ddeItem name="CCFB1.128" advise="1">
        <values>
          <value>
            <val>1648</val>
          </value>
        </values>
      </ddeItem>
      <ddeItem name="CCFB1.130" advise="1">
        <values>
          <value>
            <val>16329.54</val>
          </value>
        </values>
      </ddeItem>
      <ddeItem name="CCFB1.131" advise="1">
        <values>
          <value>
            <val>16456.939999999999</val>
          </value>
        </values>
      </ddeItem>
      <ddeItem name="CCFB1.132" advise="1">
        <values>
          <value>
            <val>16329.54</val>
          </value>
        </values>
      </ddeItem>
      <ddeItem name="CCFB1.133" advise="1">
        <values>
          <value>
            <val>4020107</val>
          </value>
        </values>
      </ddeItem>
      <ddeItem name="CCFB1.135" advise="1">
        <values>
          <value t="str">
            <val xml:space="preserve"> -</val>
          </value>
        </values>
      </ddeItem>
      <ddeItem name="CCFB1.136" advise="1">
        <values>
          <value t="str">
            <val xml:space="preserve"> -</val>
          </value>
        </values>
      </ddeItem>
      <ddeItem name="CCFB1.201" advise="1">
        <values>
          <value t="str">
            <val xml:space="preserve"> -</val>
          </value>
        </values>
      </ddeItem>
      <ddeItem name="CCFB1.202" advise="1">
        <values>
          <value t="str">
            <val xml:space="preserve"> -</val>
          </value>
        </values>
      </ddeItem>
      <ddeItem name="CCFB1.203" advise="1">
        <values>
          <value t="str">
            <val xml:space="preserve"> -</val>
          </value>
        </values>
      </ddeItem>
      <ddeItem name="CCFB1.204" advise="1">
        <values>
          <value t="str">
            <val xml:space="preserve"> -</val>
          </value>
        </values>
      </ddeItem>
      <ddeItem name="CCFB1.205" advise="1">
        <values>
          <value t="str">
            <val xml:space="preserve"> -</val>
          </value>
        </values>
      </ddeItem>
      <ddeItem name="CCFB1.211" advise="1">
        <values>
          <value t="str">
            <val xml:space="preserve"> -</val>
          </value>
        </values>
      </ddeItem>
      <ddeItem name="CCFB1.212" advise="1">
        <values>
          <value t="str">
            <val xml:space="preserve"> -</val>
          </value>
        </values>
      </ddeItem>
      <ddeItem name="CCFB1.213" advise="1">
        <values>
          <value t="str">
            <val xml:space="preserve"> -</val>
          </value>
        </values>
      </ddeItem>
      <ddeItem name="CCFB1.214" advise="1">
        <values>
          <value t="str">
            <val xml:space="preserve"> -</val>
          </value>
        </values>
      </ddeItem>
      <ddeItem name="CCFB1.215" advise="1">
        <values>
          <value t="str">
            <val xml:space="preserve"> -</val>
          </value>
        </values>
      </ddeItem>
      <ddeItem name="CCFB1.221" advise="1">
        <values>
          <value t="str">
            <val>-</val>
          </value>
        </values>
      </ddeItem>
      <ddeItem name="CCFB1.222" advise="1">
        <values>
          <value t="str">
            <val>-</val>
          </value>
        </values>
      </ddeItem>
      <ddeItem name="CCFB1.223" advise="1">
        <values>
          <value t="str">
            <val>-</val>
          </value>
        </values>
      </ddeItem>
      <ddeItem name="CCFB1.224" advise="1">
        <values>
          <value t="str">
            <val>-</val>
          </value>
        </values>
      </ddeItem>
      <ddeItem name="CCFB1.225" advise="1">
        <values>
          <value t="str">
            <val>-</val>
          </value>
        </values>
      </ddeItem>
      <ddeItem name="CCFB1.231" advise="1">
        <values>
          <value t="str">
            <val>-</val>
          </value>
        </values>
      </ddeItem>
      <ddeItem name="CCFB1.232" advise="1">
        <values>
          <value t="str">
            <val>-</val>
          </value>
        </values>
      </ddeItem>
      <ddeItem name="CCFB1.233" advise="1">
        <values>
          <value t="str">
            <val>-</val>
          </value>
        </values>
      </ddeItem>
      <ddeItem name="CCFB1.234" advise="1">
        <values>
          <value t="str">
            <val>-</val>
          </value>
        </values>
      </ddeItem>
      <ddeItem name="CCFB1.235" advise="1">
        <values>
          <value t="str">
            <val>-</val>
          </value>
        </values>
      </ddeItem>
      <ddeItem name="CCFB1.402" advise="1">
        <values>
          <value t="str">
            <val>加權指數</val>
          </value>
        </values>
      </ddeItem>
      <ddeItem name="CCFB1.406" advise="1">
        <values>
          <value t="str">
            <val xml:space="preserve"> -</val>
          </value>
        </values>
      </ddeItem>
      <ddeItem name="CCFB1.407" advise="1">
        <values>
          <value t="str">
            <val xml:space="preserve"> -</val>
          </value>
        </values>
      </ddeItem>
      <ddeItem name="CCFB1.431" advise="1">
        <values>
          <value t="str">
            <val>-</val>
          </value>
        </values>
      </ddeItem>
      <ddeItem name="CCFB1.437" advise="1">
        <values>
          <value t="str">
            <val xml:space="preserve"> -</val>
          </value>
        </values>
      </ddeItem>
      <ddeItem name="CDFB1.123" advise="1">
        <values>
          <value>
            <val>100125</val>
          </value>
        </values>
      </ddeItem>
      <ddeItem name="CDFB1.124" advise="1">
        <values>
          <value>
            <val>16429</val>
          </value>
        </values>
      </ddeItem>
      <ddeItem name="CDFB1.125" advise="1">
        <values>
          <value>
            <val>-14.4</val>
          </value>
        </values>
      </ddeItem>
      <ddeItem name="CDFB1.128" advise="1">
        <values>
          <value>
            <val>2036</val>
          </value>
        </values>
      </ddeItem>
      <ddeItem name="CDFB1.130" advise="1">
        <values>
          <value>
            <val>16329.54</val>
          </value>
        </values>
      </ddeItem>
      <ddeItem name="CDFB1.131" advise="1">
        <values>
          <value>
            <val>16456.939999999999</val>
          </value>
        </values>
      </ddeItem>
      <ddeItem name="CDFB1.132" advise="1">
        <values>
          <value>
            <val>16329.54</val>
          </value>
        </values>
      </ddeItem>
      <ddeItem name="CDFB1.133" advise="1">
        <values>
          <value>
            <val>4015112</val>
          </value>
        </values>
      </ddeItem>
      <ddeItem name="CDFB1.135" advise="1">
        <values>
          <value t="str">
            <val xml:space="preserve"> -</val>
          </value>
        </values>
      </ddeItem>
      <ddeItem name="CDFB1.136" advise="1">
        <values>
          <value t="str">
            <val xml:space="preserve"> -</val>
          </value>
        </values>
      </ddeItem>
      <ddeItem name="CDFB1.201" advise="1">
        <values>
          <value t="str">
            <val xml:space="preserve"> -</val>
          </value>
        </values>
      </ddeItem>
      <ddeItem name="CDFB1.202" advise="1">
        <values>
          <value t="str">
            <val xml:space="preserve"> -</val>
          </value>
        </values>
      </ddeItem>
      <ddeItem name="CDFB1.203" advise="1">
        <values>
          <value t="str">
            <val xml:space="preserve"> -</val>
          </value>
        </values>
      </ddeItem>
      <ddeItem name="CDFB1.204" advise="1">
        <values>
          <value t="str">
            <val xml:space="preserve"> -</val>
          </value>
        </values>
      </ddeItem>
      <ddeItem name="CDFB1.205" advise="1">
        <values>
          <value t="str">
            <val xml:space="preserve"> -</val>
          </value>
        </values>
      </ddeItem>
      <ddeItem name="CDFB1.211" advise="1">
        <values>
          <value t="str">
            <val xml:space="preserve"> -</val>
          </value>
        </values>
      </ddeItem>
      <ddeItem name="CDFB1.212" advise="1">
        <values>
          <value t="str">
            <val xml:space="preserve"> -</val>
          </value>
        </values>
      </ddeItem>
      <ddeItem name="CDFB1.213" advise="1">
        <values>
          <value t="str">
            <val xml:space="preserve"> -</val>
          </value>
        </values>
      </ddeItem>
      <ddeItem name="CDFB1.214" advise="1">
        <values>
          <value t="str">
            <val xml:space="preserve"> -</val>
          </value>
        </values>
      </ddeItem>
      <ddeItem name="CDFB1.215" advise="1">
        <values>
          <value t="str">
            <val xml:space="preserve"> -</val>
          </value>
        </values>
      </ddeItem>
      <ddeItem name="CDFB1.221" advise="1">
        <values>
          <value t="str">
            <val>-</val>
          </value>
        </values>
      </ddeItem>
      <ddeItem name="CDFB1.222" advise="1">
        <values>
          <value t="str">
            <val>-</val>
          </value>
        </values>
      </ddeItem>
      <ddeItem name="CDFB1.223" advise="1">
        <values>
          <value t="str">
            <val>-</val>
          </value>
        </values>
      </ddeItem>
      <ddeItem name="CDFB1.224" advise="1">
        <values>
          <value t="str">
            <val>-</val>
          </value>
        </values>
      </ddeItem>
      <ddeItem name="CDFB1.225" advise="1">
        <values>
          <value t="str">
            <val>-</val>
          </value>
        </values>
      </ddeItem>
      <ddeItem name="CDFB1.231" advise="1">
        <values>
          <value t="str">
            <val>-</val>
          </value>
        </values>
      </ddeItem>
      <ddeItem name="CDFB1.232" advise="1">
        <values>
          <value t="str">
            <val>-</val>
          </value>
        </values>
      </ddeItem>
      <ddeItem name="CDFB1.233" advise="1">
        <values>
          <value t="str">
            <val>-</val>
          </value>
        </values>
      </ddeItem>
      <ddeItem name="CDFB1.234" advise="1">
        <values>
          <value t="str">
            <val>-</val>
          </value>
        </values>
      </ddeItem>
      <ddeItem name="CDFB1.235" advise="1">
        <values>
          <value t="str">
            <val>-</val>
          </value>
        </values>
      </ddeItem>
      <ddeItem name="CDFB1.402" advise="1">
        <values>
          <value t="str">
            <val>加權指數</val>
          </value>
        </values>
      </ddeItem>
      <ddeItem name="CDFB1.406" advise="1">
        <values>
          <value t="str">
            <val xml:space="preserve"> -</val>
          </value>
        </values>
      </ddeItem>
      <ddeItem name="CDFB1.407" advise="1">
        <values>
          <value t="str">
            <val xml:space="preserve"> -</val>
          </value>
        </values>
      </ddeItem>
      <ddeItem name="CDFB1.431" advise="1">
        <values>
          <value t="str">
            <val>-</val>
          </value>
        </values>
      </ddeItem>
      <ddeItem name="CDFB1.437" advise="1">
        <values>
          <value t="str">
            <val xml:space="preserve"> -</val>
          </value>
        </values>
      </ddeItem>
      <ddeItem name="CEFB1.123" advise="1">
        <values>
          <value>
            <val>100125</val>
          </value>
        </values>
      </ddeItem>
      <ddeItem name="CEFB1.124" advise="1">
        <values>
          <value>
            <val>16429</val>
          </value>
        </values>
      </ddeItem>
      <ddeItem name="CEFB1.125" advise="1">
        <values>
          <value>
            <val>-14.4</val>
          </value>
        </values>
      </ddeItem>
      <ddeItem name="CEFB1.128" advise="1">
        <values>
          <value>
            <val>2036</val>
          </value>
        </values>
      </ddeItem>
      <ddeItem name="CEFB1.130" advise="1">
        <values>
          <value>
            <val>16329.54</val>
          </value>
        </values>
      </ddeItem>
      <ddeItem name="CEFB1.131" advise="1">
        <values>
          <value>
            <val>16456.939999999999</val>
          </value>
        </values>
      </ddeItem>
      <ddeItem name="CEFB1.132" advise="1">
        <values>
          <value>
            <val>16329.54</val>
          </value>
        </values>
      </ddeItem>
      <ddeItem name="CEFB1.133" advise="1">
        <values>
          <value>
            <val>4015112</val>
          </value>
        </values>
      </ddeItem>
      <ddeItem name="CEFB1.135" advise="1">
        <values>
          <value t="str">
            <val xml:space="preserve"> -</val>
          </value>
        </values>
      </ddeItem>
      <ddeItem name="CEFB1.136" advise="1">
        <values>
          <value t="str">
            <val xml:space="preserve"> -</val>
          </value>
        </values>
      </ddeItem>
      <ddeItem name="CEFB1.201" advise="1">
        <values>
          <value t="str">
            <val xml:space="preserve"> -</val>
          </value>
        </values>
      </ddeItem>
      <ddeItem name="CEFB1.202" advise="1">
        <values>
          <value t="str">
            <val xml:space="preserve"> -</val>
          </value>
        </values>
      </ddeItem>
      <ddeItem name="CEFB1.203" advise="1">
        <values>
          <value t="str">
            <val xml:space="preserve"> -</val>
          </value>
        </values>
      </ddeItem>
      <ddeItem name="CEFB1.204" advise="1">
        <values>
          <value t="str">
            <val xml:space="preserve"> -</val>
          </value>
        </values>
      </ddeItem>
      <ddeItem name="CEFB1.205" advise="1">
        <values>
          <value t="str">
            <val xml:space="preserve"> -</val>
          </value>
        </values>
      </ddeItem>
      <ddeItem name="CEFB1.211" advise="1">
        <values>
          <value t="str">
            <val xml:space="preserve"> -</val>
          </value>
        </values>
      </ddeItem>
      <ddeItem name="CEFB1.212" advise="1">
        <values>
          <value t="str">
            <val xml:space="preserve"> -</val>
          </value>
        </values>
      </ddeItem>
      <ddeItem name="CEFB1.213" advise="1">
        <values>
          <value t="str">
            <val xml:space="preserve"> -</val>
          </value>
        </values>
      </ddeItem>
      <ddeItem name="CEFB1.214" advise="1">
        <values>
          <value t="str">
            <val xml:space="preserve"> -</val>
          </value>
        </values>
      </ddeItem>
      <ddeItem name="CEFB1.215" advise="1">
        <values>
          <value t="str">
            <val xml:space="preserve"> -</val>
          </value>
        </values>
      </ddeItem>
      <ddeItem name="CEFB1.221" advise="1">
        <values>
          <value t="str">
            <val>-</val>
          </value>
        </values>
      </ddeItem>
      <ddeItem name="CEFB1.222" advise="1">
        <values>
          <value t="str">
            <val>-</val>
          </value>
        </values>
      </ddeItem>
      <ddeItem name="CEFB1.223" advise="1">
        <values>
          <value t="str">
            <val>-</val>
          </value>
        </values>
      </ddeItem>
      <ddeItem name="CEFB1.224" advise="1">
        <values>
          <value t="str">
            <val>-</val>
          </value>
        </values>
      </ddeItem>
      <ddeItem name="CEFB1.225" advise="1">
        <values>
          <value t="str">
            <val>-</val>
          </value>
        </values>
      </ddeItem>
      <ddeItem name="CEFB1.231" advise="1">
        <values>
          <value t="str">
            <val>-</val>
          </value>
        </values>
      </ddeItem>
      <ddeItem name="CEFB1.232" advise="1">
        <values>
          <value t="str">
            <val>-</val>
          </value>
        </values>
      </ddeItem>
      <ddeItem name="CEFB1.233" advise="1">
        <values>
          <value t="str">
            <val>-</val>
          </value>
        </values>
      </ddeItem>
      <ddeItem name="CEFB1.234" advise="1">
        <values>
          <value t="str">
            <val>-</val>
          </value>
        </values>
      </ddeItem>
      <ddeItem name="CEFB1.235" advise="1">
        <values>
          <value t="str">
            <val>-</val>
          </value>
        </values>
      </ddeItem>
      <ddeItem name="CEFB1.402" advise="1">
        <values>
          <value t="str">
            <val>加權指數</val>
          </value>
        </values>
      </ddeItem>
      <ddeItem name="CEFB1.406" advise="1">
        <values>
          <value t="str">
            <val xml:space="preserve"> -</val>
          </value>
        </values>
      </ddeItem>
      <ddeItem name="CEFB1.407" advise="1">
        <values>
          <value t="str">
            <val xml:space="preserve"> -</val>
          </value>
        </values>
      </ddeItem>
      <ddeItem name="CEFB1.431" advise="1">
        <values>
          <value t="str">
            <val>-</val>
          </value>
        </values>
      </ddeItem>
      <ddeItem name="CEFB1.437" advise="1">
        <values>
          <value t="str">
            <val xml:space="preserve"> -</val>
          </value>
        </values>
      </ddeItem>
      <ddeItem name="CFFB1.123" advise="1">
        <values>
          <value>
            <val>100150</val>
          </value>
        </values>
      </ddeItem>
      <ddeItem name="CFFB1.124" advise="1">
        <values>
          <value>
            <val>16421.62</val>
          </value>
        </values>
      </ddeItem>
      <ddeItem name="CFFB1.125" advise="1">
        <values>
          <value>
            <val>-21.78</val>
          </value>
        </values>
      </ddeItem>
      <ddeItem name="CFFB1.128" advise="1">
        <values>
          <value>
            <val>2439</val>
          </value>
        </values>
      </ddeItem>
      <ddeItem name="CFFB1.130" advise="1">
        <values>
          <value>
            <val>16329.54</val>
          </value>
        </values>
      </ddeItem>
      <ddeItem name="CFFB1.131" advise="1">
        <values>
          <value>
            <val>16456.939999999999</val>
          </value>
        </values>
      </ddeItem>
      <ddeItem name="CFFB1.132" advise="1">
        <values>
          <value>
            <val>16329.54</val>
          </value>
        </values>
      </ddeItem>
      <ddeItem name="CFFB1.133" advise="1">
        <values>
          <value>
            <val>4027056</val>
          </value>
        </values>
      </ddeItem>
      <ddeItem name="CFFB1.135" advise="1">
        <values>
          <value t="str">
            <val xml:space="preserve"> -</val>
          </value>
        </values>
      </ddeItem>
      <ddeItem name="CFFB1.136" advise="1">
        <values>
          <value t="str">
            <val xml:space="preserve"> -</val>
          </value>
        </values>
      </ddeItem>
      <ddeItem name="CFFB1.201" advise="1">
        <values>
          <value t="str">
            <val xml:space="preserve"> -</val>
          </value>
        </values>
      </ddeItem>
      <ddeItem name="CFFB1.202" advise="1">
        <values>
          <value t="str">
            <val xml:space="preserve"> -</val>
          </value>
        </values>
      </ddeItem>
      <ddeItem name="CFFB1.203" advise="1">
        <values>
          <value t="str">
            <val xml:space="preserve"> -</val>
          </value>
        </values>
      </ddeItem>
      <ddeItem name="CFFB1.204" advise="1">
        <values>
          <value t="str">
            <val xml:space="preserve"> -</val>
          </value>
        </values>
      </ddeItem>
      <ddeItem name="CFFB1.205" advise="1">
        <values>
          <value t="str">
            <val xml:space="preserve"> -</val>
          </value>
        </values>
      </ddeItem>
      <ddeItem name="CFFB1.211" advise="1">
        <values>
          <value t="str">
            <val xml:space="preserve"> -</val>
          </value>
        </values>
      </ddeItem>
      <ddeItem name="CFFB1.212" advise="1">
        <values>
          <value t="str">
            <val xml:space="preserve"> -</val>
          </value>
        </values>
      </ddeItem>
      <ddeItem name="CFFB1.213" advise="1">
        <values>
          <value t="str">
            <val xml:space="preserve"> -</val>
          </value>
        </values>
      </ddeItem>
      <ddeItem name="CFFB1.214" advise="1">
        <values>
          <value t="str">
            <val xml:space="preserve"> -</val>
          </value>
        </values>
      </ddeItem>
      <ddeItem name="CFFB1.215" advise="1">
        <values>
          <value t="str">
            <val xml:space="preserve"> -</val>
          </value>
        </values>
      </ddeItem>
      <ddeItem name="CFFB1.221" advise="1">
        <values>
          <value t="str">
            <val>-</val>
          </value>
        </values>
      </ddeItem>
      <ddeItem name="CFFB1.222" advise="1">
        <values>
          <value t="str">
            <val>-</val>
          </value>
        </values>
      </ddeItem>
      <ddeItem name="CFFB1.223" advise="1">
        <values>
          <value t="str">
            <val>-</val>
          </value>
        </values>
      </ddeItem>
      <ddeItem name="CFFB1.224" advise="1">
        <values>
          <value t="str">
            <val>-</val>
          </value>
        </values>
      </ddeItem>
      <ddeItem name="CFFB1.225" advise="1">
        <values>
          <value t="str">
            <val>-</val>
          </value>
        </values>
      </ddeItem>
      <ddeItem name="CFFB1.231" advise="1">
        <values>
          <value t="str">
            <val>-</val>
          </value>
        </values>
      </ddeItem>
      <ddeItem name="CFFB1.232" advise="1">
        <values>
          <value t="str">
            <val>-</val>
          </value>
        </values>
      </ddeItem>
      <ddeItem name="CFFB1.233" advise="1">
        <values>
          <value t="str">
            <val>-</val>
          </value>
        </values>
      </ddeItem>
      <ddeItem name="CFFB1.234" advise="1">
        <values>
          <value t="str">
            <val>-</val>
          </value>
        </values>
      </ddeItem>
      <ddeItem name="CFFB1.235" advise="1">
        <values>
          <value t="str">
            <val>-</val>
          </value>
        </values>
      </ddeItem>
      <ddeItem name="CFFB1.402" advise="1">
        <values>
          <value t="str">
            <val>加權指數</val>
          </value>
        </values>
      </ddeItem>
      <ddeItem name="CFFB1.406" advise="1">
        <values>
          <value t="str">
            <val xml:space="preserve"> -</val>
          </value>
        </values>
      </ddeItem>
      <ddeItem name="CFFB1.407" advise="1">
        <values>
          <value t="str">
            <val xml:space="preserve"> -</val>
          </value>
        </values>
      </ddeItem>
      <ddeItem name="CFFB1.431" advise="1">
        <values>
          <value t="str">
            <val>-</val>
          </value>
        </values>
      </ddeItem>
      <ddeItem name="CFFB1.437" advise="1">
        <values>
          <value t="str">
            <val xml:space="preserve"> -</val>
          </value>
        </values>
      </ddeItem>
      <ddeItem name="CGFB1.123" advise="1">
        <values>
          <value>
            <val>100150</val>
          </value>
        </values>
      </ddeItem>
      <ddeItem name="CGFB1.124" advise="1">
        <values>
          <value>
            <val>16421.62</val>
          </value>
        </values>
      </ddeItem>
      <ddeItem name="CGFB1.125" advise="1">
        <values>
          <value>
            <val>-21.78</val>
          </value>
        </values>
      </ddeItem>
      <ddeItem name="CGFB1.128" advise="1">
        <values>
          <value>
            <val>2439</val>
          </value>
        </values>
      </ddeItem>
      <ddeItem name="CGFB1.130" advise="1">
        <values>
          <value>
            <val>16329.54</val>
          </value>
        </values>
      </ddeItem>
      <ddeItem name="CGFB1.131" advise="1">
        <values>
          <value>
            <val>16456.939999999999</val>
          </value>
        </values>
      </ddeItem>
      <ddeItem name="CGFB1.132" advise="1">
        <values>
          <value>
            <val>16329.54</val>
          </value>
        </values>
      </ddeItem>
      <ddeItem name="CGFB1.133" advise="1">
        <values>
          <value>
            <val>4027056</val>
          </value>
        </values>
      </ddeItem>
      <ddeItem name="CGFB1.135" advise="1">
        <values>
          <value t="str">
            <val xml:space="preserve"> -</val>
          </value>
        </values>
      </ddeItem>
      <ddeItem name="CGFB1.136" advise="1">
        <values>
          <value t="str">
            <val xml:space="preserve"> -</val>
          </value>
        </values>
      </ddeItem>
      <ddeItem name="CGFB1.201" advise="1">
        <values>
          <value t="str">
            <val xml:space="preserve"> -</val>
          </value>
        </values>
      </ddeItem>
      <ddeItem name="CGFB1.202" advise="1">
        <values>
          <value t="str">
            <val xml:space="preserve"> -</val>
          </value>
        </values>
      </ddeItem>
      <ddeItem name="CGFB1.203" advise="1">
        <values>
          <value t="str">
            <val xml:space="preserve"> -</val>
          </value>
        </values>
      </ddeItem>
      <ddeItem name="CGFB1.204" advise="1">
        <values>
          <value t="str">
            <val xml:space="preserve"> -</val>
          </value>
        </values>
      </ddeItem>
      <ddeItem name="CGFB1.205" advise="1">
        <values>
          <value t="str">
            <val xml:space="preserve"> -</val>
          </value>
        </values>
      </ddeItem>
      <ddeItem name="CGFB1.211" advise="1">
        <values>
          <value t="str">
            <val xml:space="preserve"> -</val>
          </value>
        </values>
      </ddeItem>
      <ddeItem name="CGFB1.212" advise="1">
        <values>
          <value t="str">
            <val xml:space="preserve"> -</val>
          </value>
        </values>
      </ddeItem>
      <ddeItem name="CGFB1.213" advise="1">
        <values>
          <value t="str">
            <val xml:space="preserve"> -</val>
          </value>
        </values>
      </ddeItem>
      <ddeItem name="CGFB1.214" advise="1">
        <values>
          <value t="str">
            <val xml:space="preserve"> -</val>
          </value>
        </values>
      </ddeItem>
      <ddeItem name="CGFB1.215" advise="1">
        <values>
          <value t="str">
            <val xml:space="preserve"> -</val>
          </value>
        </values>
      </ddeItem>
      <ddeItem name="CGFB1.221" advise="1">
        <values>
          <value t="str">
            <val>-</val>
          </value>
        </values>
      </ddeItem>
      <ddeItem name="CGFB1.222" advise="1">
        <values>
          <value t="str">
            <val>-</val>
          </value>
        </values>
      </ddeItem>
      <ddeItem name="CGFB1.223" advise="1">
        <values>
          <value t="str">
            <val>-</val>
          </value>
        </values>
      </ddeItem>
      <ddeItem name="CGFB1.224" advise="1">
        <values>
          <value t="str">
            <val>-</val>
          </value>
        </values>
      </ddeItem>
      <ddeItem name="CGFB1.225" advise="1">
        <values>
          <value t="str">
            <val>-</val>
          </value>
        </values>
      </ddeItem>
      <ddeItem name="CGFB1.231" advise="1">
        <values>
          <value t="str">
            <val>-</val>
          </value>
        </values>
      </ddeItem>
      <ddeItem name="CGFB1.232" advise="1">
        <values>
          <value t="str">
            <val>-</val>
          </value>
        </values>
      </ddeItem>
      <ddeItem name="CGFB1.233" advise="1">
        <values>
          <value t="str">
            <val>-</val>
          </value>
        </values>
      </ddeItem>
      <ddeItem name="CGFB1.234" advise="1">
        <values>
          <value t="str">
            <val>-</val>
          </value>
        </values>
      </ddeItem>
      <ddeItem name="CGFB1.235" advise="1">
        <values>
          <value t="str">
            <val>-</val>
          </value>
        </values>
      </ddeItem>
      <ddeItem name="CGFB1.402" advise="1">
        <values>
          <value t="str">
            <val>加權指數</val>
          </value>
        </values>
      </ddeItem>
      <ddeItem name="CGFB1.406" advise="1">
        <values>
          <value t="str">
            <val xml:space="preserve"> -</val>
          </value>
        </values>
      </ddeItem>
      <ddeItem name="CGFB1.407" advise="1">
        <values>
          <value t="str">
            <val xml:space="preserve"> -</val>
          </value>
        </values>
      </ddeItem>
      <ddeItem name="CGFB1.431" advise="1">
        <values>
          <value t="str">
            <val>-</val>
          </value>
        </values>
      </ddeItem>
      <ddeItem name="CGFB1.437" advise="1">
        <values>
          <value t="str">
            <val xml:space="preserve"> -</val>
          </value>
        </values>
      </ddeItem>
      <ddeItem name="CHFB1.123" advise="1">
        <values>
          <value>
            <val>0</val>
          </value>
        </values>
      </ddeItem>
      <ddeItem name="CHFB1.124" advise="1">
        <values>
          <value>
            <val>20878632</val>
          </value>
        </values>
      </ddeItem>
      <ddeItem name="CHFB1.125" advise="1">
        <values>
          <value t="str">
            <val xml:space="preserve"> </val>
          </value>
        </values>
      </ddeItem>
      <ddeItem name="CHFB1.128" advise="1">
        <values>
          <value>
            <val>1212870150</val>
          </value>
        </values>
      </ddeItem>
      <ddeItem name="CHFB1.130" advise="1">
        <values>
          <value>
            <val>20803788</val>
          </value>
        </values>
      </ddeItem>
      <ddeItem name="CHFB1.131" advise="1">
        <values>
          <value>
            <val>20804690</val>
          </value>
        </values>
      </ddeItem>
      <ddeItem name="CHFB1.132" advise="1">
        <values>
          <value>
            <val>10989732</val>
          </value>
        </values>
      </ddeItem>
      <ddeItem name="CHFB1.133" advise="1">
        <values>
          <value>
            <val>2088371110</val>
          </value>
        </values>
      </ddeItem>
      <ddeItem name="CHFB1.135" advise="1">
        <values>
          <value t="str">
            <val xml:space="preserve"> -</val>
          </value>
        </values>
      </ddeItem>
      <ddeItem name="CHFB1.136" advise="1">
        <values>
          <value t="str">
            <val xml:space="preserve"> -</val>
          </value>
        </values>
      </ddeItem>
      <ddeItem name="CHFB1.201" advise="1">
        <values>
          <value t="str">
            <val xml:space="preserve"> -</val>
          </value>
        </values>
      </ddeItem>
      <ddeItem name="CHFB1.202" advise="1">
        <values>
          <value t="str">
            <val xml:space="preserve"> -</val>
          </value>
        </values>
      </ddeItem>
      <ddeItem name="CHFB1.203" advise="1">
        <values>
          <value t="str">
            <val xml:space="preserve"> -</val>
          </value>
        </values>
      </ddeItem>
      <ddeItem name="CHFB1.204" advise="1">
        <values>
          <value t="str">
            <val xml:space="preserve"> -</val>
          </value>
        </values>
      </ddeItem>
      <ddeItem name="CHFB1.205" advise="1">
        <values>
          <value t="str">
            <val xml:space="preserve"> -</val>
          </value>
        </values>
      </ddeItem>
      <ddeItem name="CHFB1.211" advise="1">
        <values>
          <value t="str">
            <val xml:space="preserve"> -</val>
          </value>
        </values>
      </ddeItem>
      <ddeItem name="CHFB1.212" advise="1">
        <values>
          <value t="str">
            <val xml:space="preserve"> -</val>
          </value>
        </values>
      </ddeItem>
      <ddeItem name="CHFB1.213" advise="1">
        <values>
          <value t="str">
            <val xml:space="preserve"> -</val>
          </value>
        </values>
      </ddeItem>
      <ddeItem name="CHFB1.214" advise="1">
        <values>
          <value t="str">
            <val xml:space="preserve"> -</val>
          </value>
        </values>
      </ddeItem>
      <ddeItem name="CHFB1.215" advise="1">
        <values>
          <value t="str">
            <val xml:space="preserve"> -</val>
          </value>
        </values>
      </ddeItem>
      <ddeItem name="CHFB1.221" advise="1">
        <values>
          <value t="str">
            <val>-</val>
          </value>
        </values>
      </ddeItem>
      <ddeItem name="CHFB1.222" advise="1">
        <values>
          <value t="str">
            <val>-</val>
          </value>
        </values>
      </ddeItem>
      <ddeItem name="CHFB1.223" advise="1">
        <values>
          <value t="str">
            <val>-</val>
          </value>
        </values>
      </ddeItem>
      <ddeItem name="CHFB1.224" advise="1">
        <values>
          <value t="str">
            <val>-</val>
          </value>
        </values>
      </ddeItem>
      <ddeItem name="CHFB1.225" advise="1">
        <values>
          <value t="str">
            <val>-</val>
          </value>
        </values>
      </ddeItem>
      <ddeItem name="CHFB1.231" advise="1">
        <values>
          <value t="str">
            <val>-</val>
          </value>
        </values>
      </ddeItem>
      <ddeItem name="CHFB1.232" advise="1">
        <values>
          <value t="str">
            <val>-</val>
          </value>
        </values>
      </ddeItem>
      <ddeItem name="CHFB1.233" advise="1">
        <values>
          <value t="str">
            <val>-</val>
          </value>
        </values>
      </ddeItem>
      <ddeItem name="CHFB1.234" advise="1">
        <values>
          <value t="str">
            <val>-</val>
          </value>
        </values>
      </ddeItem>
      <ddeItem name="CHFB1.235" advise="1">
        <values>
          <value t="str">
            <val>-</val>
          </value>
        </values>
      </ddeItem>
      <ddeItem name="CHFB1.402" advise="1"/>
      <ddeItem name="CHFB1.406" advise="1">
        <values>
          <value t="str">
            <val xml:space="preserve"> -</val>
          </value>
        </values>
      </ddeItem>
      <ddeItem name="CHFB1.407" advise="1">
        <values>
          <value t="str">
            <val xml:space="preserve"> -</val>
          </value>
        </values>
      </ddeItem>
      <ddeItem name="CHFB1.431" advise="1">
        <values>
          <value t="str">
            <val>-</val>
          </value>
        </values>
      </ddeItem>
      <ddeItem name="CHFB1.437" advise="1">
        <values>
          <value t="str">
            <val xml:space="preserve"> -</val>
          </value>
        </values>
      </ddeItem>
      <ddeItem name="CJFB1.123" advise="1">
        <values>
          <value>
            <val>100145</val>
          </value>
        </values>
      </ddeItem>
      <ddeItem name="CJFB1.124" advise="1">
        <values>
          <value>
            <val>16422.560000000001</val>
          </value>
        </values>
      </ddeItem>
      <ddeItem name="CJFB1.125" advise="1">
        <values>
          <value>
            <val>-20.84</val>
          </value>
        </values>
      </ddeItem>
      <ddeItem name="CJFB1.128" advise="1">
        <values>
          <value>
            <val>1824</val>
          </value>
        </values>
      </ddeItem>
      <ddeItem name="CJFB1.130" advise="1">
        <values>
          <value>
            <val>16329.54</val>
          </value>
        </values>
      </ddeItem>
      <ddeItem name="CJFB1.131" advise="1">
        <values>
          <value>
            <val>16456.939999999999</val>
          </value>
        </values>
      </ddeItem>
      <ddeItem name="CJFB1.132" advise="1">
        <values>
          <value>
            <val>16329.54</val>
          </value>
        </values>
      </ddeItem>
      <ddeItem name="CJFB1.133" advise="1">
        <values>
          <value>
            <val>4024617</val>
          </value>
        </values>
      </ddeItem>
      <ddeItem name="CJFB1.135" advise="1">
        <values>
          <value t="str">
            <val xml:space="preserve"> -</val>
          </value>
        </values>
      </ddeItem>
      <ddeItem name="CJFB1.136" advise="1">
        <values>
          <value t="str">
            <val xml:space="preserve"> -</val>
          </value>
        </values>
      </ddeItem>
      <ddeItem name="CJFB1.201" advise="1">
        <values>
          <value t="str">
            <val xml:space="preserve"> -</val>
          </value>
        </values>
      </ddeItem>
      <ddeItem name="CJFB1.202" advise="1">
        <values>
          <value t="str">
            <val xml:space="preserve"> -</val>
          </value>
        </values>
      </ddeItem>
      <ddeItem name="CJFB1.203" advise="1">
        <values>
          <value t="str">
            <val xml:space="preserve"> -</val>
          </value>
        </values>
      </ddeItem>
      <ddeItem name="CJFB1.204" advise="1">
        <values>
          <value t="str">
            <val xml:space="preserve"> -</val>
          </value>
        </values>
      </ddeItem>
      <ddeItem name="CJFB1.205" advise="1">
        <values>
          <value t="str">
            <val xml:space="preserve"> -</val>
          </value>
        </values>
      </ddeItem>
      <ddeItem name="CJFB1.211" advise="1">
        <values>
          <value t="str">
            <val xml:space="preserve"> -</val>
          </value>
        </values>
      </ddeItem>
      <ddeItem name="CJFB1.212" advise="1">
        <values>
          <value t="str">
            <val xml:space="preserve"> -</val>
          </value>
        </values>
      </ddeItem>
      <ddeItem name="CJFB1.213" advise="1">
        <values>
          <value t="str">
            <val xml:space="preserve"> -</val>
          </value>
        </values>
      </ddeItem>
      <ddeItem name="CJFB1.214" advise="1">
        <values>
          <value t="str">
            <val xml:space="preserve"> -</val>
          </value>
        </values>
      </ddeItem>
      <ddeItem name="CJFB1.215" advise="1">
        <values>
          <value t="str">
            <val xml:space="preserve"> -</val>
          </value>
        </values>
      </ddeItem>
      <ddeItem name="CJFB1.221" advise="1">
        <values>
          <value t="str">
            <val>-</val>
          </value>
        </values>
      </ddeItem>
      <ddeItem name="CJFB1.222" advise="1">
        <values>
          <value t="str">
            <val>-</val>
          </value>
        </values>
      </ddeItem>
      <ddeItem name="CJFB1.223" advise="1">
        <values>
          <value t="str">
            <val>-</val>
          </value>
        </values>
      </ddeItem>
      <ddeItem name="CJFB1.224" advise="1">
        <values>
          <value t="str">
            <val>-</val>
          </value>
        </values>
      </ddeItem>
      <ddeItem name="CJFB1.225" advise="1">
        <values>
          <value t="str">
            <val>-</val>
          </value>
        </values>
      </ddeItem>
      <ddeItem name="CJFB1.231" advise="1">
        <values>
          <value t="str">
            <val>-</val>
          </value>
        </values>
      </ddeItem>
      <ddeItem name="CJFB1.232" advise="1">
        <values>
          <value t="str">
            <val>-</val>
          </value>
        </values>
      </ddeItem>
      <ddeItem name="CJFB1.233" advise="1">
        <values>
          <value t="str">
            <val>-</val>
          </value>
        </values>
      </ddeItem>
      <ddeItem name="CJFB1.234" advise="1">
        <values>
          <value t="str">
            <val>-</val>
          </value>
        </values>
      </ddeItem>
      <ddeItem name="CJFB1.235" advise="1">
        <values>
          <value t="str">
            <val>-</val>
          </value>
        </values>
      </ddeItem>
      <ddeItem name="CJFB1.402" advise="1">
        <values>
          <value t="str">
            <val>加權指數</val>
          </value>
        </values>
      </ddeItem>
      <ddeItem name="CJFB1.406" advise="1">
        <values>
          <value t="str">
            <val xml:space="preserve"> -</val>
          </value>
        </values>
      </ddeItem>
      <ddeItem name="CJFB1.407" advise="1">
        <values>
          <value t="str">
            <val xml:space="preserve"> -</val>
          </value>
        </values>
      </ddeItem>
      <ddeItem name="CJFB1.431" advise="1">
        <values>
          <value t="str">
            <val>-</val>
          </value>
        </values>
      </ddeItem>
      <ddeItem name="CJFB1.437" advise="1">
        <values>
          <value t="str">
            <val xml:space="preserve"> -</val>
          </value>
        </values>
      </ddeItem>
      <ddeItem name="CKFB1.123" advise="1">
        <values>
          <value>
            <val>100145</val>
          </value>
        </values>
      </ddeItem>
      <ddeItem name="CKFB1.124" advise="1">
        <values>
          <value>
            <val>16422.560000000001</val>
          </value>
        </values>
      </ddeItem>
      <ddeItem name="CKFB1.125" advise="1">
        <values>
          <value>
            <val>-20.84</val>
          </value>
        </values>
      </ddeItem>
      <ddeItem name="CKFB1.128" advise="1">
        <values>
          <value>
            <val>1824</val>
          </value>
        </values>
      </ddeItem>
      <ddeItem name="CKFB1.130" advise="1">
        <values>
          <value>
            <val>16329.54</val>
          </value>
        </values>
      </ddeItem>
      <ddeItem name="CKFB1.131" advise="1">
        <values>
          <value>
            <val>16456.939999999999</val>
          </value>
        </values>
      </ddeItem>
      <ddeItem name="CKFB1.132" advise="1">
        <values>
          <value>
            <val>16329.54</val>
          </value>
        </values>
      </ddeItem>
      <ddeItem name="CKFB1.133" advise="1">
        <values>
          <value>
            <val>4024617</val>
          </value>
        </values>
      </ddeItem>
      <ddeItem name="CKFB1.135" advise="1">
        <values>
          <value t="str">
            <val xml:space="preserve"> -</val>
          </value>
        </values>
      </ddeItem>
      <ddeItem name="CKFB1.136" advise="1">
        <values>
          <value t="str">
            <val xml:space="preserve"> -</val>
          </value>
        </values>
      </ddeItem>
      <ddeItem name="CKFB1.201" advise="1">
        <values>
          <value t="str">
            <val xml:space="preserve"> -</val>
          </value>
        </values>
      </ddeItem>
      <ddeItem name="CKFB1.202" advise="1">
        <values>
          <value t="str">
            <val xml:space="preserve"> -</val>
          </value>
        </values>
      </ddeItem>
      <ddeItem name="CKFB1.203" advise="1">
        <values>
          <value t="str">
            <val xml:space="preserve"> -</val>
          </value>
        </values>
      </ddeItem>
      <ddeItem name="CKFB1.204" advise="1">
        <values>
          <value t="str">
            <val xml:space="preserve"> -</val>
          </value>
        </values>
      </ddeItem>
      <ddeItem name="CKFB1.205" advise="1">
        <values>
          <value t="str">
            <val xml:space="preserve"> -</val>
          </value>
        </values>
      </ddeItem>
      <ddeItem name="CKFB1.211" advise="1">
        <values>
          <value t="str">
            <val xml:space="preserve"> -</val>
          </value>
        </values>
      </ddeItem>
      <ddeItem name="CKFB1.212" advise="1">
        <values>
          <value t="str">
            <val xml:space="preserve"> -</val>
          </value>
        </values>
      </ddeItem>
      <ddeItem name="CKFB1.213" advise="1">
        <values>
          <value t="str">
            <val xml:space="preserve"> -</val>
          </value>
        </values>
      </ddeItem>
      <ddeItem name="CKFB1.214" advise="1">
        <values>
          <value t="str">
            <val xml:space="preserve"> -</val>
          </value>
        </values>
      </ddeItem>
      <ddeItem name="CKFB1.215" advise="1">
        <values>
          <value t="str">
            <val xml:space="preserve"> -</val>
          </value>
        </values>
      </ddeItem>
      <ddeItem name="CKFB1.221" advise="1">
        <values>
          <value t="str">
            <val>-</val>
          </value>
        </values>
      </ddeItem>
      <ddeItem name="CKFB1.222" advise="1">
        <values>
          <value t="str">
            <val>-</val>
          </value>
        </values>
      </ddeItem>
      <ddeItem name="CKFB1.223" advise="1">
        <values>
          <value t="str">
            <val>-</val>
          </value>
        </values>
      </ddeItem>
      <ddeItem name="CKFB1.224" advise="1">
        <values>
          <value t="str">
            <val>-</val>
          </value>
        </values>
      </ddeItem>
      <ddeItem name="CKFB1.225" advise="1">
        <values>
          <value t="str">
            <val>-</val>
          </value>
        </values>
      </ddeItem>
      <ddeItem name="CKFB1.231" advise="1">
        <values>
          <value t="str">
            <val>-</val>
          </value>
        </values>
      </ddeItem>
      <ddeItem name="CKFB1.232" advise="1">
        <values>
          <value t="str">
            <val>-</val>
          </value>
        </values>
      </ddeItem>
      <ddeItem name="CKFB1.233" advise="1">
        <values>
          <value t="str">
            <val>-</val>
          </value>
        </values>
      </ddeItem>
      <ddeItem name="CKFB1.234" advise="1">
        <values>
          <value t="str">
            <val>-</val>
          </value>
        </values>
      </ddeItem>
      <ddeItem name="CKFB1.235" advise="1">
        <values>
          <value t="str">
            <val>-</val>
          </value>
        </values>
      </ddeItem>
      <ddeItem name="CKFB1.402" advise="1">
        <values>
          <value t="str">
            <val>加權指數</val>
          </value>
        </values>
      </ddeItem>
      <ddeItem name="CKFB1.406" advise="1">
        <values>
          <value t="str">
            <val xml:space="preserve"> -</val>
          </value>
        </values>
      </ddeItem>
      <ddeItem name="CKFB1.407" advise="1">
        <values>
          <value t="str">
            <val xml:space="preserve"> -</val>
          </value>
        </values>
      </ddeItem>
      <ddeItem name="CKFB1.431" advise="1">
        <values>
          <value t="str">
            <val>-</val>
          </value>
        </values>
      </ddeItem>
      <ddeItem name="CKFB1.437" advise="1">
        <values>
          <value t="str">
            <val xml:space="preserve"> -</val>
          </value>
        </values>
      </ddeItem>
      <ddeItem name="CLFB1.123" advise="1">
        <values>
          <value>
            <val>100125</val>
          </value>
        </values>
      </ddeItem>
      <ddeItem name="CLFB1.124" advise="1">
        <values>
          <value>
            <val>16429</val>
          </value>
        </values>
      </ddeItem>
      <ddeItem name="CLFB1.125" advise="1">
        <values>
          <value>
            <val>-14.4</val>
          </value>
        </values>
      </ddeItem>
      <ddeItem name="CLFB1.128" advise="1">
        <values>
          <value>
            <val>2036</val>
          </value>
        </values>
      </ddeItem>
      <ddeItem name="CLFB1.130" advise="1">
        <values>
          <value>
            <val>16329.54</val>
          </value>
        </values>
      </ddeItem>
      <ddeItem name="CLFB1.131" advise="1">
        <values>
          <value>
            <val>16456.939999999999</val>
          </value>
        </values>
      </ddeItem>
      <ddeItem name="CLFB1.132" advise="1">
        <values>
          <value>
            <val>16329.54</val>
          </value>
        </values>
      </ddeItem>
      <ddeItem name="CLFB1.133" advise="1">
        <values>
          <value>
            <val>4015112</val>
          </value>
        </values>
      </ddeItem>
      <ddeItem name="CLFB1.135" advise="1">
        <values>
          <value t="str">
            <val xml:space="preserve"> -</val>
          </value>
        </values>
      </ddeItem>
      <ddeItem name="CLFB1.136" advise="1">
        <values>
          <value t="str">
            <val xml:space="preserve"> -</val>
          </value>
        </values>
      </ddeItem>
      <ddeItem name="CLFB1.201" advise="1">
        <values>
          <value t="str">
            <val xml:space="preserve"> -</val>
          </value>
        </values>
      </ddeItem>
      <ddeItem name="CLFB1.202" advise="1">
        <values>
          <value t="str">
            <val xml:space="preserve"> -</val>
          </value>
        </values>
      </ddeItem>
      <ddeItem name="CLFB1.203" advise="1">
        <values>
          <value t="str">
            <val xml:space="preserve"> -</val>
          </value>
        </values>
      </ddeItem>
      <ddeItem name="CLFB1.204" advise="1">
        <values>
          <value t="str">
            <val xml:space="preserve"> -</val>
          </value>
        </values>
      </ddeItem>
      <ddeItem name="CLFB1.205" advise="1">
        <values>
          <value t="str">
            <val xml:space="preserve"> -</val>
          </value>
        </values>
      </ddeItem>
      <ddeItem name="CLFB1.211" advise="1">
        <values>
          <value t="str">
            <val xml:space="preserve"> -</val>
          </value>
        </values>
      </ddeItem>
      <ddeItem name="CLFB1.212" advise="1">
        <values>
          <value t="str">
            <val xml:space="preserve"> -</val>
          </value>
        </values>
      </ddeItem>
      <ddeItem name="CLFB1.213" advise="1">
        <values>
          <value t="str">
            <val xml:space="preserve"> -</val>
          </value>
        </values>
      </ddeItem>
      <ddeItem name="CLFB1.214" advise="1">
        <values>
          <value t="str">
            <val xml:space="preserve"> -</val>
          </value>
        </values>
      </ddeItem>
      <ddeItem name="CLFB1.215" advise="1">
        <values>
          <value t="str">
            <val xml:space="preserve"> -</val>
          </value>
        </values>
      </ddeItem>
      <ddeItem name="CLFB1.221" advise="1">
        <values>
          <value t="str">
            <val>-</val>
          </value>
        </values>
      </ddeItem>
      <ddeItem name="CLFB1.222" advise="1">
        <values>
          <value t="str">
            <val>-</val>
          </value>
        </values>
      </ddeItem>
      <ddeItem name="CLFB1.223" advise="1">
        <values>
          <value t="str">
            <val>-</val>
          </value>
        </values>
      </ddeItem>
      <ddeItem name="CLFB1.224" advise="1">
        <values>
          <value t="str">
            <val>-</val>
          </value>
        </values>
      </ddeItem>
      <ddeItem name="CLFB1.225" advise="1">
        <values>
          <value t="str">
            <val>-</val>
          </value>
        </values>
      </ddeItem>
      <ddeItem name="CLFB1.231" advise="1">
        <values>
          <value t="str">
            <val>-</val>
          </value>
        </values>
      </ddeItem>
      <ddeItem name="CLFB1.232" advise="1">
        <values>
          <value t="str">
            <val>-</val>
          </value>
        </values>
      </ddeItem>
      <ddeItem name="CLFB1.233" advise="1">
        <values>
          <value t="str">
            <val>-</val>
          </value>
        </values>
      </ddeItem>
      <ddeItem name="CLFB1.234" advise="1">
        <values>
          <value t="str">
            <val>-</val>
          </value>
        </values>
      </ddeItem>
      <ddeItem name="CLFB1.235" advise="1">
        <values>
          <value t="str">
            <val>-</val>
          </value>
        </values>
      </ddeItem>
      <ddeItem name="CLFB1.402" advise="1">
        <values>
          <value t="str">
            <val>加權指數</val>
          </value>
        </values>
      </ddeItem>
      <ddeItem name="CLFB1.406" advise="1">
        <values>
          <value t="str">
            <val xml:space="preserve"> -</val>
          </value>
        </values>
      </ddeItem>
      <ddeItem name="CLFB1.407" advise="1">
        <values>
          <value t="str">
            <val xml:space="preserve"> -</val>
          </value>
        </values>
      </ddeItem>
      <ddeItem name="CLFB1.431" advise="1">
        <values>
          <value t="str">
            <val>-</val>
          </value>
        </values>
      </ddeItem>
      <ddeItem name="CLFB1.437" advise="1">
        <values>
          <value t="str">
            <val xml:space="preserve"> -</val>
          </value>
        </values>
      </ddeItem>
      <ddeItem name="CM1C1.123" advise="1">
        <values>
          <value>
            <val>0</val>
          </value>
        </values>
      </ddeItem>
      <ddeItem name="CM1C1.124" advise="1">
        <values>
          <value t="str">
            <val xml:space="preserve"> </val>
          </value>
        </values>
      </ddeItem>
      <ddeItem name="CM1C1.125" advise="1">
        <values>
          <value>
            <val>0</val>
          </value>
        </values>
      </ddeItem>
      <ddeItem name="CM1C1.128" advise="1">
        <values>
          <value>
            <val>0</val>
          </value>
        </values>
      </ddeItem>
      <ddeItem name="CM1C1.130" advise="1">
        <values>
          <value t="str">
            <val xml:space="preserve"> </val>
          </value>
        </values>
      </ddeItem>
      <ddeItem name="CM1C1.131" advise="1">
        <values>
          <value t="str">
            <val xml:space="preserve"> </val>
          </value>
        </values>
      </ddeItem>
      <ddeItem name="CM1C1.132" advise="1">
        <values>
          <value t="str">
            <val xml:space="preserve"> </val>
          </value>
        </values>
      </ddeItem>
      <ddeItem name="CM1C1.133" advise="1">
        <values>
          <value>
            <val>0</val>
          </value>
        </values>
      </ddeItem>
      <ddeItem name="CM1C1.135" advise="1">
        <values>
          <value>
            <val>13.05</val>
          </value>
        </values>
      </ddeItem>
      <ddeItem name="CM1C1.136" advise="1">
        <values>
          <value>
            <val>13.25</val>
          </value>
        </values>
      </ddeItem>
      <ddeItem name="CM1C1.201" advise="1">
        <values>
          <value>
            <val>13.05</val>
          </value>
        </values>
      </ddeItem>
      <ddeItem name="CM1C1.202" advise="1">
        <values>
          <value t="str">
            <val xml:space="preserve"> </val>
          </value>
        </values>
      </ddeItem>
      <ddeItem name="CM1C1.203" advise="1">
        <values>
          <value t="str">
            <val xml:space="preserve"> </val>
          </value>
        </values>
      </ddeItem>
      <ddeItem name="CM1C1.204" advise="1">
        <values>
          <value t="str">
            <val xml:space="preserve"> </val>
          </value>
        </values>
      </ddeItem>
      <ddeItem name="CM1C1.205" advise="1">
        <values>
          <value t="str">
            <val xml:space="preserve"> </val>
          </value>
        </values>
      </ddeItem>
      <ddeItem name="CM1C1.211" advise="1">
        <values>
          <value>
            <val>13.25</val>
          </value>
        </values>
      </ddeItem>
      <ddeItem name="CM1C1.212" advise="1">
        <values>
          <value t="str">
            <val xml:space="preserve"> </val>
          </value>
        </values>
      </ddeItem>
      <ddeItem name="CM1C1.213" advise="1">
        <values>
          <value t="str">
            <val xml:space="preserve"> </val>
          </value>
        </values>
      </ddeItem>
      <ddeItem name="CM1C1.214" advise="1">
        <values>
          <value t="str">
            <val xml:space="preserve"> </val>
          </value>
        </values>
      </ddeItem>
      <ddeItem name="CM1C1.215" advise="1">
        <values>
          <value t="str">
            <val xml:space="preserve"> </val>
          </value>
        </values>
      </ddeItem>
      <ddeItem name="CM1C1.221" advise="1">
        <values>
          <value>
            <val>1</val>
          </value>
        </values>
      </ddeItem>
      <ddeItem name="CM1C1.222" advise="1">
        <values>
          <value>
            <val>0</val>
          </value>
        </values>
      </ddeItem>
      <ddeItem name="CM1C1.223" advise="1">
        <values>
          <value>
            <val>0</val>
          </value>
        </values>
      </ddeItem>
      <ddeItem name="CM1C1.224" advise="1">
        <values>
          <value>
            <val>0</val>
          </value>
        </values>
      </ddeItem>
      <ddeItem name="CM1C1.225" advise="1">
        <values>
          <value>
            <val>0</val>
          </value>
        </values>
      </ddeItem>
      <ddeItem name="CM1C1.231" advise="1">
        <values>
          <value>
            <val>1</val>
          </value>
        </values>
      </ddeItem>
      <ddeItem name="CM1C1.232" advise="1">
        <values>
          <value>
            <val>0</val>
          </value>
        </values>
      </ddeItem>
      <ddeItem name="CM1C1.233" advise="1">
        <values>
          <value>
            <val>0</val>
          </value>
        </values>
      </ddeItem>
      <ddeItem name="CM1C1.234" advise="1">
        <values>
          <value>
            <val>0</val>
          </value>
        </values>
      </ddeItem>
      <ddeItem name="CM1C1.235" advise="1">
        <values>
          <value>
            <val>0</val>
          </value>
        </values>
      </ddeItem>
      <ddeItem name="CM1C1.402" advise="1">
        <values>
          <value t="str">
            <val>台新金1-03</val>
          </value>
        </values>
      </ddeItem>
      <ddeItem name="CM1C1.406" advise="1">
        <values>
          <value>
            <val>14.3</val>
          </value>
        </values>
      </ddeItem>
      <ddeItem name="CM1C1.407" advise="1">
        <values>
          <value>
            <val>11.7</val>
          </value>
        </values>
      </ddeItem>
      <ddeItem name="CM1C1.431" advise="1">
        <values>
          <value>
            <val>20210224</val>
          </value>
        </values>
      </ddeItem>
      <ddeItem name="CM1C1.437" advise="1">
        <values>
          <value>
            <val>13.11</val>
          </value>
        </values>
      </ddeItem>
      <ddeItem name="CMFB1.123" advise="1">
        <values>
          <value>
            <val>100125</val>
          </value>
        </values>
      </ddeItem>
      <ddeItem name="CMFB1.124" advise="1">
        <values>
          <value>
            <val>16429</val>
          </value>
        </values>
      </ddeItem>
      <ddeItem name="CMFB1.125" advise="1">
        <values>
          <value>
            <val>-14.4</val>
          </value>
        </values>
      </ddeItem>
      <ddeItem name="CMFB1.128" advise="1">
        <values>
          <value>
            <val>2036</val>
          </value>
        </values>
      </ddeItem>
      <ddeItem name="CMFB1.130" advise="1">
        <values>
          <value>
            <val>16329.54</val>
          </value>
        </values>
      </ddeItem>
      <ddeItem name="CMFB1.131" advise="1">
        <values>
          <value>
            <val>16456.939999999999</val>
          </value>
        </values>
      </ddeItem>
      <ddeItem name="CMFB1.132" advise="1">
        <values>
          <value>
            <val>16329.54</val>
          </value>
        </values>
      </ddeItem>
      <ddeItem name="CMFB1.133" advise="1">
        <values>
          <value>
            <val>4015112</val>
          </value>
        </values>
      </ddeItem>
      <ddeItem name="CMFB1.135" advise="1">
        <values>
          <value t="str">
            <val xml:space="preserve"> -</val>
          </value>
        </values>
      </ddeItem>
      <ddeItem name="CMFB1.136" advise="1">
        <values>
          <value t="str">
            <val xml:space="preserve"> -</val>
          </value>
        </values>
      </ddeItem>
      <ddeItem name="CMFB1.201" advise="1">
        <values>
          <value t="str">
            <val xml:space="preserve"> -</val>
          </value>
        </values>
      </ddeItem>
      <ddeItem name="CMFB1.202" advise="1">
        <values>
          <value t="str">
            <val xml:space="preserve"> -</val>
          </value>
        </values>
      </ddeItem>
      <ddeItem name="CMFB1.203" advise="1">
        <values>
          <value t="str">
            <val xml:space="preserve"> -</val>
          </value>
        </values>
      </ddeItem>
      <ddeItem name="CMFB1.204" advise="1">
        <values>
          <value t="str">
            <val xml:space="preserve"> -</val>
          </value>
        </values>
      </ddeItem>
      <ddeItem name="CMFB1.205" advise="1">
        <values>
          <value t="str">
            <val xml:space="preserve"> -</val>
          </value>
        </values>
      </ddeItem>
      <ddeItem name="CMFB1.211" advise="1">
        <values>
          <value t="str">
            <val xml:space="preserve"> -</val>
          </value>
        </values>
      </ddeItem>
      <ddeItem name="CMFB1.212" advise="1">
        <values>
          <value t="str">
            <val xml:space="preserve"> -</val>
          </value>
        </values>
      </ddeItem>
      <ddeItem name="CMFB1.213" advise="1">
        <values>
          <value t="str">
            <val xml:space="preserve"> -</val>
          </value>
        </values>
      </ddeItem>
      <ddeItem name="CMFB1.214" advise="1">
        <values>
          <value t="str">
            <val xml:space="preserve"> -</val>
          </value>
        </values>
      </ddeItem>
      <ddeItem name="CMFB1.215" advise="1">
        <values>
          <value t="str">
            <val xml:space="preserve"> -</val>
          </value>
        </values>
      </ddeItem>
      <ddeItem name="CMFB1.221" advise="1">
        <values>
          <value t="str">
            <val>-</val>
          </value>
        </values>
      </ddeItem>
      <ddeItem name="CMFB1.222" advise="1">
        <values>
          <value t="str">
            <val>-</val>
          </value>
        </values>
      </ddeItem>
      <ddeItem name="CMFB1.223" advise="1">
        <values>
          <value t="str">
            <val>-</val>
          </value>
        </values>
      </ddeItem>
      <ddeItem name="CMFB1.224" advise="1">
        <values>
          <value t="str">
            <val>-</val>
          </value>
        </values>
      </ddeItem>
      <ddeItem name="CMFB1.225" advise="1">
        <values>
          <value t="str">
            <val>-</val>
          </value>
        </values>
      </ddeItem>
      <ddeItem name="CMFB1.231" advise="1">
        <values>
          <value t="str">
            <val>-</val>
          </value>
        </values>
      </ddeItem>
      <ddeItem name="CMFB1.232" advise="1">
        <values>
          <value t="str">
            <val>-</val>
          </value>
        </values>
      </ddeItem>
      <ddeItem name="CMFB1.233" advise="1">
        <values>
          <value t="str">
            <val>-</val>
          </value>
        </values>
      </ddeItem>
      <ddeItem name="CMFB1.234" advise="1">
        <values>
          <value t="str">
            <val>-</val>
          </value>
        </values>
      </ddeItem>
      <ddeItem name="CMFB1.235" advise="1">
        <values>
          <value t="str">
            <val>-</val>
          </value>
        </values>
      </ddeItem>
      <ddeItem name="CMFB1.402" advise="1">
        <values>
          <value t="str">
            <val>加權指數</val>
          </value>
        </values>
      </ddeItem>
      <ddeItem name="CMFB1.406" advise="1">
        <values>
          <value t="str">
            <val xml:space="preserve"> -</val>
          </value>
        </values>
      </ddeItem>
      <ddeItem name="CMFB1.407" advise="1">
        <values>
          <value t="str">
            <val xml:space="preserve"> -</val>
          </value>
        </values>
      </ddeItem>
      <ddeItem name="CMFB1.431" advise="1">
        <values>
          <value t="str">
            <val>-</val>
          </value>
        </values>
      </ddeItem>
      <ddeItem name="CMFB1.437" advise="1">
        <values>
          <value t="str">
            <val xml:space="preserve"> -</val>
          </value>
        </values>
      </ddeItem>
      <ddeItem name="CNFB1.123" advise="1">
        <values>
          <value>
            <val>100140</val>
          </value>
        </values>
      </ddeItem>
      <ddeItem name="CNFB1.124" advise="1">
        <values>
          <value>
            <val>16428.68</val>
          </value>
        </values>
      </ddeItem>
      <ddeItem name="CNFB1.125" advise="1">
        <values>
          <value>
            <val>-14.72</val>
          </value>
        </values>
      </ddeItem>
      <ddeItem name="CNFB1.128" advise="1">
        <values>
          <value>
            <val>2686</val>
          </value>
        </values>
      </ddeItem>
      <ddeItem name="CNFB1.130" advise="1">
        <values>
          <value>
            <val>16329.54</val>
          </value>
        </values>
      </ddeItem>
      <ddeItem name="CNFB1.131" advise="1">
        <values>
          <value>
            <val>16456.939999999999</val>
          </value>
        </values>
      </ddeItem>
      <ddeItem name="CNFB1.132" advise="1">
        <values>
          <value>
            <val>16329.54</val>
          </value>
        </values>
      </ddeItem>
      <ddeItem name="CNFB1.133" advise="1">
        <values>
          <value>
            <val>4022793</val>
          </value>
        </values>
      </ddeItem>
      <ddeItem name="CNFB1.135" advise="1">
        <values>
          <value t="str">
            <val xml:space="preserve"> -</val>
          </value>
        </values>
      </ddeItem>
      <ddeItem name="CNFB1.136" advise="1">
        <values>
          <value t="str">
            <val xml:space="preserve"> -</val>
          </value>
        </values>
      </ddeItem>
      <ddeItem name="CNFB1.201" advise="1">
        <values>
          <value t="str">
            <val xml:space="preserve"> -</val>
          </value>
        </values>
      </ddeItem>
      <ddeItem name="CNFB1.202" advise="1">
        <values>
          <value t="str">
            <val xml:space="preserve"> -</val>
          </value>
        </values>
      </ddeItem>
      <ddeItem name="CNFB1.203" advise="1">
        <values>
          <value t="str">
            <val xml:space="preserve"> -</val>
          </value>
        </values>
      </ddeItem>
      <ddeItem name="CNFB1.204" advise="1">
        <values>
          <value t="str">
            <val xml:space="preserve"> -</val>
          </value>
        </values>
      </ddeItem>
      <ddeItem name="CNFB1.205" advise="1">
        <values>
          <value t="str">
            <val xml:space="preserve"> -</val>
          </value>
        </values>
      </ddeItem>
      <ddeItem name="CNFB1.211" advise="1">
        <values>
          <value t="str">
            <val xml:space="preserve"> -</val>
          </value>
        </values>
      </ddeItem>
      <ddeItem name="CNFB1.212" advise="1">
        <values>
          <value t="str">
            <val xml:space="preserve"> -</val>
          </value>
        </values>
      </ddeItem>
      <ddeItem name="CNFB1.213" advise="1">
        <values>
          <value t="str">
            <val xml:space="preserve"> -</val>
          </value>
        </values>
      </ddeItem>
      <ddeItem name="CNFB1.214" advise="1">
        <values>
          <value t="str">
            <val xml:space="preserve"> -</val>
          </value>
        </values>
      </ddeItem>
      <ddeItem name="CNFB1.215" advise="1">
        <values>
          <value t="str">
            <val xml:space="preserve"> -</val>
          </value>
        </values>
      </ddeItem>
      <ddeItem name="CNFB1.221" advise="1">
        <values>
          <value t="str">
            <val>-</val>
          </value>
        </values>
      </ddeItem>
      <ddeItem name="CNFB1.222" advise="1">
        <values>
          <value t="str">
            <val>-</val>
          </value>
        </values>
      </ddeItem>
      <ddeItem name="CNFB1.223" advise="1">
        <values>
          <value t="str">
            <val>-</val>
          </value>
        </values>
      </ddeItem>
      <ddeItem name="CNFB1.224" advise="1">
        <values>
          <value t="str">
            <val>-</val>
          </value>
        </values>
      </ddeItem>
      <ddeItem name="CNFB1.225" advise="1">
        <values>
          <value t="str">
            <val>-</val>
          </value>
        </values>
      </ddeItem>
      <ddeItem name="CNFB1.231" advise="1">
        <values>
          <value t="str">
            <val>-</val>
          </value>
        </values>
      </ddeItem>
      <ddeItem name="CNFB1.232" advise="1">
        <values>
          <value t="str">
            <val>-</val>
          </value>
        </values>
      </ddeItem>
      <ddeItem name="CNFB1.233" advise="1">
        <values>
          <value t="str">
            <val>-</val>
          </value>
        </values>
      </ddeItem>
      <ddeItem name="CNFB1.234" advise="1">
        <values>
          <value t="str">
            <val>-</val>
          </value>
        </values>
      </ddeItem>
      <ddeItem name="CNFB1.235" advise="1">
        <values>
          <value t="str">
            <val>-</val>
          </value>
        </values>
      </ddeItem>
      <ddeItem name="CNFB1.402" advise="1">
        <values>
          <value t="str">
            <val>加權指數</val>
          </value>
        </values>
      </ddeItem>
      <ddeItem name="CNFB1.406" advise="1">
        <values>
          <value t="str">
            <val xml:space="preserve"> -</val>
          </value>
        </values>
      </ddeItem>
      <ddeItem name="CNFB1.407" advise="1">
        <values>
          <value t="str">
            <val xml:space="preserve"> -</val>
          </value>
        </values>
      </ddeItem>
      <ddeItem name="CNFB1.431" advise="1">
        <values>
          <value t="str">
            <val>-</val>
          </value>
        </values>
      </ddeItem>
      <ddeItem name="CNFB1.437" advise="1">
        <values>
          <value t="str">
            <val xml:space="preserve"> -</val>
          </value>
        </values>
      </ddeItem>
      <ddeItem name="CQFB1.123" advise="1">
        <values>
          <value>
            <val>0</val>
          </value>
        </values>
      </ddeItem>
      <ddeItem name="CQFB1.124" advise="1">
        <values>
          <value>
            <val>20878632</val>
          </value>
        </values>
      </ddeItem>
      <ddeItem name="CQFB1.125" advise="1">
        <values>
          <value t="str">
            <val xml:space="preserve"> </val>
          </value>
        </values>
      </ddeItem>
      <ddeItem name="CQFB1.128" advise="1">
        <values>
          <value>
            <val>1212870150</val>
          </value>
        </values>
      </ddeItem>
      <ddeItem name="CQFB1.130" advise="1">
        <values>
          <value>
            <val>20803788</val>
          </value>
        </values>
      </ddeItem>
      <ddeItem name="CQFB1.131" advise="1">
        <values>
          <value>
            <val>20804690</val>
          </value>
        </values>
      </ddeItem>
      <ddeItem name="CQFB1.132" advise="1">
        <values>
          <value>
            <val>10989732</val>
          </value>
        </values>
      </ddeItem>
      <ddeItem name="CQFB1.133" advise="1">
        <values>
          <value>
            <val>2088371110</val>
          </value>
        </values>
      </ddeItem>
      <ddeItem name="CQFB1.135" advise="1">
        <values>
          <value t="str">
            <val xml:space="preserve"> -</val>
          </value>
        </values>
      </ddeItem>
      <ddeItem name="CQFB1.136" advise="1">
        <values>
          <value t="str">
            <val xml:space="preserve"> -</val>
          </value>
        </values>
      </ddeItem>
      <ddeItem name="CQFB1.201" advise="1">
        <values>
          <value t="str">
            <val xml:space="preserve"> -</val>
          </value>
        </values>
      </ddeItem>
      <ddeItem name="CQFB1.202" advise="1">
        <values>
          <value t="str">
            <val xml:space="preserve"> -</val>
          </value>
        </values>
      </ddeItem>
      <ddeItem name="CQFB1.203" advise="1">
        <values>
          <value t="str">
            <val xml:space="preserve"> -</val>
          </value>
        </values>
      </ddeItem>
      <ddeItem name="CQFB1.204" advise="1">
        <values>
          <value t="str">
            <val xml:space="preserve"> -</val>
          </value>
        </values>
      </ddeItem>
      <ddeItem name="CQFB1.205" advise="1">
        <values>
          <value t="str">
            <val xml:space="preserve"> -</val>
          </value>
        </values>
      </ddeItem>
      <ddeItem name="CQFB1.211" advise="1">
        <values>
          <value t="str">
            <val xml:space="preserve"> -</val>
          </value>
        </values>
      </ddeItem>
      <ddeItem name="CQFB1.212" advise="1">
        <values>
          <value t="str">
            <val xml:space="preserve"> -</val>
          </value>
        </values>
      </ddeItem>
      <ddeItem name="CQFB1.213" advise="1">
        <values>
          <value t="str">
            <val xml:space="preserve"> -</val>
          </value>
        </values>
      </ddeItem>
      <ddeItem name="CQFB1.214" advise="1">
        <values>
          <value t="str">
            <val xml:space="preserve"> -</val>
          </value>
        </values>
      </ddeItem>
      <ddeItem name="CQFB1.215" advise="1">
        <values>
          <value t="str">
            <val xml:space="preserve"> -</val>
          </value>
        </values>
      </ddeItem>
      <ddeItem name="CQFB1.221" advise="1">
        <values>
          <value t="str">
            <val>-</val>
          </value>
        </values>
      </ddeItem>
      <ddeItem name="CQFB1.222" advise="1">
        <values>
          <value t="str">
            <val>-</val>
          </value>
        </values>
      </ddeItem>
      <ddeItem name="CQFB1.223" advise="1">
        <values>
          <value t="str">
            <val>-</val>
          </value>
        </values>
      </ddeItem>
      <ddeItem name="CQFB1.224" advise="1">
        <values>
          <value t="str">
            <val>-</val>
          </value>
        </values>
      </ddeItem>
      <ddeItem name="CQFB1.225" advise="1">
        <values>
          <value t="str">
            <val>-</val>
          </value>
        </values>
      </ddeItem>
      <ddeItem name="CQFB1.231" advise="1">
        <values>
          <value t="str">
            <val>-</val>
          </value>
        </values>
      </ddeItem>
      <ddeItem name="CQFB1.232" advise="1">
        <values>
          <value t="str">
            <val>-</val>
          </value>
        </values>
      </ddeItem>
      <ddeItem name="CQFB1.233" advise="1">
        <values>
          <value t="str">
            <val>-</val>
          </value>
        </values>
      </ddeItem>
      <ddeItem name="CQFB1.234" advise="1">
        <values>
          <value t="str">
            <val>-</val>
          </value>
        </values>
      </ddeItem>
      <ddeItem name="CQFB1.235" advise="1">
        <values>
          <value t="str">
            <val>-</val>
          </value>
        </values>
      </ddeItem>
      <ddeItem name="CQFB1.402" advise="1">
        <values>
          <value t="str">
            <val>加權指數</val>
          </value>
        </values>
      </ddeItem>
      <ddeItem name="CQFB1.406" advise="1">
        <values>
          <value t="str">
            <val xml:space="preserve"> -</val>
          </value>
        </values>
      </ddeItem>
      <ddeItem name="CQFB1.407" advise="1">
        <values>
          <value t="str">
            <val xml:space="preserve"> -</val>
          </value>
        </values>
      </ddeItem>
      <ddeItem name="CQFB1.431" advise="1">
        <values>
          <value t="str">
            <val>-</val>
          </value>
        </values>
      </ddeItem>
      <ddeItem name="CQFB1.437" advise="1">
        <values>
          <value t="str">
            <val xml:space="preserve"> -</val>
          </value>
        </values>
      </ddeItem>
      <ddeItem name="CRFB1.123" advise="1">
        <values>
          <value>
            <val>100135</val>
          </value>
        </values>
      </ddeItem>
      <ddeItem name="CRFB1.124" advise="1">
        <values>
          <value>
            <val>16424.64</val>
          </value>
        </values>
      </ddeItem>
      <ddeItem name="CRFB1.125" advise="1">
        <values>
          <value>
            <val>-18.760000000000002</val>
          </value>
        </values>
      </ddeItem>
      <ddeItem name="CRFB1.128" advise="1">
        <values>
          <value>
            <val>1648</val>
          </value>
        </values>
      </ddeItem>
      <ddeItem name="CRFB1.130" advise="1">
        <values>
          <value>
            <val>16329.54</val>
          </value>
        </values>
      </ddeItem>
      <ddeItem name="CRFB1.131" advise="1">
        <values>
          <value>
            <val>16456.939999999999</val>
          </value>
        </values>
      </ddeItem>
      <ddeItem name="CRFB1.132" advise="1">
        <values>
          <value>
            <val>16329.54</val>
          </value>
        </values>
      </ddeItem>
      <ddeItem name="CRFB1.133" advise="1">
        <values>
          <value>
            <val>4020107</val>
          </value>
        </values>
      </ddeItem>
      <ddeItem name="CRFB1.135" advise="1">
        <values>
          <value t="str">
            <val xml:space="preserve"> -</val>
          </value>
        </values>
      </ddeItem>
      <ddeItem name="CRFB1.136" advise="1">
        <values>
          <value t="str">
            <val xml:space="preserve"> -</val>
          </value>
        </values>
      </ddeItem>
      <ddeItem name="CRFB1.201" advise="1">
        <values>
          <value t="str">
            <val xml:space="preserve"> -</val>
          </value>
        </values>
      </ddeItem>
      <ddeItem name="CRFB1.202" advise="1">
        <values>
          <value t="str">
            <val xml:space="preserve"> -</val>
          </value>
        </values>
      </ddeItem>
      <ddeItem name="CRFB1.203" advise="1">
        <values>
          <value t="str">
            <val xml:space="preserve"> -</val>
          </value>
        </values>
      </ddeItem>
      <ddeItem name="CRFB1.204" advise="1">
        <values>
          <value t="str">
            <val xml:space="preserve"> -</val>
          </value>
        </values>
      </ddeItem>
      <ddeItem name="CRFB1.205" advise="1">
        <values>
          <value t="str">
            <val xml:space="preserve"> -</val>
          </value>
        </values>
      </ddeItem>
      <ddeItem name="CRFB1.211" advise="1">
        <values>
          <value t="str">
            <val xml:space="preserve"> -</val>
          </value>
        </values>
      </ddeItem>
      <ddeItem name="CRFB1.212" advise="1">
        <values>
          <value t="str">
            <val xml:space="preserve"> -</val>
          </value>
        </values>
      </ddeItem>
      <ddeItem name="CRFB1.213" advise="1">
        <values>
          <value t="str">
            <val xml:space="preserve"> -</val>
          </value>
        </values>
      </ddeItem>
      <ddeItem name="CRFB1.214" advise="1">
        <values>
          <value t="str">
            <val xml:space="preserve"> -</val>
          </value>
        </values>
      </ddeItem>
      <ddeItem name="CRFB1.215" advise="1">
        <values>
          <value t="str">
            <val xml:space="preserve"> -</val>
          </value>
        </values>
      </ddeItem>
      <ddeItem name="CRFB1.221" advise="1">
        <values>
          <value t="str">
            <val>-</val>
          </value>
        </values>
      </ddeItem>
      <ddeItem name="CRFB1.222" advise="1">
        <values>
          <value t="str">
            <val>-</val>
          </value>
        </values>
      </ddeItem>
      <ddeItem name="CRFB1.223" advise="1">
        <values>
          <value t="str">
            <val>-</val>
          </value>
        </values>
      </ddeItem>
      <ddeItem name="CRFB1.224" advise="1">
        <values>
          <value t="str">
            <val>-</val>
          </value>
        </values>
      </ddeItem>
      <ddeItem name="CRFB1.225" advise="1">
        <values>
          <value t="str">
            <val>-</val>
          </value>
        </values>
      </ddeItem>
      <ddeItem name="CRFB1.231" advise="1">
        <values>
          <value t="str">
            <val>-</val>
          </value>
        </values>
      </ddeItem>
      <ddeItem name="CRFB1.232" advise="1">
        <values>
          <value t="str">
            <val>-</val>
          </value>
        </values>
      </ddeItem>
      <ddeItem name="CRFB1.233" advise="1">
        <values>
          <value t="str">
            <val>-</val>
          </value>
        </values>
      </ddeItem>
      <ddeItem name="CRFB1.234" advise="1">
        <values>
          <value t="str">
            <val>-</val>
          </value>
        </values>
      </ddeItem>
      <ddeItem name="CRFB1.235" advise="1">
        <values>
          <value t="str">
            <val>-</val>
          </value>
        </values>
      </ddeItem>
      <ddeItem name="CRFB1.402" advise="1">
        <values>
          <value t="str">
            <val>加權指數</val>
          </value>
        </values>
      </ddeItem>
      <ddeItem name="CRFB1.406" advise="1">
        <values>
          <value t="str">
            <val xml:space="preserve"> -</val>
          </value>
        </values>
      </ddeItem>
      <ddeItem name="CRFB1.407" advise="1">
        <values>
          <value t="str">
            <val xml:space="preserve"> -</val>
          </value>
        </values>
      </ddeItem>
      <ddeItem name="CRFB1.431" advise="1">
        <values>
          <value t="str">
            <val>-</val>
          </value>
        </values>
      </ddeItem>
      <ddeItem name="CRFB1.437" advise="1">
        <values>
          <value t="str">
            <val xml:space="preserve"> -</val>
          </value>
        </values>
      </ddeItem>
      <ddeItem name="CSFB1.123" advise="1">
        <values>
          <value>
            <val>100135</val>
          </value>
        </values>
      </ddeItem>
      <ddeItem name="CSFB1.124" advise="1">
        <values>
          <value>
            <val>16424.64</val>
          </value>
        </values>
      </ddeItem>
      <ddeItem name="CSFB1.125" advise="1">
        <values>
          <value>
            <val>-18.760000000000002</val>
          </value>
        </values>
      </ddeItem>
      <ddeItem name="CSFB1.128" advise="1">
        <values>
          <value>
            <val>1648</val>
          </value>
        </values>
      </ddeItem>
      <ddeItem name="CSFB1.130" advise="1">
        <values>
          <value>
            <val>16329.54</val>
          </value>
        </values>
      </ddeItem>
      <ddeItem name="CSFB1.131" advise="1">
        <values>
          <value>
            <val>16456.939999999999</val>
          </value>
        </values>
      </ddeItem>
      <ddeItem name="CSFB1.132" advise="1">
        <values>
          <value>
            <val>16329.54</val>
          </value>
        </values>
      </ddeItem>
      <ddeItem name="CSFB1.133" advise="1">
        <values>
          <value>
            <val>4020107</val>
          </value>
        </values>
      </ddeItem>
      <ddeItem name="CSFB1.135" advise="1">
        <values>
          <value t="str">
            <val xml:space="preserve"> -</val>
          </value>
        </values>
      </ddeItem>
      <ddeItem name="CSFB1.136" advise="1">
        <values>
          <value t="str">
            <val xml:space="preserve"> -</val>
          </value>
        </values>
      </ddeItem>
      <ddeItem name="CSFB1.201" advise="1">
        <values>
          <value t="str">
            <val xml:space="preserve"> -</val>
          </value>
        </values>
      </ddeItem>
      <ddeItem name="CSFB1.202" advise="1">
        <values>
          <value t="str">
            <val xml:space="preserve"> -</val>
          </value>
        </values>
      </ddeItem>
      <ddeItem name="CSFB1.203" advise="1">
        <values>
          <value t="str">
            <val xml:space="preserve"> -</val>
          </value>
        </values>
      </ddeItem>
      <ddeItem name="CSFB1.204" advise="1">
        <values>
          <value t="str">
            <val xml:space="preserve"> -</val>
          </value>
        </values>
      </ddeItem>
      <ddeItem name="CSFB1.205" advise="1">
        <values>
          <value t="str">
            <val xml:space="preserve"> -</val>
          </value>
        </values>
      </ddeItem>
      <ddeItem name="CSFB1.211" advise="1">
        <values>
          <value t="str">
            <val xml:space="preserve"> -</val>
          </value>
        </values>
      </ddeItem>
      <ddeItem name="CSFB1.212" advise="1">
        <values>
          <value t="str">
            <val xml:space="preserve"> -</val>
          </value>
        </values>
      </ddeItem>
      <ddeItem name="CSFB1.213" advise="1">
        <values>
          <value t="str">
            <val xml:space="preserve"> -</val>
          </value>
        </values>
      </ddeItem>
      <ddeItem name="CSFB1.214" advise="1">
        <values>
          <value t="str">
            <val xml:space="preserve"> -</val>
          </value>
        </values>
      </ddeItem>
      <ddeItem name="CSFB1.215" advise="1">
        <values>
          <value t="str">
            <val xml:space="preserve"> -</val>
          </value>
        </values>
      </ddeItem>
      <ddeItem name="CSFB1.221" advise="1">
        <values>
          <value t="str">
            <val>-</val>
          </value>
        </values>
      </ddeItem>
      <ddeItem name="CSFB1.222" advise="1">
        <values>
          <value t="str">
            <val>-</val>
          </value>
        </values>
      </ddeItem>
      <ddeItem name="CSFB1.223" advise="1">
        <values>
          <value t="str">
            <val>-</val>
          </value>
        </values>
      </ddeItem>
      <ddeItem name="CSFB1.224" advise="1">
        <values>
          <value t="str">
            <val>-</val>
          </value>
        </values>
      </ddeItem>
      <ddeItem name="CSFB1.225" advise="1">
        <values>
          <value t="str">
            <val>-</val>
          </value>
        </values>
      </ddeItem>
      <ddeItem name="CSFB1.231" advise="1">
        <values>
          <value t="str">
            <val>-</val>
          </value>
        </values>
      </ddeItem>
      <ddeItem name="CSFB1.232" advise="1">
        <values>
          <value t="str">
            <val>-</val>
          </value>
        </values>
      </ddeItem>
      <ddeItem name="CSFB1.233" advise="1">
        <values>
          <value t="str">
            <val>-</val>
          </value>
        </values>
      </ddeItem>
      <ddeItem name="CSFB1.234" advise="1">
        <values>
          <value t="str">
            <val>-</val>
          </value>
        </values>
      </ddeItem>
      <ddeItem name="CSFB1.235" advise="1">
        <values>
          <value t="str">
            <val>-</val>
          </value>
        </values>
      </ddeItem>
      <ddeItem name="CSFB1.402" advise="1">
        <values>
          <value t="str">
            <val>加權指數</val>
          </value>
        </values>
      </ddeItem>
      <ddeItem name="CSFB1.406" advise="1">
        <values>
          <value t="str">
            <val xml:space="preserve"> -</val>
          </value>
        </values>
      </ddeItem>
      <ddeItem name="CSFB1.407" advise="1">
        <values>
          <value t="str">
            <val xml:space="preserve"> -</val>
          </value>
        </values>
      </ddeItem>
      <ddeItem name="CSFB1.431" advise="1">
        <values>
          <value t="str">
            <val>-</val>
          </value>
        </values>
      </ddeItem>
      <ddeItem name="CSFB1.437" advise="1">
        <values>
          <value t="str">
            <val xml:space="preserve"> -</val>
          </value>
        </values>
      </ddeItem>
      <ddeItem name="CUFB1.123" advise="1">
        <values>
          <value>
            <val>100130</val>
          </value>
        </values>
      </ddeItem>
      <ddeItem name="CUFB1.124" advise="1">
        <values>
          <value>
            <val>16422.080000000002</val>
          </value>
        </values>
      </ddeItem>
      <ddeItem name="CUFB1.125" advise="1">
        <values>
          <value>
            <val>-21.32</val>
          </value>
        </values>
      </ddeItem>
      <ddeItem name="CUFB1.128" advise="1">
        <values>
          <value>
            <val>3347</val>
          </value>
        </values>
      </ddeItem>
      <ddeItem name="CUFB1.130" advise="1">
        <values>
          <value>
            <val>16329.54</val>
          </value>
        </values>
      </ddeItem>
      <ddeItem name="CUFB1.131" advise="1">
        <values>
          <value>
            <val>16456.939999999999</val>
          </value>
        </values>
      </ddeItem>
      <ddeItem name="CUFB1.132" advise="1">
        <values>
          <value>
            <val>16329.54</val>
          </value>
        </values>
      </ddeItem>
      <ddeItem name="CUFB1.133" advise="1">
        <values>
          <value>
            <val>4018459</val>
          </value>
        </values>
      </ddeItem>
      <ddeItem name="CUFB1.135" advise="1">
        <values>
          <value t="str">
            <val xml:space="preserve"> -</val>
          </value>
        </values>
      </ddeItem>
      <ddeItem name="CUFB1.136" advise="1">
        <values>
          <value t="str">
            <val xml:space="preserve"> -</val>
          </value>
        </values>
      </ddeItem>
      <ddeItem name="CUFB1.201" advise="1">
        <values>
          <value t="str">
            <val xml:space="preserve"> -</val>
          </value>
        </values>
      </ddeItem>
      <ddeItem name="CUFB1.202" advise="1">
        <values>
          <value t="str">
            <val xml:space="preserve"> -</val>
          </value>
        </values>
      </ddeItem>
      <ddeItem name="CUFB1.203" advise="1">
        <values>
          <value t="str">
            <val xml:space="preserve"> -</val>
          </value>
        </values>
      </ddeItem>
      <ddeItem name="CUFB1.204" advise="1">
        <values>
          <value t="str">
            <val xml:space="preserve"> -</val>
          </value>
        </values>
      </ddeItem>
      <ddeItem name="CUFB1.205" advise="1">
        <values>
          <value t="str">
            <val xml:space="preserve"> -</val>
          </value>
        </values>
      </ddeItem>
      <ddeItem name="CUFB1.211" advise="1">
        <values>
          <value t="str">
            <val xml:space="preserve"> -</val>
          </value>
        </values>
      </ddeItem>
      <ddeItem name="CUFB1.212" advise="1">
        <values>
          <value t="str">
            <val xml:space="preserve"> -</val>
          </value>
        </values>
      </ddeItem>
      <ddeItem name="CUFB1.213" advise="1">
        <values>
          <value t="str">
            <val xml:space="preserve"> -</val>
          </value>
        </values>
      </ddeItem>
      <ddeItem name="CUFB1.214" advise="1">
        <values>
          <value t="str">
            <val xml:space="preserve"> -</val>
          </value>
        </values>
      </ddeItem>
      <ddeItem name="CUFB1.215" advise="1">
        <values>
          <value t="str">
            <val xml:space="preserve"> -</val>
          </value>
        </values>
      </ddeItem>
      <ddeItem name="CUFB1.221" advise="1">
        <values>
          <value t="str">
            <val>-</val>
          </value>
        </values>
      </ddeItem>
      <ddeItem name="CUFB1.222" advise="1">
        <values>
          <value t="str">
            <val>-</val>
          </value>
        </values>
      </ddeItem>
      <ddeItem name="CUFB1.223" advise="1">
        <values>
          <value t="str">
            <val>-</val>
          </value>
        </values>
      </ddeItem>
      <ddeItem name="CUFB1.224" advise="1">
        <values>
          <value t="str">
            <val>-</val>
          </value>
        </values>
      </ddeItem>
      <ddeItem name="CUFB1.225" advise="1">
        <values>
          <value t="str">
            <val>-</val>
          </value>
        </values>
      </ddeItem>
      <ddeItem name="CUFB1.231" advise="1">
        <values>
          <value t="str">
            <val>-</val>
          </value>
        </values>
      </ddeItem>
      <ddeItem name="CUFB1.232" advise="1">
        <values>
          <value t="str">
            <val>-</val>
          </value>
        </values>
      </ddeItem>
      <ddeItem name="CUFB1.233" advise="1">
        <values>
          <value t="str">
            <val>-</val>
          </value>
        </values>
      </ddeItem>
      <ddeItem name="CUFB1.234" advise="1">
        <values>
          <value t="str">
            <val>-</val>
          </value>
        </values>
      </ddeItem>
      <ddeItem name="CUFB1.235" advise="1">
        <values>
          <value t="str">
            <val>-</val>
          </value>
        </values>
      </ddeItem>
      <ddeItem name="CUFB1.402" advise="1">
        <values>
          <value t="str">
            <val>加權指數</val>
          </value>
        </values>
      </ddeItem>
      <ddeItem name="CUFB1.406" advise="1">
        <values>
          <value t="str">
            <val xml:space="preserve"> -</val>
          </value>
        </values>
      </ddeItem>
      <ddeItem name="CUFB1.407" advise="1">
        <values>
          <value t="str">
            <val xml:space="preserve"> -</val>
          </value>
        </values>
      </ddeItem>
      <ddeItem name="CUFB1.431" advise="1">
        <values>
          <value t="str">
            <val>-</val>
          </value>
        </values>
      </ddeItem>
      <ddeItem name="CUFB1.437" advise="1">
        <values>
          <value t="str">
            <val xml:space="preserve"> -</val>
          </value>
        </values>
      </ddeItem>
      <ddeItem name="CWFB1.123" advise="1">
        <values>
          <value>
            <val>0</val>
          </value>
        </values>
      </ddeItem>
      <ddeItem name="CWFB1.124" advise="1">
        <values>
          <value>
            <val>20878632</val>
          </value>
        </values>
      </ddeItem>
      <ddeItem name="CWFB1.125" advise="1">
        <values>
          <value t="str">
            <val xml:space="preserve"> </val>
          </value>
        </values>
      </ddeItem>
      <ddeItem name="CWFB1.128" advise="1">
        <values>
          <value>
            <val>1212870150</val>
          </value>
        </values>
      </ddeItem>
      <ddeItem name="CWFB1.130" advise="1">
        <values>
          <value>
            <val>20803788</val>
          </value>
        </values>
      </ddeItem>
      <ddeItem name="CWFB1.131" advise="1">
        <values>
          <value>
            <val>20804690</val>
          </value>
        </values>
      </ddeItem>
      <ddeItem name="CWFB1.132" advise="1">
        <values>
          <value>
            <val>10989732</val>
          </value>
        </values>
      </ddeItem>
      <ddeItem name="CWFB1.133" advise="1">
        <values>
          <value>
            <val>2088371110</val>
          </value>
        </values>
      </ddeItem>
      <ddeItem name="CWFB1.135" advise="1">
        <values>
          <value t="str">
            <val xml:space="preserve"> -</val>
          </value>
        </values>
      </ddeItem>
      <ddeItem name="CWFB1.136" advise="1">
        <values>
          <value t="str">
            <val xml:space="preserve"> -</val>
          </value>
        </values>
      </ddeItem>
      <ddeItem name="CWFB1.201" advise="1">
        <values>
          <value t="str">
            <val xml:space="preserve"> -</val>
          </value>
        </values>
      </ddeItem>
      <ddeItem name="CWFB1.202" advise="1">
        <values>
          <value t="str">
            <val xml:space="preserve"> -</val>
          </value>
        </values>
      </ddeItem>
      <ddeItem name="CWFB1.203" advise="1">
        <values>
          <value t="str">
            <val xml:space="preserve"> -</val>
          </value>
        </values>
      </ddeItem>
      <ddeItem name="CWFB1.204" advise="1">
        <values>
          <value t="str">
            <val xml:space="preserve"> -</val>
          </value>
        </values>
      </ddeItem>
      <ddeItem name="CWFB1.205" advise="1">
        <values>
          <value t="str">
            <val xml:space="preserve"> -</val>
          </value>
        </values>
      </ddeItem>
      <ddeItem name="CWFB1.211" advise="1">
        <values>
          <value t="str">
            <val xml:space="preserve"> -</val>
          </value>
        </values>
      </ddeItem>
      <ddeItem name="CWFB1.212" advise="1">
        <values>
          <value t="str">
            <val xml:space="preserve"> -</val>
          </value>
        </values>
      </ddeItem>
      <ddeItem name="CWFB1.213" advise="1">
        <values>
          <value t="str">
            <val xml:space="preserve"> -</val>
          </value>
        </values>
      </ddeItem>
      <ddeItem name="CWFB1.214" advise="1">
        <values>
          <value t="str">
            <val xml:space="preserve"> -</val>
          </value>
        </values>
      </ddeItem>
      <ddeItem name="CWFB1.215" advise="1">
        <values>
          <value t="str">
            <val xml:space="preserve"> -</val>
          </value>
        </values>
      </ddeItem>
      <ddeItem name="CWFB1.221" advise="1">
        <values>
          <value t="str">
            <val>-</val>
          </value>
        </values>
      </ddeItem>
      <ddeItem name="CWFB1.222" advise="1">
        <values>
          <value t="str">
            <val>-</val>
          </value>
        </values>
      </ddeItem>
      <ddeItem name="CWFB1.223" advise="1">
        <values>
          <value t="str">
            <val>-</val>
          </value>
        </values>
      </ddeItem>
      <ddeItem name="CWFB1.224" advise="1">
        <values>
          <value t="str">
            <val>-</val>
          </value>
        </values>
      </ddeItem>
      <ddeItem name="CWFB1.225" advise="1">
        <values>
          <value t="str">
            <val>-</val>
          </value>
        </values>
      </ddeItem>
      <ddeItem name="CWFB1.231" advise="1">
        <values>
          <value t="str">
            <val>-</val>
          </value>
        </values>
      </ddeItem>
      <ddeItem name="CWFB1.232" advise="1">
        <values>
          <value t="str">
            <val>-</val>
          </value>
        </values>
      </ddeItem>
      <ddeItem name="CWFB1.233" advise="1">
        <values>
          <value t="str">
            <val>-</val>
          </value>
        </values>
      </ddeItem>
      <ddeItem name="CWFB1.234" advise="1">
        <values>
          <value t="str">
            <val>-</val>
          </value>
        </values>
      </ddeItem>
      <ddeItem name="CWFB1.235" advise="1">
        <values>
          <value t="str">
            <val>-</val>
          </value>
        </values>
      </ddeItem>
      <ddeItem name="CWFB1.402" advise="1"/>
      <ddeItem name="CWFB1.406" advise="1">
        <values>
          <value t="str">
            <val xml:space="preserve"> -</val>
          </value>
        </values>
      </ddeItem>
      <ddeItem name="CWFB1.407" advise="1">
        <values>
          <value t="str">
            <val xml:space="preserve"> -</val>
          </value>
        </values>
      </ddeItem>
      <ddeItem name="CWFB1.431" advise="1">
        <values>
          <value t="str">
            <val>-</val>
          </value>
        </values>
      </ddeItem>
      <ddeItem name="CWFB1.437" advise="1">
        <values>
          <value t="str">
            <val xml:space="preserve"> -</val>
          </value>
        </values>
      </ddeItem>
      <ddeItem name="CXFC1.123" advise="1">
        <values>
          <value>
            <val>133429</val>
          </value>
        </values>
      </ddeItem>
      <ddeItem name="CXFC1.124" advise="1">
        <values>
          <value>
            <val>27.25</val>
          </value>
        </values>
      </ddeItem>
      <ddeItem name="CXFC1.125" advise="1">
        <values>
          <value>
            <val>0.1</val>
          </value>
        </values>
      </ddeItem>
      <ddeItem name="CXFC1.128" advise="1">
        <values>
          <value>
            <val>1</val>
          </value>
        </values>
      </ddeItem>
      <ddeItem name="CXFC1.130" advise="1">
        <values>
          <value>
            <val>27.1</val>
          </value>
        </values>
      </ddeItem>
      <ddeItem name="CXFC1.131" advise="1">
        <values>
          <value>
            <val>27.9</val>
          </value>
        </values>
      </ddeItem>
      <ddeItem name="CXFC1.132" advise="1">
        <values>
          <value>
            <val>26.85</val>
          </value>
        </values>
      </ddeItem>
      <ddeItem name="CXFC1.133" advise="1">
        <values>
          <value>
            <val>1211</val>
          </value>
        </values>
      </ddeItem>
      <ddeItem name="CXFC1.135" advise="1">
        <values>
          <value>
            <val>27.25</val>
          </value>
        </values>
      </ddeItem>
      <ddeItem name="CXFC1.136" advise="1">
        <values>
          <value>
            <val>27.3</val>
          </value>
        </values>
      </ddeItem>
      <ddeItem name="CXFC1.201" advise="1">
        <values>
          <value>
            <val>27.25</val>
          </value>
        </values>
      </ddeItem>
      <ddeItem name="CXFC1.202" advise="1">
        <values>
          <value>
            <val>27.2</val>
          </value>
        </values>
      </ddeItem>
      <ddeItem name="CXFC1.203" advise="1">
        <values>
          <value>
            <val>27.15</val>
          </value>
        </values>
      </ddeItem>
      <ddeItem name="CXFC1.204" advise="1">
        <values>
          <value>
            <val>27.1</val>
          </value>
        </values>
      </ddeItem>
      <ddeItem name="CXFC1.205" advise="1">
        <values>
          <value>
            <val>27.05</val>
          </value>
        </values>
      </ddeItem>
      <ddeItem name="CXFC1.211" advise="1">
        <values>
          <value>
            <val>27.3</val>
          </value>
        </values>
      </ddeItem>
      <ddeItem name="CXFC1.212" advise="1">
        <values>
          <value>
            <val>27.35</val>
          </value>
        </values>
      </ddeItem>
      <ddeItem name="CXFC1.213" advise="1">
        <values>
          <value>
            <val>27.4</val>
          </value>
        </values>
      </ddeItem>
      <ddeItem name="CXFC1.214" advise="1">
        <values>
          <value>
            <val>27.45</val>
          </value>
        </values>
      </ddeItem>
      <ddeItem name="CXFC1.215" advise="1">
        <values>
          <value>
            <val>27.5</val>
          </value>
        </values>
      </ddeItem>
      <ddeItem name="CXFC1.221" advise="1">
        <values>
          <value>
            <val>2</val>
          </value>
        </values>
      </ddeItem>
      <ddeItem name="CXFC1.222" advise="1">
        <values>
          <value>
            <val>8</val>
          </value>
        </values>
      </ddeItem>
      <ddeItem name="CXFC1.223" advise="1">
        <values>
          <value>
            <val>6</val>
          </value>
        </values>
      </ddeItem>
      <ddeItem name="CXFC1.224" advise="1">
        <values>
          <value>
            <val>49</val>
          </value>
        </values>
      </ddeItem>
      <ddeItem name="CXFC1.225" advise="1">
        <values>
          <value>
            <val>6</val>
          </value>
        </values>
      </ddeItem>
      <ddeItem name="CXFC1.231" advise="1">
        <values>
          <value>
            <val>1</val>
          </value>
        </values>
      </ddeItem>
      <ddeItem name="CXFC1.232" advise="1">
        <values>
          <value>
            <val>2</val>
          </value>
        </values>
      </ddeItem>
      <ddeItem name="CXFC1.233" advise="1">
        <values>
          <value>
            <val>9</val>
          </value>
        </values>
      </ddeItem>
      <ddeItem name="CXFC1.234" advise="1">
        <values>
          <value>
            <val>4</val>
          </value>
        </values>
      </ddeItem>
      <ddeItem name="CXFC1.235" advise="1">
        <values>
          <value>
            <val>2</val>
          </value>
        </values>
      </ddeItem>
      <ddeItem name="CXFC1.402" advise="1">
        <values>
          <value t="str">
            <val>大同03</val>
          </value>
        </values>
      </ddeItem>
      <ddeItem name="CXFC1.406" advise="1">
        <values>
          <value>
            <val>29.85</val>
          </value>
        </values>
      </ddeItem>
      <ddeItem name="CXFC1.407" advise="1">
        <values>
          <value>
            <val>24.45</val>
          </value>
        </values>
      </ddeItem>
      <ddeItem name="CXFC1.431" advise="1">
        <values>
          <value>
            <val>20210224</val>
          </value>
        </values>
      </ddeItem>
      <ddeItem name="CXFC1.437" advise="1">
        <values>
          <value>
            <val>27.23</val>
          </value>
        </values>
      </ddeItem>
      <ddeItem name="CYFB1.123" advise="1">
        <values>
          <value>
            <val>100150</val>
          </value>
        </values>
      </ddeItem>
      <ddeItem name="CYFB1.124" advise="1">
        <values>
          <value>
            <val>16421.62</val>
          </value>
        </values>
      </ddeItem>
      <ddeItem name="CYFB1.125" advise="1">
        <values>
          <value>
            <val>-21.78</val>
          </value>
        </values>
      </ddeItem>
      <ddeItem name="CYFB1.128" advise="1">
        <values>
          <value>
            <val>2439</val>
          </value>
        </values>
      </ddeItem>
      <ddeItem name="CYFB1.130" advise="1">
        <values>
          <value>
            <val>16329.54</val>
          </value>
        </values>
      </ddeItem>
      <ddeItem name="CYFB1.131" advise="1">
        <values>
          <value>
            <val>16456.939999999999</val>
          </value>
        </values>
      </ddeItem>
      <ddeItem name="CYFB1.132" advise="1">
        <values>
          <value>
            <val>16329.54</val>
          </value>
        </values>
      </ddeItem>
      <ddeItem name="CYFB1.133" advise="1">
        <values>
          <value>
            <val>4027056</val>
          </value>
        </values>
      </ddeItem>
      <ddeItem name="CYFB1.135" advise="1">
        <values>
          <value t="str">
            <val xml:space="preserve"> -</val>
          </value>
        </values>
      </ddeItem>
      <ddeItem name="CYFB1.136" advise="1">
        <values>
          <value t="str">
            <val xml:space="preserve"> -</val>
          </value>
        </values>
      </ddeItem>
      <ddeItem name="CYFB1.201" advise="1">
        <values>
          <value t="str">
            <val xml:space="preserve"> -</val>
          </value>
        </values>
      </ddeItem>
      <ddeItem name="CYFB1.202" advise="1">
        <values>
          <value t="str">
            <val xml:space="preserve"> -</val>
          </value>
        </values>
      </ddeItem>
      <ddeItem name="CYFB1.203" advise="1">
        <values>
          <value t="str">
            <val xml:space="preserve"> -</val>
          </value>
        </values>
      </ddeItem>
      <ddeItem name="CYFB1.204" advise="1">
        <values>
          <value t="str">
            <val xml:space="preserve"> -</val>
          </value>
        </values>
      </ddeItem>
      <ddeItem name="CYFB1.205" advise="1">
        <values>
          <value t="str">
            <val xml:space="preserve"> -</val>
          </value>
        </values>
      </ddeItem>
      <ddeItem name="CYFB1.211" advise="1">
        <values>
          <value t="str">
            <val xml:space="preserve"> -</val>
          </value>
        </values>
      </ddeItem>
      <ddeItem name="CYFB1.212" advise="1">
        <values>
          <value t="str">
            <val xml:space="preserve"> -</val>
          </value>
        </values>
      </ddeItem>
      <ddeItem name="CYFB1.213" advise="1">
        <values>
          <value t="str">
            <val xml:space="preserve"> -</val>
          </value>
        </values>
      </ddeItem>
      <ddeItem name="CYFB1.214" advise="1">
        <values>
          <value t="str">
            <val xml:space="preserve"> -</val>
          </value>
        </values>
      </ddeItem>
      <ddeItem name="CYFB1.215" advise="1">
        <values>
          <value t="str">
            <val xml:space="preserve"> -</val>
          </value>
        </values>
      </ddeItem>
      <ddeItem name="CYFB1.221" advise="1">
        <values>
          <value t="str">
            <val>-</val>
          </value>
        </values>
      </ddeItem>
      <ddeItem name="CYFB1.222" advise="1">
        <values>
          <value t="str">
            <val>-</val>
          </value>
        </values>
      </ddeItem>
      <ddeItem name="CYFB1.223" advise="1">
        <values>
          <value t="str">
            <val>-</val>
          </value>
        </values>
      </ddeItem>
      <ddeItem name="CYFB1.224" advise="1">
        <values>
          <value t="str">
            <val>-</val>
          </value>
        </values>
      </ddeItem>
      <ddeItem name="CYFB1.225" advise="1">
        <values>
          <value t="str">
            <val>-</val>
          </value>
        </values>
      </ddeItem>
      <ddeItem name="CYFB1.231" advise="1">
        <values>
          <value t="str">
            <val>-</val>
          </value>
        </values>
      </ddeItem>
      <ddeItem name="CYFB1.232" advise="1">
        <values>
          <value t="str">
            <val>-</val>
          </value>
        </values>
      </ddeItem>
      <ddeItem name="CYFB1.233" advise="1">
        <values>
          <value t="str">
            <val>-</val>
          </value>
        </values>
      </ddeItem>
      <ddeItem name="CYFB1.234" advise="1">
        <values>
          <value t="str">
            <val>-</val>
          </value>
        </values>
      </ddeItem>
      <ddeItem name="CYFB1.235" advise="1">
        <values>
          <value t="str">
            <val>-</val>
          </value>
        </values>
      </ddeItem>
      <ddeItem name="CYFB1.402" advise="1">
        <values>
          <value t="str">
            <val>加權指數</val>
          </value>
        </values>
      </ddeItem>
      <ddeItem name="CYFB1.406" advise="1">
        <values>
          <value t="str">
            <val xml:space="preserve"> -</val>
          </value>
        </values>
      </ddeItem>
      <ddeItem name="CYFB1.407" advise="1">
        <values>
          <value t="str">
            <val xml:space="preserve"> -</val>
          </value>
        </values>
      </ddeItem>
      <ddeItem name="CYFB1.431" advise="1">
        <values>
          <value t="str">
            <val>-</val>
          </value>
        </values>
      </ddeItem>
      <ddeItem name="CYFB1.437" advise="1">
        <values>
          <value t="str">
            <val xml:space="preserve"> -</val>
          </value>
        </values>
      </ddeItem>
      <ddeItem name="CZFB1.123" advise="1">
        <values>
          <value>
            <val>100145</val>
          </value>
        </values>
      </ddeItem>
      <ddeItem name="CZFB1.124" advise="1">
        <values>
          <value>
            <val>13895.21</val>
          </value>
        </values>
      </ddeItem>
      <ddeItem name="CZFB1.125" advise="1">
        <values>
          <value>
            <val>8.6300000000000008</val>
          </value>
        </values>
      </ddeItem>
      <ddeItem name="CZFB1.128" advise="1">
        <values>
          <value>
            <val>435</val>
          </value>
        </values>
      </ddeItem>
      <ddeItem name="CZFB1.130" advise="1">
        <values>
          <value>
            <val>13893.03</val>
          </value>
        </values>
      </ddeItem>
      <ddeItem name="CZFB1.131" advise="1">
        <values>
          <value>
            <val>13945.78</val>
          </value>
        </values>
      </ddeItem>
      <ddeItem name="CZFB1.132" advise="1">
        <values>
          <value>
            <val>13875.82</val>
          </value>
        </values>
      </ddeItem>
      <ddeItem name="CZFB1.133" advise="1">
        <values>
          <value>
            <val>872940</val>
          </value>
        </values>
      </ddeItem>
      <ddeItem name="CZFB1.135" advise="1">
        <values>
          <value t="str">
            <val xml:space="preserve"> -</val>
          </value>
        </values>
      </ddeItem>
      <ddeItem name="CZFB1.136" advise="1">
        <values>
          <value t="str">
            <val xml:space="preserve"> -</val>
          </value>
        </values>
      </ddeItem>
      <ddeItem name="CZFB1.201" advise="1">
        <values>
          <value t="str">
            <val xml:space="preserve"> -</val>
          </value>
        </values>
      </ddeItem>
      <ddeItem name="CZFB1.202" advise="1">
        <values>
          <value t="str">
            <val xml:space="preserve"> -</val>
          </value>
        </values>
      </ddeItem>
      <ddeItem name="CZFB1.203" advise="1">
        <values>
          <value t="str">
            <val xml:space="preserve"> -</val>
          </value>
        </values>
      </ddeItem>
      <ddeItem name="CZFB1.204" advise="1">
        <values>
          <value t="str">
            <val xml:space="preserve"> -</val>
          </value>
        </values>
      </ddeItem>
      <ddeItem name="CZFB1.205" advise="1">
        <values>
          <value t="str">
            <val xml:space="preserve"> -</val>
          </value>
        </values>
      </ddeItem>
      <ddeItem name="CZFB1.211" advise="1">
        <values>
          <value t="str">
            <val xml:space="preserve"> -</val>
          </value>
        </values>
      </ddeItem>
      <ddeItem name="CZFB1.212" advise="1">
        <values>
          <value t="str">
            <val xml:space="preserve"> -</val>
          </value>
        </values>
      </ddeItem>
      <ddeItem name="CZFB1.213" advise="1">
        <values>
          <value t="str">
            <val xml:space="preserve"> -</val>
          </value>
        </values>
      </ddeItem>
      <ddeItem name="CZFB1.214" advise="1">
        <values>
          <value t="str">
            <val xml:space="preserve"> -</val>
          </value>
        </values>
      </ddeItem>
      <ddeItem name="CZFB1.215" advise="1">
        <values>
          <value t="str">
            <val xml:space="preserve"> -</val>
          </value>
        </values>
      </ddeItem>
      <ddeItem name="CZFB1.221" advise="1">
        <values>
          <value t="str">
            <val>-</val>
          </value>
        </values>
      </ddeItem>
      <ddeItem name="CZFB1.222" advise="1">
        <values>
          <value t="str">
            <val>-</val>
          </value>
        </values>
      </ddeItem>
      <ddeItem name="CZFB1.223" advise="1">
        <values>
          <value t="str">
            <val>-</val>
          </value>
        </values>
      </ddeItem>
      <ddeItem name="CZFB1.224" advise="1">
        <values>
          <value t="str">
            <val>-</val>
          </value>
        </values>
      </ddeItem>
      <ddeItem name="CZFB1.225" advise="1">
        <values>
          <value t="str">
            <val>-</val>
          </value>
        </values>
      </ddeItem>
      <ddeItem name="CZFB1.231" advise="1">
        <values>
          <value t="str">
            <val>-</val>
          </value>
        </values>
      </ddeItem>
      <ddeItem name="CZFB1.232" advise="1">
        <values>
          <value t="str">
            <val>-</val>
          </value>
        </values>
      </ddeItem>
      <ddeItem name="CZFB1.233" advise="1">
        <values>
          <value t="str">
            <val>-</val>
          </value>
        </values>
      </ddeItem>
      <ddeItem name="CZFB1.234" advise="1">
        <values>
          <value t="str">
            <val>-</val>
          </value>
        </values>
      </ddeItem>
      <ddeItem name="CZFB1.235" advise="1">
        <values>
          <value t="str">
            <val>-</val>
          </value>
        </values>
      </ddeItem>
      <ddeItem name="CZFB1.402" advise="1">
        <values>
          <value t="str">
            <val>不含金電</val>
          </value>
        </values>
      </ddeItem>
      <ddeItem name="CZFB1.406" advise="1">
        <values>
          <value t="str">
            <val xml:space="preserve"> -</val>
          </value>
        </values>
      </ddeItem>
      <ddeItem name="CZFB1.407" advise="1">
        <values>
          <value t="str">
            <val xml:space="preserve"> -</val>
          </value>
        </values>
      </ddeItem>
      <ddeItem name="CZFB1.431" advise="1">
        <values>
          <value t="str">
            <val>-</val>
          </value>
        </values>
      </ddeItem>
      <ddeItem name="CZFB1.437" advise="1">
        <values>
          <value t="str">
            <val xml:space="preserve"> -</val>
          </value>
        </values>
      </ddeItem>
      <ddeItem name="DCFB1.123" advise="1">
        <values>
          <value>
            <val>100135</val>
          </value>
        </values>
      </ddeItem>
      <ddeItem name="DCFB1.124" advise="1">
        <values>
          <value>
            <val>13893.65</val>
          </value>
        </values>
      </ddeItem>
      <ddeItem name="DCFB1.125" advise="1">
        <values>
          <value>
            <val>7.07</val>
          </value>
        </values>
      </ddeItem>
      <ddeItem name="DCFB1.128" advise="1">
        <values>
          <value>
            <val>611</val>
          </value>
        </values>
      </ddeItem>
      <ddeItem name="DCFB1.130" advise="1">
        <values>
          <value>
            <val>13893.03</val>
          </value>
        </values>
      </ddeItem>
      <ddeItem name="DCFB1.131" advise="1">
        <values>
          <value>
            <val>13945.78</val>
          </value>
        </values>
      </ddeItem>
      <ddeItem name="DCFB1.132" advise="1">
        <values>
          <value>
            <val>13875.82</val>
          </value>
        </values>
      </ddeItem>
      <ddeItem name="DCFB1.133" advise="1">
        <values>
          <value>
            <val>871785</val>
          </value>
        </values>
      </ddeItem>
      <ddeItem name="DCFB1.135" advise="1">
        <values>
          <value t="str">
            <val xml:space="preserve"> -</val>
          </value>
        </values>
      </ddeItem>
      <ddeItem name="DCFB1.136" advise="1">
        <values>
          <value t="str">
            <val xml:space="preserve"> -</val>
          </value>
        </values>
      </ddeItem>
      <ddeItem name="DCFB1.201" advise="1">
        <values>
          <value t="str">
            <val xml:space="preserve"> -</val>
          </value>
        </values>
      </ddeItem>
      <ddeItem name="DCFB1.202" advise="1">
        <values>
          <value t="str">
            <val xml:space="preserve"> -</val>
          </value>
        </values>
      </ddeItem>
      <ddeItem name="DCFB1.203" advise="1">
        <values>
          <value t="str">
            <val xml:space="preserve"> -</val>
          </value>
        </values>
      </ddeItem>
      <ddeItem name="DCFB1.204" advise="1">
        <values>
          <value t="str">
            <val xml:space="preserve"> -</val>
          </value>
        </values>
      </ddeItem>
      <ddeItem name="DCFB1.205" advise="1">
        <values>
          <value t="str">
            <val xml:space="preserve"> -</val>
          </value>
        </values>
      </ddeItem>
      <ddeItem name="DCFB1.211" advise="1">
        <values>
          <value t="str">
            <val xml:space="preserve"> -</val>
          </value>
        </values>
      </ddeItem>
      <ddeItem name="DCFB1.212" advise="1">
        <values>
          <value t="str">
            <val xml:space="preserve"> -</val>
          </value>
        </values>
      </ddeItem>
      <ddeItem name="DCFB1.213" advise="1">
        <values>
          <value t="str">
            <val xml:space="preserve"> -</val>
          </value>
        </values>
      </ddeItem>
      <ddeItem name="DCFB1.214" advise="1">
        <values>
          <value t="str">
            <val xml:space="preserve"> -</val>
          </value>
        </values>
      </ddeItem>
      <ddeItem name="DCFB1.215" advise="1">
        <values>
          <value t="str">
            <val xml:space="preserve"> -</val>
          </value>
        </values>
      </ddeItem>
      <ddeItem name="DCFB1.221" advise="1">
        <values>
          <value t="str">
            <val>-</val>
          </value>
        </values>
      </ddeItem>
      <ddeItem name="DCFB1.222" advise="1">
        <values>
          <value t="str">
            <val>-</val>
          </value>
        </values>
      </ddeItem>
      <ddeItem name="DCFB1.223" advise="1">
        <values>
          <value t="str">
            <val>-</val>
          </value>
        </values>
      </ddeItem>
      <ddeItem name="DCFB1.224" advise="1">
        <values>
          <value t="str">
            <val>-</val>
          </value>
        </values>
      </ddeItem>
      <ddeItem name="DCFB1.225" advise="1">
        <values>
          <value t="str">
            <val>-</val>
          </value>
        </values>
      </ddeItem>
      <ddeItem name="DCFB1.231" advise="1">
        <values>
          <value t="str">
            <val>-</val>
          </value>
        </values>
      </ddeItem>
      <ddeItem name="DCFB1.232" advise="1">
        <values>
          <value t="str">
            <val>-</val>
          </value>
        </values>
      </ddeItem>
      <ddeItem name="DCFB1.233" advise="1">
        <values>
          <value t="str">
            <val>-</val>
          </value>
        </values>
      </ddeItem>
      <ddeItem name="DCFB1.234" advise="1">
        <values>
          <value t="str">
            <val>-</val>
          </value>
        </values>
      </ddeItem>
      <ddeItem name="DCFB1.235" advise="1">
        <values>
          <value t="str">
            <val>-</val>
          </value>
        </values>
      </ddeItem>
      <ddeItem name="DCFB1.402" advise="1">
        <values>
          <value t="str">
            <val>不含金電</val>
          </value>
        </values>
      </ddeItem>
      <ddeItem name="DCFB1.406" advise="1">
        <values>
          <value t="str">
            <val xml:space="preserve"> -</val>
          </value>
        </values>
      </ddeItem>
      <ddeItem name="DCFB1.407" advise="1">
        <values>
          <value t="str">
            <val xml:space="preserve"> -</val>
          </value>
        </values>
      </ddeItem>
      <ddeItem name="DCFB1.431" advise="1">
        <values>
          <value t="str">
            <val>-</val>
          </value>
        </values>
      </ddeItem>
      <ddeItem name="DCFB1.437" advise="1">
        <values>
          <value t="str">
            <val xml:space="preserve"> -</val>
          </value>
        </values>
      </ddeItem>
      <ddeItem name="DDFB1.123" advise="1">
        <values>
          <value>
            <val>100135</val>
          </value>
        </values>
      </ddeItem>
      <ddeItem name="DDFB1.124" advise="1">
        <values>
          <value>
            <val>16424.64</val>
          </value>
        </values>
      </ddeItem>
      <ddeItem name="DDFB1.125" advise="1">
        <values>
          <value>
            <val>-18.760000000000002</val>
          </value>
        </values>
      </ddeItem>
      <ddeItem name="DDFB1.128" advise="1">
        <values>
          <value>
            <val>1648</val>
          </value>
        </values>
      </ddeItem>
      <ddeItem name="DDFB1.130" advise="1">
        <values>
          <value>
            <val>16329.54</val>
          </value>
        </values>
      </ddeItem>
      <ddeItem name="DDFB1.131" advise="1">
        <values>
          <value>
            <val>16456.939999999999</val>
          </value>
        </values>
      </ddeItem>
      <ddeItem name="DDFB1.132" advise="1">
        <values>
          <value>
            <val>16329.54</val>
          </value>
        </values>
      </ddeItem>
      <ddeItem name="DDFB1.133" advise="1">
        <values>
          <value>
            <val>4020107</val>
          </value>
        </values>
      </ddeItem>
      <ddeItem name="DDFB1.135" advise="1">
        <values>
          <value t="str">
            <val xml:space="preserve"> -</val>
          </value>
        </values>
      </ddeItem>
      <ddeItem name="DDFB1.136" advise="1">
        <values>
          <value t="str">
            <val xml:space="preserve"> -</val>
          </value>
        </values>
      </ddeItem>
      <ddeItem name="DDFB1.201" advise="1">
        <values>
          <value t="str">
            <val xml:space="preserve"> -</val>
          </value>
        </values>
      </ddeItem>
      <ddeItem name="DDFB1.202" advise="1">
        <values>
          <value t="str">
            <val xml:space="preserve"> -</val>
          </value>
        </values>
      </ddeItem>
      <ddeItem name="DDFB1.203" advise="1">
        <values>
          <value t="str">
            <val xml:space="preserve"> -</val>
          </value>
        </values>
      </ddeItem>
      <ddeItem name="DDFB1.204" advise="1">
        <values>
          <value t="str">
            <val xml:space="preserve"> -</val>
          </value>
        </values>
      </ddeItem>
      <ddeItem name="DDFB1.205" advise="1">
        <values>
          <value t="str">
            <val xml:space="preserve"> -</val>
          </value>
        </values>
      </ddeItem>
      <ddeItem name="DDFB1.211" advise="1">
        <values>
          <value t="str">
            <val xml:space="preserve"> -</val>
          </value>
        </values>
      </ddeItem>
      <ddeItem name="DDFB1.212" advise="1">
        <values>
          <value t="str">
            <val xml:space="preserve"> -</val>
          </value>
        </values>
      </ddeItem>
      <ddeItem name="DDFB1.213" advise="1">
        <values>
          <value t="str">
            <val xml:space="preserve"> -</val>
          </value>
        </values>
      </ddeItem>
      <ddeItem name="DDFB1.214" advise="1">
        <values>
          <value t="str">
            <val xml:space="preserve"> -</val>
          </value>
        </values>
      </ddeItem>
      <ddeItem name="DDFB1.215" advise="1">
        <values>
          <value t="str">
            <val xml:space="preserve"> -</val>
          </value>
        </values>
      </ddeItem>
      <ddeItem name="DDFB1.221" advise="1">
        <values>
          <value t="str">
            <val>-</val>
          </value>
        </values>
      </ddeItem>
      <ddeItem name="DDFB1.222" advise="1">
        <values>
          <value t="str">
            <val>-</val>
          </value>
        </values>
      </ddeItem>
      <ddeItem name="DDFB1.223" advise="1">
        <values>
          <value t="str">
            <val>-</val>
          </value>
        </values>
      </ddeItem>
      <ddeItem name="DDFB1.224" advise="1">
        <values>
          <value t="str">
            <val>-</val>
          </value>
        </values>
      </ddeItem>
      <ddeItem name="DDFB1.225" advise="1">
        <values>
          <value t="str">
            <val>-</val>
          </value>
        </values>
      </ddeItem>
      <ddeItem name="DDFB1.231" advise="1">
        <values>
          <value t="str">
            <val>-</val>
          </value>
        </values>
      </ddeItem>
      <ddeItem name="DDFB1.232" advise="1">
        <values>
          <value t="str">
            <val>-</val>
          </value>
        </values>
      </ddeItem>
      <ddeItem name="DDFB1.233" advise="1">
        <values>
          <value t="str">
            <val>-</val>
          </value>
        </values>
      </ddeItem>
      <ddeItem name="DDFB1.234" advise="1">
        <values>
          <value t="str">
            <val>-</val>
          </value>
        </values>
      </ddeItem>
      <ddeItem name="DDFB1.235" advise="1">
        <values>
          <value t="str">
            <val>-</val>
          </value>
        </values>
      </ddeItem>
      <ddeItem name="DDFB1.402" advise="1">
        <values>
          <value t="str">
            <val>加權指數</val>
          </value>
        </values>
      </ddeItem>
      <ddeItem name="DDFB1.406" advise="1">
        <values>
          <value t="str">
            <val xml:space="preserve"> -</val>
          </value>
        </values>
      </ddeItem>
      <ddeItem name="DDFB1.407" advise="1">
        <values>
          <value t="str">
            <val xml:space="preserve"> -</val>
          </value>
        </values>
      </ddeItem>
      <ddeItem name="DDFB1.431" advise="1">
        <values>
          <value t="str">
            <val>-</val>
          </value>
        </values>
      </ddeItem>
      <ddeItem name="DDFB1.437" advise="1">
        <values>
          <value t="str">
            <val xml:space="preserve"> -</val>
          </value>
        </values>
      </ddeItem>
      <ddeItem name="DEFB1.123" advise="1">
        <values>
          <value>
            <val>100130</val>
          </value>
        </values>
      </ddeItem>
      <ddeItem name="DEFB1.124" advise="1">
        <values>
          <value>
            <val>13895.08</val>
          </value>
        </values>
      </ddeItem>
      <ddeItem name="DEFB1.125" advise="1">
        <values>
          <value>
            <val>8.5</val>
          </value>
        </values>
      </ddeItem>
      <ddeItem name="DEFB1.128" advise="1">
        <values>
          <value>
            <val>449</val>
          </value>
        </values>
      </ddeItem>
      <ddeItem name="DEFB1.130" advise="1">
        <values>
          <value>
            <val>13893.03</val>
          </value>
        </values>
      </ddeItem>
      <ddeItem name="DEFB1.131" advise="1">
        <values>
          <value>
            <val>13945.78</val>
          </value>
        </values>
      </ddeItem>
      <ddeItem name="DEFB1.132" advise="1">
        <values>
          <value>
            <val>13875.82</val>
          </value>
        </values>
      </ddeItem>
      <ddeItem name="DEFB1.133" advise="1">
        <values>
          <value>
            <val>871174</val>
          </value>
        </values>
      </ddeItem>
      <ddeItem name="DEFB1.135" advise="1">
        <values>
          <value t="str">
            <val xml:space="preserve"> -</val>
          </value>
        </values>
      </ddeItem>
      <ddeItem name="DEFB1.136" advise="1">
        <values>
          <value t="str">
            <val xml:space="preserve"> -</val>
          </value>
        </values>
      </ddeItem>
      <ddeItem name="DEFB1.201" advise="1">
        <values>
          <value t="str">
            <val xml:space="preserve"> -</val>
          </value>
        </values>
      </ddeItem>
      <ddeItem name="DEFB1.202" advise="1">
        <values>
          <value t="str">
            <val xml:space="preserve"> -</val>
          </value>
        </values>
      </ddeItem>
      <ddeItem name="DEFB1.203" advise="1">
        <values>
          <value t="str">
            <val xml:space="preserve"> -</val>
          </value>
        </values>
      </ddeItem>
      <ddeItem name="DEFB1.204" advise="1">
        <values>
          <value t="str">
            <val xml:space="preserve"> -</val>
          </value>
        </values>
      </ddeItem>
      <ddeItem name="DEFB1.205" advise="1">
        <values>
          <value t="str">
            <val xml:space="preserve"> -</val>
          </value>
        </values>
      </ddeItem>
      <ddeItem name="DEFB1.211" advise="1">
        <values>
          <value t="str">
            <val xml:space="preserve"> -</val>
          </value>
        </values>
      </ddeItem>
      <ddeItem name="DEFB1.212" advise="1">
        <values>
          <value t="str">
            <val xml:space="preserve"> -</val>
          </value>
        </values>
      </ddeItem>
      <ddeItem name="DEFB1.213" advise="1">
        <values>
          <value t="str">
            <val xml:space="preserve"> -</val>
          </value>
        </values>
      </ddeItem>
      <ddeItem name="DEFB1.214" advise="1">
        <values>
          <value t="str">
            <val xml:space="preserve"> -</val>
          </value>
        </values>
      </ddeItem>
      <ddeItem name="DEFB1.215" advise="1">
        <values>
          <value t="str">
            <val xml:space="preserve"> -</val>
          </value>
        </values>
      </ddeItem>
      <ddeItem name="DEFB1.221" advise="1">
        <values>
          <value t="str">
            <val>-</val>
          </value>
        </values>
      </ddeItem>
      <ddeItem name="DEFB1.222" advise="1">
        <values>
          <value t="str">
            <val>-</val>
          </value>
        </values>
      </ddeItem>
      <ddeItem name="DEFB1.223" advise="1">
        <values>
          <value t="str">
            <val>-</val>
          </value>
        </values>
      </ddeItem>
      <ddeItem name="DEFB1.224" advise="1">
        <values>
          <value t="str">
            <val>-</val>
          </value>
        </values>
      </ddeItem>
      <ddeItem name="DEFB1.225" advise="1">
        <values>
          <value t="str">
            <val>-</val>
          </value>
        </values>
      </ddeItem>
      <ddeItem name="DEFB1.231" advise="1">
        <values>
          <value t="str">
            <val>-</val>
          </value>
        </values>
      </ddeItem>
      <ddeItem name="DEFB1.232" advise="1">
        <values>
          <value t="str">
            <val>-</val>
          </value>
        </values>
      </ddeItem>
      <ddeItem name="DEFB1.233" advise="1">
        <values>
          <value t="str">
            <val>-</val>
          </value>
        </values>
      </ddeItem>
      <ddeItem name="DEFB1.234" advise="1">
        <values>
          <value t="str">
            <val>-</val>
          </value>
        </values>
      </ddeItem>
      <ddeItem name="DEFB1.235" advise="1">
        <values>
          <value t="str">
            <val>-</val>
          </value>
        </values>
      </ddeItem>
      <ddeItem name="DEFB1.402" advise="1">
        <values>
          <value t="str">
            <val>不含金電</val>
          </value>
        </values>
      </ddeItem>
      <ddeItem name="DEFB1.406" advise="1">
        <values>
          <value t="str">
            <val xml:space="preserve"> -</val>
          </value>
        </values>
      </ddeItem>
      <ddeItem name="DEFB1.407" advise="1">
        <values>
          <value t="str">
            <val xml:space="preserve"> -</val>
          </value>
        </values>
      </ddeItem>
      <ddeItem name="DEFB1.431" advise="1">
        <values>
          <value t="str">
            <val>-</val>
          </value>
        </values>
      </ddeItem>
      <ddeItem name="DEFB1.437" advise="1">
        <values>
          <value t="str">
            <val xml:space="preserve"> -</val>
          </value>
        </values>
      </ddeItem>
      <ddeItem name="DFFB1.123" advise="1">
        <values>
          <value>
            <val>100125</val>
          </value>
        </values>
      </ddeItem>
      <ddeItem name="DFFB1.124" advise="1">
        <values>
          <value>
            <val>13894.54</val>
          </value>
        </values>
      </ddeItem>
      <ddeItem name="DFFB1.125" advise="1">
        <values>
          <value>
            <val>7.96</val>
          </value>
        </values>
      </ddeItem>
      <ddeItem name="DFFB1.128" advise="1">
        <values>
          <value>
            <val>789</val>
          </value>
        </values>
      </ddeItem>
      <ddeItem name="DFFB1.130" advise="1">
        <values>
          <value>
            <val>13893.03</val>
          </value>
        </values>
      </ddeItem>
      <ddeItem name="DFFB1.131" advise="1">
        <values>
          <value>
            <val>13945.78</val>
          </value>
        </values>
      </ddeItem>
      <ddeItem name="DFFB1.132" advise="1">
        <values>
          <value>
            <val>13875.82</val>
          </value>
        </values>
      </ddeItem>
      <ddeItem name="DFFB1.133" advise="1">
        <values>
          <value>
            <val>870725</val>
          </value>
        </values>
      </ddeItem>
      <ddeItem name="DFFB1.135" advise="1">
        <values>
          <value t="str">
            <val xml:space="preserve"> -</val>
          </value>
        </values>
      </ddeItem>
      <ddeItem name="DFFB1.136" advise="1">
        <values>
          <value t="str">
            <val xml:space="preserve"> -</val>
          </value>
        </values>
      </ddeItem>
      <ddeItem name="DFFB1.201" advise="1">
        <values>
          <value t="str">
            <val xml:space="preserve"> -</val>
          </value>
        </values>
      </ddeItem>
      <ddeItem name="DFFB1.202" advise="1">
        <values>
          <value t="str">
            <val xml:space="preserve"> -</val>
          </value>
        </values>
      </ddeItem>
      <ddeItem name="DFFB1.203" advise="1">
        <values>
          <value t="str">
            <val xml:space="preserve"> -</val>
          </value>
        </values>
      </ddeItem>
      <ddeItem name="DFFB1.204" advise="1">
        <values>
          <value t="str">
            <val xml:space="preserve"> -</val>
          </value>
        </values>
      </ddeItem>
      <ddeItem name="DFFB1.205" advise="1">
        <values>
          <value t="str">
            <val xml:space="preserve"> -</val>
          </value>
        </values>
      </ddeItem>
      <ddeItem name="DFFB1.211" advise="1">
        <values>
          <value t="str">
            <val xml:space="preserve"> -</val>
          </value>
        </values>
      </ddeItem>
      <ddeItem name="DFFB1.212" advise="1">
        <values>
          <value t="str">
            <val xml:space="preserve"> -</val>
          </value>
        </values>
      </ddeItem>
      <ddeItem name="DFFB1.213" advise="1">
        <values>
          <value t="str">
            <val xml:space="preserve"> -</val>
          </value>
        </values>
      </ddeItem>
      <ddeItem name="DFFB1.214" advise="1">
        <values>
          <value t="str">
            <val xml:space="preserve"> -</val>
          </value>
        </values>
      </ddeItem>
      <ddeItem name="DFFB1.215" advise="1">
        <values>
          <value t="str">
            <val xml:space="preserve"> -</val>
          </value>
        </values>
      </ddeItem>
      <ddeItem name="DFFB1.221" advise="1">
        <values>
          <value t="str">
            <val>-</val>
          </value>
        </values>
      </ddeItem>
      <ddeItem name="DFFB1.222" advise="1">
        <values>
          <value t="str">
            <val>-</val>
          </value>
        </values>
      </ddeItem>
      <ddeItem name="DFFB1.223" advise="1">
        <values>
          <value t="str">
            <val>-</val>
          </value>
        </values>
      </ddeItem>
      <ddeItem name="DFFB1.224" advise="1">
        <values>
          <value t="str">
            <val>-</val>
          </value>
        </values>
      </ddeItem>
      <ddeItem name="DFFB1.225" advise="1">
        <values>
          <value t="str">
            <val>-</val>
          </value>
        </values>
      </ddeItem>
      <ddeItem name="DFFB1.231" advise="1">
        <values>
          <value t="str">
            <val>-</val>
          </value>
        </values>
      </ddeItem>
      <ddeItem name="DFFB1.232" advise="1">
        <values>
          <value t="str">
            <val>-</val>
          </value>
        </values>
      </ddeItem>
      <ddeItem name="DFFB1.233" advise="1">
        <values>
          <value t="str">
            <val>-</val>
          </value>
        </values>
      </ddeItem>
      <ddeItem name="DFFB1.234" advise="1">
        <values>
          <value t="str">
            <val>-</val>
          </value>
        </values>
      </ddeItem>
      <ddeItem name="DFFB1.235" advise="1">
        <values>
          <value t="str">
            <val>-</val>
          </value>
        </values>
      </ddeItem>
      <ddeItem name="DFFB1.402" advise="1">
        <values>
          <value t="str">
            <val>不含金電</val>
          </value>
        </values>
      </ddeItem>
      <ddeItem name="DFFB1.406" advise="1">
        <values>
          <value t="str">
            <val xml:space="preserve"> -</val>
          </value>
        </values>
      </ddeItem>
      <ddeItem name="DFFB1.407" advise="1">
        <values>
          <value t="str">
            <val xml:space="preserve"> -</val>
          </value>
        </values>
      </ddeItem>
      <ddeItem name="DFFB1.431" advise="1">
        <values>
          <value t="str">
            <val>-</val>
          </value>
        </values>
      </ddeItem>
      <ddeItem name="DFFB1.437" advise="1">
        <values>
          <value t="str">
            <val xml:space="preserve"> -</val>
          </value>
        </values>
      </ddeItem>
      <ddeItem name="DGFB1.123" advise="1">
        <values>
          <value>
            <val>100150</val>
          </value>
        </values>
      </ddeItem>
      <ddeItem name="DGFB1.124" advise="1">
        <values>
          <value>
            <val>16421.62</val>
          </value>
        </values>
      </ddeItem>
      <ddeItem name="DGFB1.125" advise="1">
        <values>
          <value>
            <val>-21.78</val>
          </value>
        </values>
      </ddeItem>
      <ddeItem name="DGFB1.128" advise="1">
        <values>
          <value>
            <val>2439</val>
          </value>
        </values>
      </ddeItem>
      <ddeItem name="DGFB1.130" advise="1">
        <values>
          <value>
            <val>16329.54</val>
          </value>
        </values>
      </ddeItem>
      <ddeItem name="DGFB1.131" advise="1">
        <values>
          <value>
            <val>16456.939999999999</val>
          </value>
        </values>
      </ddeItem>
      <ddeItem name="DGFB1.132" advise="1">
        <values>
          <value>
            <val>16329.54</val>
          </value>
        </values>
      </ddeItem>
      <ddeItem name="DGFB1.133" advise="1">
        <values>
          <value>
            <val>4027056</val>
          </value>
        </values>
      </ddeItem>
      <ddeItem name="DGFB1.135" advise="1">
        <values>
          <value t="str">
            <val xml:space="preserve"> -</val>
          </value>
        </values>
      </ddeItem>
      <ddeItem name="DGFB1.136" advise="1">
        <values>
          <value t="str">
            <val xml:space="preserve"> -</val>
          </value>
        </values>
      </ddeItem>
      <ddeItem name="DGFB1.201" advise="1">
        <values>
          <value t="str">
            <val xml:space="preserve"> -</val>
          </value>
        </values>
      </ddeItem>
      <ddeItem name="DGFB1.202" advise="1">
        <values>
          <value t="str">
            <val xml:space="preserve"> -</val>
          </value>
        </values>
      </ddeItem>
      <ddeItem name="DGFB1.203" advise="1">
        <values>
          <value t="str">
            <val xml:space="preserve"> -</val>
          </value>
        </values>
      </ddeItem>
      <ddeItem name="DGFB1.204" advise="1">
        <values>
          <value t="str">
            <val xml:space="preserve"> -</val>
          </value>
        </values>
      </ddeItem>
      <ddeItem name="DGFB1.205" advise="1">
        <values>
          <value t="str">
            <val xml:space="preserve"> -</val>
          </value>
        </values>
      </ddeItem>
      <ddeItem name="DGFB1.211" advise="1">
        <values>
          <value t="str">
            <val xml:space="preserve"> -</val>
          </value>
        </values>
      </ddeItem>
      <ddeItem name="DGFB1.212" advise="1">
        <values>
          <value t="str">
            <val xml:space="preserve"> -</val>
          </value>
        </values>
      </ddeItem>
      <ddeItem name="DGFB1.213" advise="1">
        <values>
          <value t="str">
            <val xml:space="preserve"> -</val>
          </value>
        </values>
      </ddeItem>
      <ddeItem name="DGFB1.214" advise="1">
        <values>
          <value t="str">
            <val xml:space="preserve"> -</val>
          </value>
        </values>
      </ddeItem>
      <ddeItem name="DGFB1.215" advise="1">
        <values>
          <value t="str">
            <val xml:space="preserve"> -</val>
          </value>
        </values>
      </ddeItem>
      <ddeItem name="DGFB1.221" advise="1">
        <values>
          <value t="str">
            <val>-</val>
          </value>
        </values>
      </ddeItem>
      <ddeItem name="DGFB1.222" advise="1">
        <values>
          <value t="str">
            <val>-</val>
          </value>
        </values>
      </ddeItem>
      <ddeItem name="DGFB1.223" advise="1">
        <values>
          <value t="str">
            <val>-</val>
          </value>
        </values>
      </ddeItem>
      <ddeItem name="DGFB1.224" advise="1">
        <values>
          <value t="str">
            <val>-</val>
          </value>
        </values>
      </ddeItem>
      <ddeItem name="DGFB1.225" advise="1">
        <values>
          <value t="str">
            <val>-</val>
          </value>
        </values>
      </ddeItem>
      <ddeItem name="DGFB1.231" advise="1">
        <values>
          <value t="str">
            <val>-</val>
          </value>
        </values>
      </ddeItem>
      <ddeItem name="DGFB1.232" advise="1">
        <values>
          <value t="str">
            <val>-</val>
          </value>
        </values>
      </ddeItem>
      <ddeItem name="DGFB1.233" advise="1">
        <values>
          <value t="str">
            <val>-</val>
          </value>
        </values>
      </ddeItem>
      <ddeItem name="DGFB1.234" advise="1">
        <values>
          <value t="str">
            <val>-</val>
          </value>
        </values>
      </ddeItem>
      <ddeItem name="DGFB1.235" advise="1">
        <values>
          <value t="str">
            <val>-</val>
          </value>
        </values>
      </ddeItem>
      <ddeItem name="DGFB1.402" advise="1">
        <values>
          <value t="str">
            <val>加權指數</val>
          </value>
        </values>
      </ddeItem>
      <ddeItem name="DGFB1.406" advise="1">
        <values>
          <value t="str">
            <val xml:space="preserve"> -</val>
          </value>
        </values>
      </ddeItem>
      <ddeItem name="DGFB1.407" advise="1">
        <values>
          <value t="str">
            <val xml:space="preserve"> -</val>
          </value>
        </values>
      </ddeItem>
      <ddeItem name="DGFB1.431" advise="1">
        <values>
          <value t="str">
            <val>-</val>
          </value>
        </values>
      </ddeItem>
      <ddeItem name="DGFB1.437" advise="1">
        <values>
          <value t="str">
            <val xml:space="preserve"> -</val>
          </value>
        </values>
      </ddeItem>
      <ddeItem name="DHFB1.123" advise="1">
        <values>
          <value>
            <val>100150</val>
          </value>
        </values>
      </ddeItem>
      <ddeItem name="DHFB1.124" advise="1">
        <values>
          <value>
            <val>16421.62</val>
          </value>
        </values>
      </ddeItem>
      <ddeItem name="DHFB1.125" advise="1">
        <values>
          <value>
            <val>-21.78</val>
          </value>
        </values>
      </ddeItem>
      <ddeItem name="DHFB1.128" advise="1">
        <values>
          <value>
            <val>2439</val>
          </value>
        </values>
      </ddeItem>
      <ddeItem name="DHFB1.130" advise="1">
        <values>
          <value>
            <val>16329.54</val>
          </value>
        </values>
      </ddeItem>
      <ddeItem name="DHFB1.131" advise="1">
        <values>
          <value>
            <val>16456.939999999999</val>
          </value>
        </values>
      </ddeItem>
      <ddeItem name="DHFB1.132" advise="1">
        <values>
          <value>
            <val>16329.54</val>
          </value>
        </values>
      </ddeItem>
      <ddeItem name="DHFB1.133" advise="1">
        <values>
          <value>
            <val>4027056</val>
          </value>
        </values>
      </ddeItem>
      <ddeItem name="DHFB1.135" advise="1">
        <values>
          <value t="str">
            <val xml:space="preserve"> -</val>
          </value>
        </values>
      </ddeItem>
      <ddeItem name="DHFB1.136" advise="1">
        <values>
          <value t="str">
            <val xml:space="preserve"> -</val>
          </value>
        </values>
      </ddeItem>
      <ddeItem name="DHFB1.201" advise="1">
        <values>
          <value t="str">
            <val xml:space="preserve"> -</val>
          </value>
        </values>
      </ddeItem>
      <ddeItem name="DHFB1.202" advise="1">
        <values>
          <value t="str">
            <val xml:space="preserve"> -</val>
          </value>
        </values>
      </ddeItem>
      <ddeItem name="DHFB1.203" advise="1">
        <values>
          <value t="str">
            <val xml:space="preserve"> -</val>
          </value>
        </values>
      </ddeItem>
      <ddeItem name="DHFB1.204" advise="1">
        <values>
          <value t="str">
            <val xml:space="preserve"> -</val>
          </value>
        </values>
      </ddeItem>
      <ddeItem name="DHFB1.205" advise="1">
        <values>
          <value t="str">
            <val xml:space="preserve"> -</val>
          </value>
        </values>
      </ddeItem>
      <ddeItem name="DHFB1.211" advise="1">
        <values>
          <value t="str">
            <val xml:space="preserve"> -</val>
          </value>
        </values>
      </ddeItem>
      <ddeItem name="DHFB1.212" advise="1">
        <values>
          <value t="str">
            <val xml:space="preserve"> -</val>
          </value>
        </values>
      </ddeItem>
      <ddeItem name="DHFB1.213" advise="1">
        <values>
          <value t="str">
            <val xml:space="preserve"> -</val>
          </value>
        </values>
      </ddeItem>
      <ddeItem name="DHFB1.214" advise="1">
        <values>
          <value t="str">
            <val xml:space="preserve"> -</val>
          </value>
        </values>
      </ddeItem>
      <ddeItem name="DHFB1.215" advise="1">
        <values>
          <value t="str">
            <val xml:space="preserve"> -</val>
          </value>
        </values>
      </ddeItem>
      <ddeItem name="DHFB1.221" advise="1">
        <values>
          <value t="str">
            <val>-</val>
          </value>
        </values>
      </ddeItem>
      <ddeItem name="DHFB1.222" advise="1">
        <values>
          <value t="str">
            <val>-</val>
          </value>
        </values>
      </ddeItem>
      <ddeItem name="DHFB1.223" advise="1">
        <values>
          <value t="str">
            <val>-</val>
          </value>
        </values>
      </ddeItem>
      <ddeItem name="DHFB1.224" advise="1">
        <values>
          <value t="str">
            <val>-</val>
          </value>
        </values>
      </ddeItem>
      <ddeItem name="DHFB1.225" advise="1">
        <values>
          <value t="str">
            <val>-</val>
          </value>
        </values>
      </ddeItem>
      <ddeItem name="DHFB1.231" advise="1">
        <values>
          <value t="str">
            <val>-</val>
          </value>
        </values>
      </ddeItem>
      <ddeItem name="DHFB1.232" advise="1">
        <values>
          <value t="str">
            <val>-</val>
          </value>
        </values>
      </ddeItem>
      <ddeItem name="DHFB1.233" advise="1">
        <values>
          <value t="str">
            <val>-</val>
          </value>
        </values>
      </ddeItem>
      <ddeItem name="DHFB1.234" advise="1">
        <values>
          <value t="str">
            <val>-</val>
          </value>
        </values>
      </ddeItem>
      <ddeItem name="DHFB1.235" advise="1">
        <values>
          <value t="str">
            <val>-</val>
          </value>
        </values>
      </ddeItem>
      <ddeItem name="DHFB1.402" advise="1">
        <values>
          <value t="str">
            <val>加權指數</val>
          </value>
        </values>
      </ddeItem>
      <ddeItem name="DHFB1.406" advise="1">
        <values>
          <value t="str">
            <val xml:space="preserve"> -</val>
          </value>
        </values>
      </ddeItem>
      <ddeItem name="DHFB1.407" advise="1">
        <values>
          <value t="str">
            <val xml:space="preserve"> -</val>
          </value>
        </values>
      </ddeItem>
      <ddeItem name="DHFB1.431" advise="1">
        <values>
          <value t="str">
            <val>-</val>
          </value>
        </values>
      </ddeItem>
      <ddeItem name="DHFB1.437" advise="1">
        <values>
          <value t="str">
            <val xml:space="preserve"> -</val>
          </value>
        </values>
      </ddeItem>
      <ddeItem name="DIFB1.123" advise="1">
        <values>
          <value>
            <val>100150</val>
          </value>
        </values>
      </ddeItem>
      <ddeItem name="DIFB1.124" advise="1">
        <values>
          <value>
            <val>16421.62</val>
          </value>
        </values>
      </ddeItem>
      <ddeItem name="DIFB1.125" advise="1">
        <values>
          <value>
            <val>-21.78</val>
          </value>
        </values>
      </ddeItem>
      <ddeItem name="DIFB1.128" advise="1">
        <values>
          <value>
            <val>2439</val>
          </value>
        </values>
      </ddeItem>
      <ddeItem name="DIFB1.130" advise="1">
        <values>
          <value>
            <val>16329.54</val>
          </value>
        </values>
      </ddeItem>
      <ddeItem name="DIFB1.131" advise="1">
        <values>
          <value>
            <val>16456.939999999999</val>
          </value>
        </values>
      </ddeItem>
      <ddeItem name="DIFB1.132" advise="1">
        <values>
          <value>
            <val>16329.54</val>
          </value>
        </values>
      </ddeItem>
      <ddeItem name="DIFB1.133" advise="1">
        <values>
          <value>
            <val>4027056</val>
          </value>
        </values>
      </ddeItem>
      <ddeItem name="DIFB1.135" advise="1">
        <values>
          <value t="str">
            <val xml:space="preserve"> -</val>
          </value>
        </values>
      </ddeItem>
      <ddeItem name="DIFB1.136" advise="1">
        <values>
          <value t="str">
            <val xml:space="preserve"> -</val>
          </value>
        </values>
      </ddeItem>
      <ddeItem name="DIFB1.201" advise="1">
        <values>
          <value t="str">
            <val xml:space="preserve"> -</val>
          </value>
        </values>
      </ddeItem>
      <ddeItem name="DIFB1.202" advise="1">
        <values>
          <value t="str">
            <val xml:space="preserve"> -</val>
          </value>
        </values>
      </ddeItem>
      <ddeItem name="DIFB1.203" advise="1">
        <values>
          <value t="str">
            <val xml:space="preserve"> -</val>
          </value>
        </values>
      </ddeItem>
      <ddeItem name="DIFB1.204" advise="1">
        <values>
          <value t="str">
            <val xml:space="preserve"> -</val>
          </value>
        </values>
      </ddeItem>
      <ddeItem name="DIFB1.205" advise="1">
        <values>
          <value t="str">
            <val xml:space="preserve"> -</val>
          </value>
        </values>
      </ddeItem>
      <ddeItem name="DIFB1.211" advise="1">
        <values>
          <value t="str">
            <val xml:space="preserve"> -</val>
          </value>
        </values>
      </ddeItem>
      <ddeItem name="DIFB1.212" advise="1">
        <values>
          <value t="str">
            <val xml:space="preserve"> -</val>
          </value>
        </values>
      </ddeItem>
      <ddeItem name="DIFB1.213" advise="1">
        <values>
          <value t="str">
            <val xml:space="preserve"> -</val>
          </value>
        </values>
      </ddeItem>
      <ddeItem name="DIFB1.214" advise="1">
        <values>
          <value t="str">
            <val xml:space="preserve"> -</val>
          </value>
        </values>
      </ddeItem>
      <ddeItem name="DIFB1.215" advise="1">
        <values>
          <value t="str">
            <val xml:space="preserve"> -</val>
          </value>
        </values>
      </ddeItem>
      <ddeItem name="DIFB1.221" advise="1">
        <values>
          <value t="str">
            <val>-</val>
          </value>
        </values>
      </ddeItem>
      <ddeItem name="DIFB1.222" advise="1">
        <values>
          <value t="str">
            <val>-</val>
          </value>
        </values>
      </ddeItem>
      <ddeItem name="DIFB1.223" advise="1">
        <values>
          <value t="str">
            <val>-</val>
          </value>
        </values>
      </ddeItem>
      <ddeItem name="DIFB1.224" advise="1">
        <values>
          <value t="str">
            <val>-</val>
          </value>
        </values>
      </ddeItem>
      <ddeItem name="DIFB1.225" advise="1">
        <values>
          <value t="str">
            <val>-</val>
          </value>
        </values>
      </ddeItem>
      <ddeItem name="DIFB1.231" advise="1">
        <values>
          <value t="str">
            <val>-</val>
          </value>
        </values>
      </ddeItem>
      <ddeItem name="DIFB1.232" advise="1">
        <values>
          <value t="str">
            <val>-</val>
          </value>
        </values>
      </ddeItem>
      <ddeItem name="DIFB1.233" advise="1">
        <values>
          <value t="str">
            <val>-</val>
          </value>
        </values>
      </ddeItem>
      <ddeItem name="DIFB1.234" advise="1">
        <values>
          <value t="str">
            <val>-</val>
          </value>
        </values>
      </ddeItem>
      <ddeItem name="DIFB1.235" advise="1">
        <values>
          <value t="str">
            <val>-</val>
          </value>
        </values>
      </ddeItem>
      <ddeItem name="DIFB1.402" advise="1">
        <values>
          <value t="str">
            <val>加權指數</val>
          </value>
        </values>
      </ddeItem>
      <ddeItem name="DIFB1.406" advise="1">
        <values>
          <value t="str">
            <val xml:space="preserve"> -</val>
          </value>
        </values>
      </ddeItem>
      <ddeItem name="DIFB1.407" advise="1">
        <values>
          <value t="str">
            <val xml:space="preserve"> -</val>
          </value>
        </values>
      </ddeItem>
      <ddeItem name="DIFB1.431" advise="1">
        <values>
          <value t="str">
            <val>-</val>
          </value>
        </values>
      </ddeItem>
      <ddeItem name="DIFB1.437" advise="1">
        <values>
          <value t="str">
            <val xml:space="preserve"> -</val>
          </value>
        </values>
      </ddeItem>
      <ddeItem name="DJFB1.123" advise="1">
        <values>
          <value>
            <val>100145</val>
          </value>
        </values>
      </ddeItem>
      <ddeItem name="DJFB1.124" advise="1">
        <values>
          <value>
            <val>16422.560000000001</val>
          </value>
        </values>
      </ddeItem>
      <ddeItem name="DJFB1.125" advise="1">
        <values>
          <value>
            <val>-20.84</val>
          </value>
        </values>
      </ddeItem>
      <ddeItem name="DJFB1.128" advise="1">
        <values>
          <value>
            <val>1824</val>
          </value>
        </values>
      </ddeItem>
      <ddeItem name="DJFB1.130" advise="1">
        <values>
          <value>
            <val>16329.54</val>
          </value>
        </values>
      </ddeItem>
      <ddeItem name="DJFB1.131" advise="1">
        <values>
          <value>
            <val>16456.939999999999</val>
          </value>
        </values>
      </ddeItem>
      <ddeItem name="DJFB1.132" advise="1">
        <values>
          <value>
            <val>16329.54</val>
          </value>
        </values>
      </ddeItem>
      <ddeItem name="DJFB1.133" advise="1">
        <values>
          <value>
            <val>4024617</val>
          </value>
        </values>
      </ddeItem>
      <ddeItem name="DJFB1.135" advise="1">
        <values>
          <value t="str">
            <val xml:space="preserve"> -</val>
          </value>
        </values>
      </ddeItem>
      <ddeItem name="DJFB1.136" advise="1">
        <values>
          <value t="str">
            <val xml:space="preserve"> -</val>
          </value>
        </values>
      </ddeItem>
      <ddeItem name="DJFB1.201" advise="1">
        <values>
          <value t="str">
            <val xml:space="preserve"> -</val>
          </value>
        </values>
      </ddeItem>
      <ddeItem name="DJFB1.202" advise="1">
        <values>
          <value t="str">
            <val xml:space="preserve"> -</val>
          </value>
        </values>
      </ddeItem>
      <ddeItem name="DJFB1.203" advise="1">
        <values>
          <value t="str">
            <val xml:space="preserve"> -</val>
          </value>
        </values>
      </ddeItem>
      <ddeItem name="DJFB1.204" advise="1">
        <values>
          <value t="str">
            <val xml:space="preserve"> -</val>
          </value>
        </values>
      </ddeItem>
      <ddeItem name="DJFB1.205" advise="1">
        <values>
          <value t="str">
            <val xml:space="preserve"> -</val>
          </value>
        </values>
      </ddeItem>
      <ddeItem name="DJFB1.211" advise="1">
        <values>
          <value t="str">
            <val xml:space="preserve"> -</val>
          </value>
        </values>
      </ddeItem>
      <ddeItem name="DJFB1.212" advise="1">
        <values>
          <value t="str">
            <val xml:space="preserve"> -</val>
          </value>
        </values>
      </ddeItem>
      <ddeItem name="DJFB1.213" advise="1">
        <values>
          <value t="str">
            <val xml:space="preserve"> -</val>
          </value>
        </values>
      </ddeItem>
      <ddeItem name="DJFB1.214" advise="1">
        <values>
          <value t="str">
            <val xml:space="preserve"> -</val>
          </value>
        </values>
      </ddeItem>
      <ddeItem name="DJFB1.215" advise="1">
        <values>
          <value t="str">
            <val xml:space="preserve"> -</val>
          </value>
        </values>
      </ddeItem>
      <ddeItem name="DJFB1.221" advise="1">
        <values>
          <value t="str">
            <val>-</val>
          </value>
        </values>
      </ddeItem>
      <ddeItem name="DJFB1.222" advise="1">
        <values>
          <value t="str">
            <val>-</val>
          </value>
        </values>
      </ddeItem>
      <ddeItem name="DJFB1.223" advise="1">
        <values>
          <value t="str">
            <val>-</val>
          </value>
        </values>
      </ddeItem>
      <ddeItem name="DJFB1.224" advise="1">
        <values>
          <value t="str">
            <val>-</val>
          </value>
        </values>
      </ddeItem>
      <ddeItem name="DJFB1.225" advise="1">
        <values>
          <value t="str">
            <val>-</val>
          </value>
        </values>
      </ddeItem>
      <ddeItem name="DJFB1.231" advise="1">
        <values>
          <value t="str">
            <val>-</val>
          </value>
        </values>
      </ddeItem>
      <ddeItem name="DJFB1.232" advise="1">
        <values>
          <value t="str">
            <val>-</val>
          </value>
        </values>
      </ddeItem>
      <ddeItem name="DJFB1.233" advise="1">
        <values>
          <value t="str">
            <val>-</val>
          </value>
        </values>
      </ddeItem>
      <ddeItem name="DJFB1.234" advise="1">
        <values>
          <value t="str">
            <val>-</val>
          </value>
        </values>
      </ddeItem>
      <ddeItem name="DJFB1.235" advise="1">
        <values>
          <value t="str">
            <val>-</val>
          </value>
        </values>
      </ddeItem>
      <ddeItem name="DJFB1.402" advise="1">
        <values>
          <value t="str">
            <val>加權指數</val>
          </value>
        </values>
      </ddeItem>
      <ddeItem name="DJFB1.406" advise="1">
        <values>
          <value t="str">
            <val xml:space="preserve"> -</val>
          </value>
        </values>
      </ddeItem>
      <ddeItem name="DJFB1.407" advise="1">
        <values>
          <value t="str">
            <val xml:space="preserve"> -</val>
          </value>
        </values>
      </ddeItem>
      <ddeItem name="DJFB1.431" advise="1">
        <values>
          <value t="str">
            <val>-</val>
          </value>
        </values>
      </ddeItem>
      <ddeItem name="DJFB1.437" advise="1">
        <values>
          <value t="str">
            <val xml:space="preserve"> -</val>
          </value>
        </values>
      </ddeItem>
      <ddeItem name="DKFB1.123" advise="1">
        <values>
          <value>
            <val>100145</val>
          </value>
        </values>
      </ddeItem>
      <ddeItem name="DKFB1.124" advise="1">
        <values>
          <value>
            <val>16422.560000000001</val>
          </value>
        </values>
      </ddeItem>
      <ddeItem name="DKFB1.125" advise="1">
        <values>
          <value>
            <val>-20.84</val>
          </value>
        </values>
      </ddeItem>
      <ddeItem name="DKFB1.128" advise="1">
        <values>
          <value>
            <val>1824</val>
          </value>
        </values>
      </ddeItem>
      <ddeItem name="DKFB1.130" advise="1">
        <values>
          <value>
            <val>16329.54</val>
          </value>
        </values>
      </ddeItem>
      <ddeItem name="DKFB1.131" advise="1">
        <values>
          <value>
            <val>16456.939999999999</val>
          </value>
        </values>
      </ddeItem>
      <ddeItem name="DKFB1.132" advise="1">
        <values>
          <value>
            <val>16329.54</val>
          </value>
        </values>
      </ddeItem>
      <ddeItem name="DKFB1.133" advise="1">
        <values>
          <value>
            <val>4024617</val>
          </value>
        </values>
      </ddeItem>
      <ddeItem name="DKFB1.135" advise="1">
        <values>
          <value t="str">
            <val xml:space="preserve"> -</val>
          </value>
        </values>
      </ddeItem>
      <ddeItem name="DKFB1.136" advise="1">
        <values>
          <value t="str">
            <val xml:space="preserve"> -</val>
          </value>
        </values>
      </ddeItem>
      <ddeItem name="DKFB1.201" advise="1">
        <values>
          <value t="str">
            <val xml:space="preserve"> -</val>
          </value>
        </values>
      </ddeItem>
      <ddeItem name="DKFB1.202" advise="1">
        <values>
          <value t="str">
            <val xml:space="preserve"> -</val>
          </value>
        </values>
      </ddeItem>
      <ddeItem name="DKFB1.203" advise="1">
        <values>
          <value t="str">
            <val xml:space="preserve"> -</val>
          </value>
        </values>
      </ddeItem>
      <ddeItem name="DKFB1.204" advise="1">
        <values>
          <value t="str">
            <val xml:space="preserve"> -</val>
          </value>
        </values>
      </ddeItem>
      <ddeItem name="DKFB1.205" advise="1">
        <values>
          <value t="str">
            <val xml:space="preserve"> -</val>
          </value>
        </values>
      </ddeItem>
      <ddeItem name="DKFB1.211" advise="1">
        <values>
          <value t="str">
            <val xml:space="preserve"> -</val>
          </value>
        </values>
      </ddeItem>
      <ddeItem name="DKFB1.212" advise="1">
        <values>
          <value t="str">
            <val xml:space="preserve"> -</val>
          </value>
        </values>
      </ddeItem>
      <ddeItem name="DKFB1.213" advise="1">
        <values>
          <value t="str">
            <val xml:space="preserve"> -</val>
          </value>
        </values>
      </ddeItem>
      <ddeItem name="DKFB1.214" advise="1">
        <values>
          <value t="str">
            <val xml:space="preserve"> -</val>
          </value>
        </values>
      </ddeItem>
      <ddeItem name="DKFB1.215" advise="1">
        <values>
          <value t="str">
            <val xml:space="preserve"> -</val>
          </value>
        </values>
      </ddeItem>
      <ddeItem name="DKFB1.221" advise="1">
        <values>
          <value t="str">
            <val>-</val>
          </value>
        </values>
      </ddeItem>
      <ddeItem name="DKFB1.222" advise="1">
        <values>
          <value t="str">
            <val>-</val>
          </value>
        </values>
      </ddeItem>
      <ddeItem name="DKFB1.223" advise="1">
        <values>
          <value t="str">
            <val>-</val>
          </value>
        </values>
      </ddeItem>
      <ddeItem name="DKFB1.224" advise="1">
        <values>
          <value t="str">
            <val>-</val>
          </value>
        </values>
      </ddeItem>
      <ddeItem name="DKFB1.225" advise="1">
        <values>
          <value t="str">
            <val>-</val>
          </value>
        </values>
      </ddeItem>
      <ddeItem name="DKFB1.231" advise="1">
        <values>
          <value t="str">
            <val>-</val>
          </value>
        </values>
      </ddeItem>
      <ddeItem name="DKFB1.232" advise="1">
        <values>
          <value t="str">
            <val>-</val>
          </value>
        </values>
      </ddeItem>
      <ddeItem name="DKFB1.233" advise="1">
        <values>
          <value t="str">
            <val>-</val>
          </value>
        </values>
      </ddeItem>
      <ddeItem name="DKFB1.234" advise="1">
        <values>
          <value t="str">
            <val>-</val>
          </value>
        </values>
      </ddeItem>
      <ddeItem name="DKFB1.235" advise="1">
        <values>
          <value t="str">
            <val>-</val>
          </value>
        </values>
      </ddeItem>
      <ddeItem name="DKFB1.402" advise="1">
        <values>
          <value t="str">
            <val>加權指數</val>
          </value>
        </values>
      </ddeItem>
      <ddeItem name="DKFB1.406" advise="1">
        <values>
          <value t="str">
            <val xml:space="preserve"> -</val>
          </value>
        </values>
      </ddeItem>
      <ddeItem name="DKFB1.407" advise="1">
        <values>
          <value t="str">
            <val xml:space="preserve"> -</val>
          </value>
        </values>
      </ddeItem>
      <ddeItem name="DKFB1.431" advise="1">
        <values>
          <value t="str">
            <val>-</val>
          </value>
        </values>
      </ddeItem>
      <ddeItem name="DKFB1.437" advise="1">
        <values>
          <value t="str">
            <val xml:space="preserve"> -</val>
          </value>
        </values>
      </ddeItem>
      <ddeItem name="DLFB1.123" advise="1">
        <values>
          <value>
            <val>100145</val>
          </value>
        </values>
      </ddeItem>
      <ddeItem name="DLFB1.124" advise="1">
        <values>
          <value>
            <val>16422.560000000001</val>
          </value>
        </values>
      </ddeItem>
      <ddeItem name="DLFB1.125" advise="1">
        <values>
          <value>
            <val>-20.84</val>
          </value>
        </values>
      </ddeItem>
      <ddeItem name="DLFB1.128" advise="1">
        <values>
          <value>
            <val>1824</val>
          </value>
        </values>
      </ddeItem>
      <ddeItem name="DLFB1.130" advise="1">
        <values>
          <value>
            <val>16329.54</val>
          </value>
        </values>
      </ddeItem>
      <ddeItem name="DLFB1.131" advise="1">
        <values>
          <value>
            <val>16456.939999999999</val>
          </value>
        </values>
      </ddeItem>
      <ddeItem name="DLFB1.132" advise="1">
        <values>
          <value>
            <val>16329.54</val>
          </value>
        </values>
      </ddeItem>
      <ddeItem name="DLFB1.133" advise="1">
        <values>
          <value>
            <val>4024617</val>
          </value>
        </values>
      </ddeItem>
      <ddeItem name="DLFB1.135" advise="1">
        <values>
          <value t="str">
            <val xml:space="preserve"> -</val>
          </value>
        </values>
      </ddeItem>
      <ddeItem name="DLFB1.136" advise="1">
        <values>
          <value t="str">
            <val xml:space="preserve"> -</val>
          </value>
        </values>
      </ddeItem>
      <ddeItem name="DLFB1.201" advise="1">
        <values>
          <value t="str">
            <val xml:space="preserve"> -</val>
          </value>
        </values>
      </ddeItem>
      <ddeItem name="DLFB1.202" advise="1">
        <values>
          <value t="str">
            <val xml:space="preserve"> -</val>
          </value>
        </values>
      </ddeItem>
      <ddeItem name="DLFB1.203" advise="1">
        <values>
          <value t="str">
            <val xml:space="preserve"> -</val>
          </value>
        </values>
      </ddeItem>
      <ddeItem name="DLFB1.204" advise="1">
        <values>
          <value t="str">
            <val xml:space="preserve"> -</val>
          </value>
        </values>
      </ddeItem>
      <ddeItem name="DLFB1.205" advise="1">
        <values>
          <value t="str">
            <val xml:space="preserve"> -</val>
          </value>
        </values>
      </ddeItem>
      <ddeItem name="DLFB1.211" advise="1">
        <values>
          <value t="str">
            <val xml:space="preserve"> -</val>
          </value>
        </values>
      </ddeItem>
      <ddeItem name="DLFB1.212" advise="1">
        <values>
          <value t="str">
            <val xml:space="preserve"> -</val>
          </value>
        </values>
      </ddeItem>
      <ddeItem name="DLFB1.213" advise="1">
        <values>
          <value t="str">
            <val xml:space="preserve"> -</val>
          </value>
        </values>
      </ddeItem>
      <ddeItem name="DLFB1.214" advise="1">
        <values>
          <value t="str">
            <val xml:space="preserve"> -</val>
          </value>
        </values>
      </ddeItem>
      <ddeItem name="DLFB1.215" advise="1">
        <values>
          <value t="str">
            <val xml:space="preserve"> -</val>
          </value>
        </values>
      </ddeItem>
      <ddeItem name="DLFB1.221" advise="1">
        <values>
          <value t="str">
            <val>-</val>
          </value>
        </values>
      </ddeItem>
      <ddeItem name="DLFB1.222" advise="1">
        <values>
          <value t="str">
            <val>-</val>
          </value>
        </values>
      </ddeItem>
      <ddeItem name="DLFB1.223" advise="1">
        <values>
          <value t="str">
            <val>-</val>
          </value>
        </values>
      </ddeItem>
      <ddeItem name="DLFB1.224" advise="1">
        <values>
          <value t="str">
            <val>-</val>
          </value>
        </values>
      </ddeItem>
      <ddeItem name="DLFB1.225" advise="1">
        <values>
          <value t="str">
            <val>-</val>
          </value>
        </values>
      </ddeItem>
      <ddeItem name="DLFB1.231" advise="1">
        <values>
          <value t="str">
            <val>-</val>
          </value>
        </values>
      </ddeItem>
      <ddeItem name="DLFB1.232" advise="1">
        <values>
          <value t="str">
            <val>-</val>
          </value>
        </values>
      </ddeItem>
      <ddeItem name="DLFB1.233" advise="1">
        <values>
          <value t="str">
            <val>-</val>
          </value>
        </values>
      </ddeItem>
      <ddeItem name="DLFB1.234" advise="1">
        <values>
          <value t="str">
            <val>-</val>
          </value>
        </values>
      </ddeItem>
      <ddeItem name="DLFB1.235" advise="1">
        <values>
          <value t="str">
            <val>-</val>
          </value>
        </values>
      </ddeItem>
      <ddeItem name="DLFB1.402" advise="1">
        <values>
          <value t="str">
            <val>加權指數</val>
          </value>
        </values>
      </ddeItem>
      <ddeItem name="DLFB1.406" advise="1">
        <values>
          <value t="str">
            <val xml:space="preserve"> -</val>
          </value>
        </values>
      </ddeItem>
      <ddeItem name="DLFB1.407" advise="1">
        <values>
          <value t="str">
            <val xml:space="preserve"> -</val>
          </value>
        </values>
      </ddeItem>
      <ddeItem name="DLFB1.431" advise="1">
        <values>
          <value t="str">
            <val>-</val>
          </value>
        </values>
      </ddeItem>
      <ddeItem name="DLFB1.437" advise="1">
        <values>
          <value t="str">
            <val xml:space="preserve"> -</val>
          </value>
        </values>
      </ddeItem>
      <ddeItem name="DNFB1.123" advise="1">
        <values>
          <value>
            <val>100140</val>
          </value>
        </values>
      </ddeItem>
      <ddeItem name="DNFB1.124" advise="1">
        <values>
          <value>
            <val>16428.68</val>
          </value>
        </values>
      </ddeItem>
      <ddeItem name="DNFB1.125" advise="1">
        <values>
          <value>
            <val>-14.72</val>
          </value>
        </values>
      </ddeItem>
      <ddeItem name="DNFB1.128" advise="1">
        <values>
          <value>
            <val>2686</val>
          </value>
        </values>
      </ddeItem>
      <ddeItem name="DNFB1.130" advise="1">
        <values>
          <value>
            <val>16329.54</val>
          </value>
        </values>
      </ddeItem>
      <ddeItem name="DNFB1.131" advise="1">
        <values>
          <value>
            <val>16456.939999999999</val>
          </value>
        </values>
      </ddeItem>
      <ddeItem name="DNFB1.132" advise="1">
        <values>
          <value>
            <val>16329.54</val>
          </value>
        </values>
      </ddeItem>
      <ddeItem name="DNFB1.133" advise="1">
        <values>
          <value>
            <val>4022793</val>
          </value>
        </values>
      </ddeItem>
      <ddeItem name="DNFB1.135" advise="1">
        <values>
          <value t="str">
            <val xml:space="preserve"> -</val>
          </value>
        </values>
      </ddeItem>
      <ddeItem name="DNFB1.136" advise="1">
        <values>
          <value t="str">
            <val xml:space="preserve"> -</val>
          </value>
        </values>
      </ddeItem>
      <ddeItem name="DNFB1.201" advise="1">
        <values>
          <value t="str">
            <val xml:space="preserve"> -</val>
          </value>
        </values>
      </ddeItem>
      <ddeItem name="DNFB1.202" advise="1">
        <values>
          <value t="str">
            <val xml:space="preserve"> -</val>
          </value>
        </values>
      </ddeItem>
      <ddeItem name="DNFB1.203" advise="1">
        <values>
          <value t="str">
            <val xml:space="preserve"> -</val>
          </value>
        </values>
      </ddeItem>
      <ddeItem name="DNFB1.204" advise="1">
        <values>
          <value t="str">
            <val xml:space="preserve"> -</val>
          </value>
        </values>
      </ddeItem>
      <ddeItem name="DNFB1.205" advise="1">
        <values>
          <value t="str">
            <val xml:space="preserve"> -</val>
          </value>
        </values>
      </ddeItem>
      <ddeItem name="DNFB1.211" advise="1">
        <values>
          <value t="str">
            <val xml:space="preserve"> -</val>
          </value>
        </values>
      </ddeItem>
      <ddeItem name="DNFB1.212" advise="1">
        <values>
          <value t="str">
            <val xml:space="preserve"> -</val>
          </value>
        </values>
      </ddeItem>
      <ddeItem name="DNFB1.213" advise="1">
        <values>
          <value t="str">
            <val xml:space="preserve"> -</val>
          </value>
        </values>
      </ddeItem>
      <ddeItem name="DNFB1.214" advise="1">
        <values>
          <value t="str">
            <val xml:space="preserve"> -</val>
          </value>
        </values>
      </ddeItem>
      <ddeItem name="DNFB1.215" advise="1">
        <values>
          <value t="str">
            <val xml:space="preserve"> -</val>
          </value>
        </values>
      </ddeItem>
      <ddeItem name="DNFB1.221" advise="1">
        <values>
          <value t="str">
            <val>-</val>
          </value>
        </values>
      </ddeItem>
      <ddeItem name="DNFB1.222" advise="1">
        <values>
          <value t="str">
            <val>-</val>
          </value>
        </values>
      </ddeItem>
      <ddeItem name="DNFB1.223" advise="1">
        <values>
          <value t="str">
            <val>-</val>
          </value>
        </values>
      </ddeItem>
      <ddeItem name="DNFB1.224" advise="1">
        <values>
          <value t="str">
            <val>-</val>
          </value>
        </values>
      </ddeItem>
      <ddeItem name="DNFB1.225" advise="1">
        <values>
          <value t="str">
            <val>-</val>
          </value>
        </values>
      </ddeItem>
      <ddeItem name="DNFB1.231" advise="1">
        <values>
          <value t="str">
            <val>-</val>
          </value>
        </values>
      </ddeItem>
      <ddeItem name="DNFB1.232" advise="1">
        <values>
          <value t="str">
            <val>-</val>
          </value>
        </values>
      </ddeItem>
      <ddeItem name="DNFB1.233" advise="1">
        <values>
          <value t="str">
            <val>-</val>
          </value>
        </values>
      </ddeItem>
      <ddeItem name="DNFB1.234" advise="1">
        <values>
          <value t="str">
            <val>-</val>
          </value>
        </values>
      </ddeItem>
      <ddeItem name="DNFB1.235" advise="1">
        <values>
          <value t="str">
            <val>-</val>
          </value>
        </values>
      </ddeItem>
      <ddeItem name="DNFB1.402" advise="1">
        <values>
          <value t="str">
            <val>加權指數</val>
          </value>
        </values>
      </ddeItem>
      <ddeItem name="DNFB1.406" advise="1">
        <values>
          <value t="str">
            <val xml:space="preserve"> -</val>
          </value>
        </values>
      </ddeItem>
      <ddeItem name="DNFB1.407" advise="1">
        <values>
          <value t="str">
            <val xml:space="preserve"> -</val>
          </value>
        </values>
      </ddeItem>
      <ddeItem name="DNFB1.431" advise="1">
        <values>
          <value t="str">
            <val>-</val>
          </value>
        </values>
      </ddeItem>
      <ddeItem name="DNFB1.437" advise="1">
        <values>
          <value t="str">
            <val xml:space="preserve"> -</val>
          </value>
        </values>
      </ddeItem>
      <ddeItem name="DOFB1.123" advise="1">
        <values>
          <value>
            <val>0</val>
          </value>
        </values>
      </ddeItem>
      <ddeItem name="DOFB1.124" advise="1">
        <values>
          <value>
            <val>20878632</val>
          </value>
        </values>
      </ddeItem>
      <ddeItem name="DOFB1.125" advise="1">
        <values>
          <value t="str">
            <val xml:space="preserve"> </val>
          </value>
        </values>
      </ddeItem>
      <ddeItem name="DOFB1.128" advise="1">
        <values>
          <value>
            <val>1212870150</val>
          </value>
        </values>
      </ddeItem>
      <ddeItem name="DOFB1.130" advise="1">
        <values>
          <value>
            <val>20803788</val>
          </value>
        </values>
      </ddeItem>
      <ddeItem name="DOFB1.131" advise="1">
        <values>
          <value>
            <val>20804690</val>
          </value>
        </values>
      </ddeItem>
      <ddeItem name="DOFB1.132" advise="1">
        <values>
          <value>
            <val>10989732</val>
          </value>
        </values>
      </ddeItem>
      <ddeItem name="DOFB1.133" advise="1">
        <values>
          <value>
            <val>2088371110</val>
          </value>
        </values>
      </ddeItem>
      <ddeItem name="DOFB1.135" advise="1">
        <values>
          <value t="str">
            <val xml:space="preserve"> -</val>
          </value>
        </values>
      </ddeItem>
      <ddeItem name="DOFB1.136" advise="1">
        <values>
          <value t="str">
            <val xml:space="preserve"> -</val>
          </value>
        </values>
      </ddeItem>
      <ddeItem name="DOFB1.201" advise="1">
        <values>
          <value t="str">
            <val xml:space="preserve"> -</val>
          </value>
        </values>
      </ddeItem>
      <ddeItem name="DOFB1.202" advise="1">
        <values>
          <value t="str">
            <val xml:space="preserve"> -</val>
          </value>
        </values>
      </ddeItem>
      <ddeItem name="DOFB1.203" advise="1">
        <values>
          <value t="str">
            <val xml:space="preserve"> -</val>
          </value>
        </values>
      </ddeItem>
      <ddeItem name="DOFB1.204" advise="1">
        <values>
          <value t="str">
            <val xml:space="preserve"> -</val>
          </value>
        </values>
      </ddeItem>
      <ddeItem name="DOFB1.205" advise="1">
        <values>
          <value t="str">
            <val xml:space="preserve"> -</val>
          </value>
        </values>
      </ddeItem>
      <ddeItem name="DOFB1.211" advise="1">
        <values>
          <value t="str">
            <val xml:space="preserve"> -</val>
          </value>
        </values>
      </ddeItem>
      <ddeItem name="DOFB1.212" advise="1">
        <values>
          <value t="str">
            <val xml:space="preserve"> -</val>
          </value>
        </values>
      </ddeItem>
      <ddeItem name="DOFB1.213" advise="1">
        <values>
          <value t="str">
            <val xml:space="preserve"> -</val>
          </value>
        </values>
      </ddeItem>
      <ddeItem name="DOFB1.214" advise="1">
        <values>
          <value t="str">
            <val xml:space="preserve"> -</val>
          </value>
        </values>
      </ddeItem>
      <ddeItem name="DOFB1.215" advise="1">
        <values>
          <value t="str">
            <val xml:space="preserve"> -</val>
          </value>
        </values>
      </ddeItem>
      <ddeItem name="DOFB1.221" advise="1">
        <values>
          <value t="str">
            <val>-</val>
          </value>
        </values>
      </ddeItem>
      <ddeItem name="DOFB1.222" advise="1">
        <values>
          <value t="str">
            <val>-</val>
          </value>
        </values>
      </ddeItem>
      <ddeItem name="DOFB1.223" advise="1">
        <values>
          <value t="str">
            <val>-</val>
          </value>
        </values>
      </ddeItem>
      <ddeItem name="DOFB1.224" advise="1">
        <values>
          <value t="str">
            <val>-</val>
          </value>
        </values>
      </ddeItem>
      <ddeItem name="DOFB1.225" advise="1">
        <values>
          <value t="str">
            <val>-</val>
          </value>
        </values>
      </ddeItem>
      <ddeItem name="DOFB1.231" advise="1">
        <values>
          <value t="str">
            <val>-</val>
          </value>
        </values>
      </ddeItem>
      <ddeItem name="DOFB1.232" advise="1">
        <values>
          <value t="str">
            <val>-</val>
          </value>
        </values>
      </ddeItem>
      <ddeItem name="DOFB1.233" advise="1">
        <values>
          <value t="str">
            <val>-</val>
          </value>
        </values>
      </ddeItem>
      <ddeItem name="DOFB1.234" advise="1">
        <values>
          <value t="str">
            <val>-</val>
          </value>
        </values>
      </ddeItem>
      <ddeItem name="DOFB1.235" advise="1">
        <values>
          <value t="str">
            <val>-</val>
          </value>
        </values>
      </ddeItem>
      <ddeItem name="DOFB1.402" advise="1"/>
      <ddeItem name="DOFB1.406" advise="1">
        <values>
          <value t="str">
            <val xml:space="preserve"> -</val>
          </value>
        </values>
      </ddeItem>
      <ddeItem name="DOFB1.407" advise="1">
        <values>
          <value t="str">
            <val xml:space="preserve"> -</val>
          </value>
        </values>
      </ddeItem>
      <ddeItem name="DOFB1.431" advise="1">
        <values>
          <value t="str">
            <val>-</val>
          </value>
        </values>
      </ddeItem>
      <ddeItem name="DOFB1.437" advise="1">
        <values>
          <value t="str">
            <val xml:space="preserve"> -</val>
          </value>
        </values>
      </ddeItem>
      <ddeItem name="DPFB1.123" advise="1">
        <values>
          <value>
            <val>100140</val>
          </value>
        </values>
      </ddeItem>
      <ddeItem name="DPFB1.124" advise="1">
        <values>
          <value>
            <val>16428.68</val>
          </value>
        </values>
      </ddeItem>
      <ddeItem name="DPFB1.125" advise="1">
        <values>
          <value>
            <val>-14.72</val>
          </value>
        </values>
      </ddeItem>
      <ddeItem name="DPFB1.128" advise="1">
        <values>
          <value>
            <val>2686</val>
          </value>
        </values>
      </ddeItem>
      <ddeItem name="DPFB1.130" advise="1">
        <values>
          <value>
            <val>16329.54</val>
          </value>
        </values>
      </ddeItem>
      <ddeItem name="DPFB1.131" advise="1">
        <values>
          <value>
            <val>16456.939999999999</val>
          </value>
        </values>
      </ddeItem>
      <ddeItem name="DPFB1.132" advise="1">
        <values>
          <value>
            <val>16329.54</val>
          </value>
        </values>
      </ddeItem>
      <ddeItem name="DPFB1.133" advise="1">
        <values>
          <value>
            <val>4022793</val>
          </value>
        </values>
      </ddeItem>
      <ddeItem name="DPFB1.135" advise="1">
        <values>
          <value t="str">
            <val xml:space="preserve"> -</val>
          </value>
        </values>
      </ddeItem>
      <ddeItem name="DPFB1.136" advise="1">
        <values>
          <value t="str">
            <val xml:space="preserve"> -</val>
          </value>
        </values>
      </ddeItem>
      <ddeItem name="DPFB1.201" advise="1">
        <values>
          <value t="str">
            <val xml:space="preserve"> -</val>
          </value>
        </values>
      </ddeItem>
      <ddeItem name="DPFB1.202" advise="1">
        <values>
          <value t="str">
            <val xml:space="preserve"> -</val>
          </value>
        </values>
      </ddeItem>
      <ddeItem name="DPFB1.203" advise="1">
        <values>
          <value t="str">
            <val xml:space="preserve"> -</val>
          </value>
        </values>
      </ddeItem>
      <ddeItem name="DPFB1.204" advise="1">
        <values>
          <value t="str">
            <val xml:space="preserve"> -</val>
          </value>
        </values>
      </ddeItem>
      <ddeItem name="DPFB1.205" advise="1">
        <values>
          <value t="str">
            <val xml:space="preserve"> -</val>
          </value>
        </values>
      </ddeItem>
      <ddeItem name="DPFB1.211" advise="1">
        <values>
          <value t="str">
            <val xml:space="preserve"> -</val>
          </value>
        </values>
      </ddeItem>
      <ddeItem name="DPFB1.212" advise="1">
        <values>
          <value t="str">
            <val xml:space="preserve"> -</val>
          </value>
        </values>
      </ddeItem>
      <ddeItem name="DPFB1.213" advise="1">
        <values>
          <value t="str">
            <val xml:space="preserve"> -</val>
          </value>
        </values>
      </ddeItem>
      <ddeItem name="DPFB1.214" advise="1">
        <values>
          <value t="str">
            <val xml:space="preserve"> -</val>
          </value>
        </values>
      </ddeItem>
      <ddeItem name="DPFB1.215" advise="1">
        <values>
          <value t="str">
            <val xml:space="preserve"> -</val>
          </value>
        </values>
      </ddeItem>
      <ddeItem name="DPFB1.221" advise="1">
        <values>
          <value t="str">
            <val>-</val>
          </value>
        </values>
      </ddeItem>
      <ddeItem name="DPFB1.222" advise="1">
        <values>
          <value t="str">
            <val>-</val>
          </value>
        </values>
      </ddeItem>
      <ddeItem name="DPFB1.223" advise="1">
        <values>
          <value t="str">
            <val>-</val>
          </value>
        </values>
      </ddeItem>
      <ddeItem name="DPFB1.224" advise="1">
        <values>
          <value t="str">
            <val>-</val>
          </value>
        </values>
      </ddeItem>
      <ddeItem name="DPFB1.225" advise="1">
        <values>
          <value t="str">
            <val>-</val>
          </value>
        </values>
      </ddeItem>
      <ddeItem name="DPFB1.231" advise="1">
        <values>
          <value t="str">
            <val>-</val>
          </value>
        </values>
      </ddeItem>
      <ddeItem name="DPFB1.232" advise="1">
        <values>
          <value t="str">
            <val>-</val>
          </value>
        </values>
      </ddeItem>
      <ddeItem name="DPFB1.233" advise="1">
        <values>
          <value t="str">
            <val>-</val>
          </value>
        </values>
      </ddeItem>
      <ddeItem name="DPFB1.234" advise="1">
        <values>
          <value t="str">
            <val>-</val>
          </value>
        </values>
      </ddeItem>
      <ddeItem name="DPFB1.235" advise="1">
        <values>
          <value t="str">
            <val>-</val>
          </value>
        </values>
      </ddeItem>
      <ddeItem name="DPFB1.402" advise="1">
        <values>
          <value t="str">
            <val>加權指數</val>
          </value>
        </values>
      </ddeItem>
      <ddeItem name="DPFB1.406" advise="1">
        <values>
          <value t="str">
            <val xml:space="preserve"> -</val>
          </value>
        </values>
      </ddeItem>
      <ddeItem name="DPFB1.407" advise="1">
        <values>
          <value t="str">
            <val xml:space="preserve"> -</val>
          </value>
        </values>
      </ddeItem>
      <ddeItem name="DPFB1.431" advise="1">
        <values>
          <value t="str">
            <val>-</val>
          </value>
        </values>
      </ddeItem>
      <ddeItem name="DPFB1.437" advise="1">
        <values>
          <value t="str">
            <val xml:space="preserve"> -</val>
          </value>
        </values>
      </ddeItem>
      <ddeItem name="DQFB1.123" advise="1">
        <values>
          <value>
            <val>0</val>
          </value>
        </values>
      </ddeItem>
      <ddeItem name="DQFB1.124" advise="1">
        <values>
          <value>
            <val>20878632</val>
          </value>
        </values>
      </ddeItem>
      <ddeItem name="DQFB1.125" advise="1">
        <values>
          <value t="str">
            <val xml:space="preserve"> </val>
          </value>
        </values>
      </ddeItem>
      <ddeItem name="DQFB1.128" advise="1">
        <values>
          <value>
            <val>1212870150</val>
          </value>
        </values>
      </ddeItem>
      <ddeItem name="DQFB1.130" advise="1">
        <values>
          <value>
            <val>20803788</val>
          </value>
        </values>
      </ddeItem>
      <ddeItem name="DQFB1.131" advise="1">
        <values>
          <value>
            <val>20804690</val>
          </value>
        </values>
      </ddeItem>
      <ddeItem name="DQFB1.132" advise="1">
        <values>
          <value>
            <val>10989732</val>
          </value>
        </values>
      </ddeItem>
      <ddeItem name="DQFB1.133" advise="1">
        <values>
          <value>
            <val>2088371110</val>
          </value>
        </values>
      </ddeItem>
      <ddeItem name="DQFB1.135" advise="1">
        <values>
          <value t="str">
            <val xml:space="preserve"> -</val>
          </value>
        </values>
      </ddeItem>
      <ddeItem name="DQFB1.136" advise="1">
        <values>
          <value t="str">
            <val xml:space="preserve"> -</val>
          </value>
        </values>
      </ddeItem>
      <ddeItem name="DQFB1.201" advise="1">
        <values>
          <value t="str">
            <val xml:space="preserve"> -</val>
          </value>
        </values>
      </ddeItem>
      <ddeItem name="DQFB1.202" advise="1">
        <values>
          <value t="str">
            <val xml:space="preserve"> -</val>
          </value>
        </values>
      </ddeItem>
      <ddeItem name="DQFB1.203" advise="1">
        <values>
          <value t="str">
            <val xml:space="preserve"> -</val>
          </value>
        </values>
      </ddeItem>
      <ddeItem name="DQFB1.204" advise="1">
        <values>
          <value t="str">
            <val xml:space="preserve"> -</val>
          </value>
        </values>
      </ddeItem>
      <ddeItem name="DQFB1.205" advise="1">
        <values>
          <value t="str">
            <val xml:space="preserve"> -</val>
          </value>
        </values>
      </ddeItem>
      <ddeItem name="DQFB1.211" advise="1">
        <values>
          <value t="str">
            <val xml:space="preserve"> -</val>
          </value>
        </values>
      </ddeItem>
      <ddeItem name="DQFB1.212" advise="1">
        <values>
          <value t="str">
            <val xml:space="preserve"> -</val>
          </value>
        </values>
      </ddeItem>
      <ddeItem name="DQFB1.213" advise="1">
        <values>
          <value t="str">
            <val xml:space="preserve"> -</val>
          </value>
        </values>
      </ddeItem>
      <ddeItem name="DQFB1.214" advise="1">
        <values>
          <value t="str">
            <val xml:space="preserve"> -</val>
          </value>
        </values>
      </ddeItem>
      <ddeItem name="DQFB1.215" advise="1">
        <values>
          <value t="str">
            <val xml:space="preserve"> -</val>
          </value>
        </values>
      </ddeItem>
      <ddeItem name="DQFB1.221" advise="1">
        <values>
          <value t="str">
            <val>-</val>
          </value>
        </values>
      </ddeItem>
      <ddeItem name="DQFB1.222" advise="1">
        <values>
          <value t="str">
            <val>-</val>
          </value>
        </values>
      </ddeItem>
      <ddeItem name="DQFB1.223" advise="1">
        <values>
          <value t="str">
            <val>-</val>
          </value>
        </values>
      </ddeItem>
      <ddeItem name="DQFB1.224" advise="1">
        <values>
          <value t="str">
            <val>-</val>
          </value>
        </values>
      </ddeItem>
      <ddeItem name="DQFB1.225" advise="1">
        <values>
          <value t="str">
            <val>-</val>
          </value>
        </values>
      </ddeItem>
      <ddeItem name="DQFB1.231" advise="1">
        <values>
          <value t="str">
            <val>-</val>
          </value>
        </values>
      </ddeItem>
      <ddeItem name="DQFB1.232" advise="1">
        <values>
          <value t="str">
            <val>-</val>
          </value>
        </values>
      </ddeItem>
      <ddeItem name="DQFB1.233" advise="1">
        <values>
          <value t="str">
            <val>-</val>
          </value>
        </values>
      </ddeItem>
      <ddeItem name="DQFB1.234" advise="1">
        <values>
          <value t="str">
            <val>-</val>
          </value>
        </values>
      </ddeItem>
      <ddeItem name="DQFB1.235" advise="1">
        <values>
          <value t="str">
            <val>-</val>
          </value>
        </values>
      </ddeItem>
      <ddeItem name="DQFB1.402" advise="1"/>
      <ddeItem name="DQFB1.406" advise="1">
        <values>
          <value t="str">
            <val xml:space="preserve"> -</val>
          </value>
        </values>
      </ddeItem>
      <ddeItem name="DQFB1.407" advise="1">
        <values>
          <value t="str">
            <val xml:space="preserve"> -</val>
          </value>
        </values>
      </ddeItem>
      <ddeItem name="DQFB1.431" advise="1">
        <values>
          <value t="str">
            <val>-</val>
          </value>
        </values>
      </ddeItem>
      <ddeItem name="DQFB1.437" advise="1">
        <values>
          <value t="str">
            <val xml:space="preserve"> -</val>
          </value>
        </values>
      </ddeItem>
      <ddeItem name="DSFB1.123" advise="1">
        <values>
          <value>
            <val>100135</val>
          </value>
        </values>
      </ddeItem>
      <ddeItem name="DSFB1.124" advise="1">
        <values>
          <value>
            <val>13893.65</val>
          </value>
        </values>
      </ddeItem>
      <ddeItem name="DSFB1.125" advise="1">
        <values>
          <value>
            <val>7.07</val>
          </value>
        </values>
      </ddeItem>
      <ddeItem name="DSFB1.128" advise="1">
        <values>
          <value>
            <val>611</val>
          </value>
        </values>
      </ddeItem>
      <ddeItem name="DSFB1.130" advise="1">
        <values>
          <value>
            <val>13893.03</val>
          </value>
        </values>
      </ddeItem>
      <ddeItem name="DSFB1.131" advise="1">
        <values>
          <value>
            <val>13945.78</val>
          </value>
        </values>
      </ddeItem>
      <ddeItem name="DSFB1.132" advise="1">
        <values>
          <value>
            <val>13875.82</val>
          </value>
        </values>
      </ddeItem>
      <ddeItem name="DSFB1.133" advise="1">
        <values>
          <value>
            <val>871785</val>
          </value>
        </values>
      </ddeItem>
      <ddeItem name="DSFB1.135" advise="1">
        <values>
          <value t="str">
            <val xml:space="preserve"> -</val>
          </value>
        </values>
      </ddeItem>
      <ddeItem name="DSFB1.136" advise="1">
        <values>
          <value t="str">
            <val xml:space="preserve"> -</val>
          </value>
        </values>
      </ddeItem>
      <ddeItem name="DSFB1.201" advise="1">
        <values>
          <value t="str">
            <val xml:space="preserve"> -</val>
          </value>
        </values>
      </ddeItem>
      <ddeItem name="DSFB1.202" advise="1">
        <values>
          <value t="str">
            <val xml:space="preserve"> -</val>
          </value>
        </values>
      </ddeItem>
      <ddeItem name="DSFB1.203" advise="1">
        <values>
          <value t="str">
            <val xml:space="preserve"> -</val>
          </value>
        </values>
      </ddeItem>
      <ddeItem name="DSFB1.204" advise="1">
        <values>
          <value t="str">
            <val xml:space="preserve"> -</val>
          </value>
        </values>
      </ddeItem>
      <ddeItem name="DSFB1.205" advise="1">
        <values>
          <value t="str">
            <val xml:space="preserve"> -</val>
          </value>
        </values>
      </ddeItem>
      <ddeItem name="DSFB1.211" advise="1">
        <values>
          <value t="str">
            <val xml:space="preserve"> -</val>
          </value>
        </values>
      </ddeItem>
      <ddeItem name="DSFB1.212" advise="1">
        <values>
          <value t="str">
            <val xml:space="preserve"> -</val>
          </value>
        </values>
      </ddeItem>
      <ddeItem name="DSFB1.213" advise="1">
        <values>
          <value t="str">
            <val xml:space="preserve"> -</val>
          </value>
        </values>
      </ddeItem>
      <ddeItem name="DSFB1.214" advise="1">
        <values>
          <value t="str">
            <val xml:space="preserve"> -</val>
          </value>
        </values>
      </ddeItem>
      <ddeItem name="DSFB1.215" advise="1">
        <values>
          <value t="str">
            <val xml:space="preserve"> -</val>
          </value>
        </values>
      </ddeItem>
      <ddeItem name="DSFB1.221" advise="1">
        <values>
          <value t="str">
            <val>-</val>
          </value>
        </values>
      </ddeItem>
      <ddeItem name="DSFB1.222" advise="1">
        <values>
          <value t="str">
            <val>-</val>
          </value>
        </values>
      </ddeItem>
      <ddeItem name="DSFB1.223" advise="1">
        <values>
          <value t="str">
            <val>-</val>
          </value>
        </values>
      </ddeItem>
      <ddeItem name="DSFB1.224" advise="1">
        <values>
          <value t="str">
            <val>-</val>
          </value>
        </values>
      </ddeItem>
      <ddeItem name="DSFB1.225" advise="1">
        <values>
          <value t="str">
            <val>-</val>
          </value>
        </values>
      </ddeItem>
      <ddeItem name="DSFB1.231" advise="1">
        <values>
          <value t="str">
            <val>-</val>
          </value>
        </values>
      </ddeItem>
      <ddeItem name="DSFB1.232" advise="1">
        <values>
          <value t="str">
            <val>-</val>
          </value>
        </values>
      </ddeItem>
      <ddeItem name="DSFB1.233" advise="1">
        <values>
          <value t="str">
            <val>-</val>
          </value>
        </values>
      </ddeItem>
      <ddeItem name="DSFB1.234" advise="1">
        <values>
          <value t="str">
            <val>-</val>
          </value>
        </values>
      </ddeItem>
      <ddeItem name="DSFB1.235" advise="1">
        <values>
          <value t="str">
            <val>-</val>
          </value>
        </values>
      </ddeItem>
      <ddeItem name="DSFB1.402" advise="1">
        <values>
          <value t="str">
            <val>不含金電</val>
          </value>
        </values>
      </ddeItem>
      <ddeItem name="DSFB1.406" advise="1">
        <values>
          <value t="str">
            <val xml:space="preserve"> -</val>
          </value>
        </values>
      </ddeItem>
      <ddeItem name="DSFB1.407" advise="1">
        <values>
          <value t="str">
            <val xml:space="preserve"> -</val>
          </value>
        </values>
      </ddeItem>
      <ddeItem name="DSFB1.431" advise="1">
        <values>
          <value t="str">
            <val>-</val>
          </value>
        </values>
      </ddeItem>
      <ddeItem name="DSFB1.437" advise="1">
        <values>
          <value t="str">
            <val xml:space="preserve"> -</val>
          </value>
        </values>
      </ddeItem>
      <ddeItem name="DVFB1.123" advise="1">
        <values>
          <value>
            <val>100130</val>
          </value>
        </values>
      </ddeItem>
      <ddeItem name="DVFB1.124" advise="1">
        <values>
          <value>
            <val>13895.08</val>
          </value>
        </values>
      </ddeItem>
      <ddeItem name="DVFB1.125" advise="1">
        <values>
          <value>
            <val>8.5</val>
          </value>
        </values>
      </ddeItem>
      <ddeItem name="DVFB1.128" advise="1">
        <values>
          <value>
            <val>449</val>
          </value>
        </values>
      </ddeItem>
      <ddeItem name="DVFB1.130" advise="1">
        <values>
          <value>
            <val>13893.03</val>
          </value>
        </values>
      </ddeItem>
      <ddeItem name="DVFB1.131" advise="1">
        <values>
          <value>
            <val>13945.78</val>
          </value>
        </values>
      </ddeItem>
      <ddeItem name="DVFB1.132" advise="1">
        <values>
          <value>
            <val>13875.82</val>
          </value>
        </values>
      </ddeItem>
      <ddeItem name="DVFB1.133" advise="1">
        <values>
          <value>
            <val>871174</val>
          </value>
        </values>
      </ddeItem>
      <ddeItem name="DVFB1.135" advise="1">
        <values>
          <value t="str">
            <val xml:space="preserve"> -</val>
          </value>
        </values>
      </ddeItem>
      <ddeItem name="DVFB1.136" advise="1">
        <values>
          <value t="str">
            <val xml:space="preserve"> -</val>
          </value>
        </values>
      </ddeItem>
      <ddeItem name="DVFB1.201" advise="1">
        <values>
          <value t="str">
            <val xml:space="preserve"> -</val>
          </value>
        </values>
      </ddeItem>
      <ddeItem name="DVFB1.202" advise="1">
        <values>
          <value t="str">
            <val xml:space="preserve"> -</val>
          </value>
        </values>
      </ddeItem>
      <ddeItem name="DVFB1.203" advise="1">
        <values>
          <value t="str">
            <val xml:space="preserve"> -</val>
          </value>
        </values>
      </ddeItem>
      <ddeItem name="DVFB1.204" advise="1">
        <values>
          <value t="str">
            <val xml:space="preserve"> -</val>
          </value>
        </values>
      </ddeItem>
      <ddeItem name="DVFB1.205" advise="1">
        <values>
          <value t="str">
            <val xml:space="preserve"> -</val>
          </value>
        </values>
      </ddeItem>
      <ddeItem name="DVFB1.211" advise="1">
        <values>
          <value t="str">
            <val xml:space="preserve"> -</val>
          </value>
        </values>
      </ddeItem>
      <ddeItem name="DVFB1.212" advise="1">
        <values>
          <value t="str">
            <val xml:space="preserve"> -</val>
          </value>
        </values>
      </ddeItem>
      <ddeItem name="DVFB1.213" advise="1">
        <values>
          <value t="str">
            <val xml:space="preserve"> -</val>
          </value>
        </values>
      </ddeItem>
      <ddeItem name="DVFB1.214" advise="1">
        <values>
          <value t="str">
            <val xml:space="preserve"> -</val>
          </value>
        </values>
      </ddeItem>
      <ddeItem name="DVFB1.215" advise="1">
        <values>
          <value t="str">
            <val xml:space="preserve"> -</val>
          </value>
        </values>
      </ddeItem>
      <ddeItem name="DVFB1.221" advise="1">
        <values>
          <value t="str">
            <val>-</val>
          </value>
        </values>
      </ddeItem>
      <ddeItem name="DVFB1.222" advise="1">
        <values>
          <value t="str">
            <val>-</val>
          </value>
        </values>
      </ddeItem>
      <ddeItem name="DVFB1.223" advise="1">
        <values>
          <value t="str">
            <val>-</val>
          </value>
        </values>
      </ddeItem>
      <ddeItem name="DVFB1.224" advise="1">
        <values>
          <value t="str">
            <val>-</val>
          </value>
        </values>
      </ddeItem>
      <ddeItem name="DVFB1.225" advise="1">
        <values>
          <value t="str">
            <val>-</val>
          </value>
        </values>
      </ddeItem>
      <ddeItem name="DVFB1.231" advise="1">
        <values>
          <value t="str">
            <val>-</val>
          </value>
        </values>
      </ddeItem>
      <ddeItem name="DVFB1.232" advise="1">
        <values>
          <value t="str">
            <val>-</val>
          </value>
        </values>
      </ddeItem>
      <ddeItem name="DVFB1.233" advise="1">
        <values>
          <value t="str">
            <val>-</val>
          </value>
        </values>
      </ddeItem>
      <ddeItem name="DVFB1.234" advise="1">
        <values>
          <value t="str">
            <val>-</val>
          </value>
        </values>
      </ddeItem>
      <ddeItem name="DVFB1.235" advise="1">
        <values>
          <value t="str">
            <val>-</val>
          </value>
        </values>
      </ddeItem>
      <ddeItem name="DVFB1.402" advise="1">
        <values>
          <value t="str">
            <val>不含金電</val>
          </value>
        </values>
      </ddeItem>
      <ddeItem name="DVFB1.406" advise="1">
        <values>
          <value t="str">
            <val xml:space="preserve"> -</val>
          </value>
        </values>
      </ddeItem>
      <ddeItem name="DVFB1.407" advise="1">
        <values>
          <value t="str">
            <val xml:space="preserve"> -</val>
          </value>
        </values>
      </ddeItem>
      <ddeItem name="DVFB1.431" advise="1">
        <values>
          <value t="str">
            <val>-</val>
          </value>
        </values>
      </ddeItem>
      <ddeItem name="DVFB1.437" advise="1">
        <values>
          <value t="str">
            <val xml:space="preserve"> -</val>
          </value>
        </values>
      </ddeItem>
      <ddeItem name="DWFB1.123" advise="1">
        <values>
          <value>
            <val>100125</val>
          </value>
        </values>
      </ddeItem>
      <ddeItem name="DWFB1.124" advise="1">
        <values>
          <value>
            <val>16429</val>
          </value>
        </values>
      </ddeItem>
      <ddeItem name="DWFB1.125" advise="1">
        <values>
          <value>
            <val>-14.4</val>
          </value>
        </values>
      </ddeItem>
      <ddeItem name="DWFB1.128" advise="1">
        <values>
          <value>
            <val>2036</val>
          </value>
        </values>
      </ddeItem>
      <ddeItem name="DWFB1.130" advise="1">
        <values>
          <value>
            <val>16329.54</val>
          </value>
        </values>
      </ddeItem>
      <ddeItem name="DWFB1.131" advise="1">
        <values>
          <value>
            <val>16456.939999999999</val>
          </value>
        </values>
      </ddeItem>
      <ddeItem name="DWFB1.132" advise="1">
        <values>
          <value>
            <val>16329.54</val>
          </value>
        </values>
      </ddeItem>
      <ddeItem name="DWFB1.133" advise="1">
        <values>
          <value>
            <val>4015112</val>
          </value>
        </values>
      </ddeItem>
      <ddeItem name="DWFB1.135" advise="1">
        <values>
          <value t="str">
            <val xml:space="preserve"> -</val>
          </value>
        </values>
      </ddeItem>
      <ddeItem name="DWFB1.136" advise="1">
        <values>
          <value t="str">
            <val xml:space="preserve"> -</val>
          </value>
        </values>
      </ddeItem>
      <ddeItem name="DWFB1.201" advise="1">
        <values>
          <value t="str">
            <val xml:space="preserve"> -</val>
          </value>
        </values>
      </ddeItem>
      <ddeItem name="DWFB1.202" advise="1">
        <values>
          <value t="str">
            <val xml:space="preserve"> -</val>
          </value>
        </values>
      </ddeItem>
      <ddeItem name="DWFB1.203" advise="1">
        <values>
          <value t="str">
            <val xml:space="preserve"> -</val>
          </value>
        </values>
      </ddeItem>
      <ddeItem name="DWFB1.204" advise="1">
        <values>
          <value t="str">
            <val xml:space="preserve"> -</val>
          </value>
        </values>
      </ddeItem>
      <ddeItem name="DWFB1.205" advise="1">
        <values>
          <value t="str">
            <val xml:space="preserve"> -</val>
          </value>
        </values>
      </ddeItem>
      <ddeItem name="DWFB1.211" advise="1">
        <values>
          <value t="str">
            <val xml:space="preserve"> -</val>
          </value>
        </values>
      </ddeItem>
      <ddeItem name="DWFB1.212" advise="1">
        <values>
          <value t="str">
            <val xml:space="preserve"> -</val>
          </value>
        </values>
      </ddeItem>
      <ddeItem name="DWFB1.213" advise="1">
        <values>
          <value t="str">
            <val xml:space="preserve"> -</val>
          </value>
        </values>
      </ddeItem>
      <ddeItem name="DWFB1.214" advise="1">
        <values>
          <value t="str">
            <val xml:space="preserve"> -</val>
          </value>
        </values>
      </ddeItem>
      <ddeItem name="DWFB1.215" advise="1">
        <values>
          <value t="str">
            <val xml:space="preserve"> -</val>
          </value>
        </values>
      </ddeItem>
      <ddeItem name="DWFB1.221" advise="1">
        <values>
          <value t="str">
            <val>-</val>
          </value>
        </values>
      </ddeItem>
      <ddeItem name="DWFB1.222" advise="1">
        <values>
          <value t="str">
            <val>-</val>
          </value>
        </values>
      </ddeItem>
      <ddeItem name="DWFB1.223" advise="1">
        <values>
          <value t="str">
            <val>-</val>
          </value>
        </values>
      </ddeItem>
      <ddeItem name="DWFB1.224" advise="1">
        <values>
          <value t="str">
            <val>-</val>
          </value>
        </values>
      </ddeItem>
      <ddeItem name="DWFB1.225" advise="1">
        <values>
          <value t="str">
            <val>-</val>
          </value>
        </values>
      </ddeItem>
      <ddeItem name="DWFB1.231" advise="1">
        <values>
          <value t="str">
            <val>-</val>
          </value>
        </values>
      </ddeItem>
      <ddeItem name="DWFB1.232" advise="1">
        <values>
          <value t="str">
            <val>-</val>
          </value>
        </values>
      </ddeItem>
      <ddeItem name="DWFB1.233" advise="1">
        <values>
          <value t="str">
            <val>-</val>
          </value>
        </values>
      </ddeItem>
      <ddeItem name="DWFB1.234" advise="1">
        <values>
          <value t="str">
            <val>-</val>
          </value>
        </values>
      </ddeItem>
      <ddeItem name="DWFB1.235" advise="1">
        <values>
          <value t="str">
            <val>-</val>
          </value>
        </values>
      </ddeItem>
      <ddeItem name="DWFB1.402" advise="1">
        <values>
          <value t="str">
            <val>加權指數</val>
          </value>
        </values>
      </ddeItem>
      <ddeItem name="DWFB1.406" advise="1">
        <values>
          <value t="str">
            <val xml:space="preserve"> -</val>
          </value>
        </values>
      </ddeItem>
      <ddeItem name="DWFB1.407" advise="1">
        <values>
          <value t="str">
            <val xml:space="preserve"> -</val>
          </value>
        </values>
      </ddeItem>
      <ddeItem name="DWFB1.431" advise="1">
        <values>
          <value t="str">
            <val>-</val>
          </value>
        </values>
      </ddeItem>
      <ddeItem name="DWFB1.437" advise="1">
        <values>
          <value t="str">
            <val xml:space="preserve"> -</val>
          </value>
        </values>
      </ddeItem>
      <ddeItem name="DXFB1.123" advise="1">
        <values>
          <value>
            <val>100150</val>
          </value>
        </values>
      </ddeItem>
      <ddeItem name="DXFB1.124" advise="1">
        <values>
          <value>
            <val>16421.62</val>
          </value>
        </values>
      </ddeItem>
      <ddeItem name="DXFB1.125" advise="1">
        <values>
          <value>
            <val>-21.78</val>
          </value>
        </values>
      </ddeItem>
      <ddeItem name="DXFB1.128" advise="1">
        <values>
          <value>
            <val>2439</val>
          </value>
        </values>
      </ddeItem>
      <ddeItem name="DXFB1.130" advise="1">
        <values>
          <value>
            <val>16329.54</val>
          </value>
        </values>
      </ddeItem>
      <ddeItem name="DXFB1.131" advise="1">
        <values>
          <value>
            <val>16456.939999999999</val>
          </value>
        </values>
      </ddeItem>
      <ddeItem name="DXFB1.132" advise="1">
        <values>
          <value>
            <val>16329.54</val>
          </value>
        </values>
      </ddeItem>
      <ddeItem name="DXFB1.133" advise="1">
        <values>
          <value>
            <val>4027056</val>
          </value>
        </values>
      </ddeItem>
      <ddeItem name="DXFB1.135" advise="1">
        <values>
          <value t="str">
            <val xml:space="preserve"> -</val>
          </value>
        </values>
      </ddeItem>
      <ddeItem name="DXFB1.136" advise="1">
        <values>
          <value t="str">
            <val xml:space="preserve"> -</val>
          </value>
        </values>
      </ddeItem>
      <ddeItem name="DXFB1.201" advise="1">
        <values>
          <value t="str">
            <val xml:space="preserve"> -</val>
          </value>
        </values>
      </ddeItem>
      <ddeItem name="DXFB1.202" advise="1">
        <values>
          <value t="str">
            <val xml:space="preserve"> -</val>
          </value>
        </values>
      </ddeItem>
      <ddeItem name="DXFB1.203" advise="1">
        <values>
          <value t="str">
            <val xml:space="preserve"> -</val>
          </value>
        </values>
      </ddeItem>
      <ddeItem name="DXFB1.204" advise="1">
        <values>
          <value t="str">
            <val xml:space="preserve"> -</val>
          </value>
        </values>
      </ddeItem>
      <ddeItem name="DXFB1.205" advise="1">
        <values>
          <value t="str">
            <val xml:space="preserve"> -</val>
          </value>
        </values>
      </ddeItem>
      <ddeItem name="DXFB1.211" advise="1">
        <values>
          <value t="str">
            <val xml:space="preserve"> -</val>
          </value>
        </values>
      </ddeItem>
      <ddeItem name="DXFB1.212" advise="1">
        <values>
          <value t="str">
            <val xml:space="preserve"> -</val>
          </value>
        </values>
      </ddeItem>
      <ddeItem name="DXFB1.213" advise="1">
        <values>
          <value t="str">
            <val xml:space="preserve"> -</val>
          </value>
        </values>
      </ddeItem>
      <ddeItem name="DXFB1.214" advise="1">
        <values>
          <value t="str">
            <val xml:space="preserve"> -</val>
          </value>
        </values>
      </ddeItem>
      <ddeItem name="DXFB1.215" advise="1">
        <values>
          <value t="str">
            <val xml:space="preserve"> -</val>
          </value>
        </values>
      </ddeItem>
      <ddeItem name="DXFB1.221" advise="1">
        <values>
          <value t="str">
            <val>-</val>
          </value>
        </values>
      </ddeItem>
      <ddeItem name="DXFB1.222" advise="1">
        <values>
          <value t="str">
            <val>-</val>
          </value>
        </values>
      </ddeItem>
      <ddeItem name="DXFB1.223" advise="1">
        <values>
          <value t="str">
            <val>-</val>
          </value>
        </values>
      </ddeItem>
      <ddeItem name="DXFB1.224" advise="1">
        <values>
          <value t="str">
            <val>-</val>
          </value>
        </values>
      </ddeItem>
      <ddeItem name="DXFB1.225" advise="1">
        <values>
          <value t="str">
            <val>-</val>
          </value>
        </values>
      </ddeItem>
      <ddeItem name="DXFB1.231" advise="1">
        <values>
          <value t="str">
            <val>-</val>
          </value>
        </values>
      </ddeItem>
      <ddeItem name="DXFB1.232" advise="1">
        <values>
          <value t="str">
            <val>-</val>
          </value>
        </values>
      </ddeItem>
      <ddeItem name="DXFB1.233" advise="1">
        <values>
          <value t="str">
            <val>-</val>
          </value>
        </values>
      </ddeItem>
      <ddeItem name="DXFB1.234" advise="1">
        <values>
          <value t="str">
            <val>-</val>
          </value>
        </values>
      </ddeItem>
      <ddeItem name="DXFB1.235" advise="1">
        <values>
          <value t="str">
            <val>-</val>
          </value>
        </values>
      </ddeItem>
      <ddeItem name="DXFB1.402" advise="1">
        <values>
          <value t="str">
            <val>加權指數</val>
          </value>
        </values>
      </ddeItem>
      <ddeItem name="DXFB1.406" advise="1">
        <values>
          <value t="str">
            <val xml:space="preserve"> -</val>
          </value>
        </values>
      </ddeItem>
      <ddeItem name="DXFB1.407" advise="1">
        <values>
          <value t="str">
            <val xml:space="preserve"> -</val>
          </value>
        </values>
      </ddeItem>
      <ddeItem name="DXFB1.431" advise="1">
        <values>
          <value t="str">
            <val>-</val>
          </value>
        </values>
      </ddeItem>
      <ddeItem name="DXFB1.437" advise="1">
        <values>
          <value t="str">
            <val xml:space="preserve"> -</val>
          </value>
        </values>
      </ddeItem>
      <ddeItem name="DYFB1.123" advise="1">
        <values>
          <value>
            <val>100150</val>
          </value>
        </values>
      </ddeItem>
      <ddeItem name="DYFB1.124" advise="1">
        <values>
          <value>
            <val>16421.62</val>
          </value>
        </values>
      </ddeItem>
      <ddeItem name="DYFB1.125" advise="1">
        <values>
          <value>
            <val>-21.78</val>
          </value>
        </values>
      </ddeItem>
      <ddeItem name="DYFB1.128" advise="1">
        <values>
          <value>
            <val>2439</val>
          </value>
        </values>
      </ddeItem>
      <ddeItem name="DYFB1.130" advise="1">
        <values>
          <value>
            <val>16329.54</val>
          </value>
        </values>
      </ddeItem>
      <ddeItem name="DYFB1.131" advise="1">
        <values>
          <value>
            <val>16456.939999999999</val>
          </value>
        </values>
      </ddeItem>
      <ddeItem name="DYFB1.132" advise="1">
        <values>
          <value>
            <val>16329.54</val>
          </value>
        </values>
      </ddeItem>
      <ddeItem name="DYFB1.133" advise="1">
        <values>
          <value>
            <val>4027056</val>
          </value>
        </values>
      </ddeItem>
      <ddeItem name="DYFB1.135" advise="1">
        <values>
          <value t="str">
            <val xml:space="preserve"> -</val>
          </value>
        </values>
      </ddeItem>
      <ddeItem name="DYFB1.136" advise="1">
        <values>
          <value t="str">
            <val xml:space="preserve"> -</val>
          </value>
        </values>
      </ddeItem>
      <ddeItem name="DYFB1.201" advise="1">
        <values>
          <value t="str">
            <val xml:space="preserve"> -</val>
          </value>
        </values>
      </ddeItem>
      <ddeItem name="DYFB1.202" advise="1">
        <values>
          <value t="str">
            <val xml:space="preserve"> -</val>
          </value>
        </values>
      </ddeItem>
      <ddeItem name="DYFB1.203" advise="1">
        <values>
          <value t="str">
            <val xml:space="preserve"> -</val>
          </value>
        </values>
      </ddeItem>
      <ddeItem name="DYFB1.204" advise="1">
        <values>
          <value t="str">
            <val xml:space="preserve"> -</val>
          </value>
        </values>
      </ddeItem>
      <ddeItem name="DYFB1.205" advise="1">
        <values>
          <value t="str">
            <val xml:space="preserve"> -</val>
          </value>
        </values>
      </ddeItem>
      <ddeItem name="DYFB1.211" advise="1">
        <values>
          <value t="str">
            <val xml:space="preserve"> -</val>
          </value>
        </values>
      </ddeItem>
      <ddeItem name="DYFB1.212" advise="1">
        <values>
          <value t="str">
            <val xml:space="preserve"> -</val>
          </value>
        </values>
      </ddeItem>
      <ddeItem name="DYFB1.213" advise="1">
        <values>
          <value t="str">
            <val xml:space="preserve"> -</val>
          </value>
        </values>
      </ddeItem>
      <ddeItem name="DYFB1.214" advise="1">
        <values>
          <value t="str">
            <val xml:space="preserve"> -</val>
          </value>
        </values>
      </ddeItem>
      <ddeItem name="DYFB1.215" advise="1">
        <values>
          <value t="str">
            <val xml:space="preserve"> -</val>
          </value>
        </values>
      </ddeItem>
      <ddeItem name="DYFB1.221" advise="1">
        <values>
          <value t="str">
            <val>-</val>
          </value>
        </values>
      </ddeItem>
      <ddeItem name="DYFB1.222" advise="1">
        <values>
          <value t="str">
            <val>-</val>
          </value>
        </values>
      </ddeItem>
      <ddeItem name="DYFB1.223" advise="1">
        <values>
          <value t="str">
            <val>-</val>
          </value>
        </values>
      </ddeItem>
      <ddeItem name="DYFB1.224" advise="1">
        <values>
          <value t="str">
            <val>-</val>
          </value>
        </values>
      </ddeItem>
      <ddeItem name="DYFB1.225" advise="1">
        <values>
          <value t="str">
            <val>-</val>
          </value>
        </values>
      </ddeItem>
      <ddeItem name="DYFB1.231" advise="1">
        <values>
          <value t="str">
            <val>-</val>
          </value>
        </values>
      </ddeItem>
      <ddeItem name="DYFB1.232" advise="1">
        <values>
          <value t="str">
            <val>-</val>
          </value>
        </values>
      </ddeItem>
      <ddeItem name="DYFB1.233" advise="1">
        <values>
          <value t="str">
            <val>-</val>
          </value>
        </values>
      </ddeItem>
      <ddeItem name="DYFB1.234" advise="1">
        <values>
          <value t="str">
            <val>-</val>
          </value>
        </values>
      </ddeItem>
      <ddeItem name="DYFB1.235" advise="1">
        <values>
          <value t="str">
            <val>-</val>
          </value>
        </values>
      </ddeItem>
      <ddeItem name="DYFB1.402" advise="1">
        <values>
          <value t="str">
            <val>加權指數</val>
          </value>
        </values>
      </ddeItem>
      <ddeItem name="DYFB1.406" advise="1">
        <values>
          <value t="str">
            <val xml:space="preserve"> -</val>
          </value>
        </values>
      </ddeItem>
      <ddeItem name="DYFB1.407" advise="1">
        <values>
          <value t="str">
            <val xml:space="preserve"> -</val>
          </value>
        </values>
      </ddeItem>
      <ddeItem name="DYFB1.431" advise="1">
        <values>
          <value t="str">
            <val>-</val>
          </value>
        </values>
      </ddeItem>
      <ddeItem name="DYFB1.437" advise="1">
        <values>
          <value t="str">
            <val xml:space="preserve"> -</val>
          </value>
        </values>
      </ddeItem>
      <ddeItem name="DZFB1.123" advise="1">
        <values>
          <value>
            <val>100150</val>
          </value>
        </values>
      </ddeItem>
      <ddeItem name="DZFB1.124" advise="1">
        <values>
          <value>
            <val>16421.62</val>
          </value>
        </values>
      </ddeItem>
      <ddeItem name="DZFB1.125" advise="1">
        <values>
          <value>
            <val>-21.78</val>
          </value>
        </values>
      </ddeItem>
      <ddeItem name="DZFB1.128" advise="1">
        <values>
          <value>
            <val>2439</val>
          </value>
        </values>
      </ddeItem>
      <ddeItem name="DZFB1.130" advise="1">
        <values>
          <value>
            <val>16329.54</val>
          </value>
        </values>
      </ddeItem>
      <ddeItem name="DZFB1.131" advise="1">
        <values>
          <value>
            <val>16456.939999999999</val>
          </value>
        </values>
      </ddeItem>
      <ddeItem name="DZFB1.132" advise="1">
        <values>
          <value>
            <val>16329.54</val>
          </value>
        </values>
      </ddeItem>
      <ddeItem name="DZFB1.133" advise="1">
        <values>
          <value>
            <val>4027056</val>
          </value>
        </values>
      </ddeItem>
      <ddeItem name="DZFB1.135" advise="1">
        <values>
          <value t="str">
            <val xml:space="preserve"> -</val>
          </value>
        </values>
      </ddeItem>
      <ddeItem name="DZFB1.136" advise="1">
        <values>
          <value t="str">
            <val xml:space="preserve"> -</val>
          </value>
        </values>
      </ddeItem>
      <ddeItem name="DZFB1.201" advise="1">
        <values>
          <value t="str">
            <val xml:space="preserve"> -</val>
          </value>
        </values>
      </ddeItem>
      <ddeItem name="DZFB1.202" advise="1">
        <values>
          <value t="str">
            <val xml:space="preserve"> -</val>
          </value>
        </values>
      </ddeItem>
      <ddeItem name="DZFB1.203" advise="1">
        <values>
          <value t="str">
            <val xml:space="preserve"> -</val>
          </value>
        </values>
      </ddeItem>
      <ddeItem name="DZFB1.204" advise="1">
        <values>
          <value t="str">
            <val xml:space="preserve"> -</val>
          </value>
        </values>
      </ddeItem>
      <ddeItem name="DZFB1.205" advise="1">
        <values>
          <value t="str">
            <val xml:space="preserve"> -</val>
          </value>
        </values>
      </ddeItem>
      <ddeItem name="DZFB1.211" advise="1">
        <values>
          <value t="str">
            <val xml:space="preserve"> -</val>
          </value>
        </values>
      </ddeItem>
      <ddeItem name="DZFB1.212" advise="1">
        <values>
          <value t="str">
            <val xml:space="preserve"> -</val>
          </value>
        </values>
      </ddeItem>
      <ddeItem name="DZFB1.213" advise="1">
        <values>
          <value t="str">
            <val xml:space="preserve"> -</val>
          </value>
        </values>
      </ddeItem>
      <ddeItem name="DZFB1.214" advise="1">
        <values>
          <value t="str">
            <val xml:space="preserve"> -</val>
          </value>
        </values>
      </ddeItem>
      <ddeItem name="DZFB1.215" advise="1">
        <values>
          <value t="str">
            <val xml:space="preserve"> -</val>
          </value>
        </values>
      </ddeItem>
      <ddeItem name="DZFB1.221" advise="1">
        <values>
          <value t="str">
            <val>-</val>
          </value>
        </values>
      </ddeItem>
      <ddeItem name="DZFB1.222" advise="1">
        <values>
          <value t="str">
            <val>-</val>
          </value>
        </values>
      </ddeItem>
      <ddeItem name="DZFB1.223" advise="1">
        <values>
          <value t="str">
            <val>-</val>
          </value>
        </values>
      </ddeItem>
      <ddeItem name="DZFB1.224" advise="1">
        <values>
          <value t="str">
            <val>-</val>
          </value>
        </values>
      </ddeItem>
      <ddeItem name="DZFB1.225" advise="1">
        <values>
          <value t="str">
            <val>-</val>
          </value>
        </values>
      </ddeItem>
      <ddeItem name="DZFB1.231" advise="1">
        <values>
          <value t="str">
            <val>-</val>
          </value>
        </values>
      </ddeItem>
      <ddeItem name="DZFB1.232" advise="1">
        <values>
          <value t="str">
            <val>-</val>
          </value>
        </values>
      </ddeItem>
      <ddeItem name="DZFB1.233" advise="1">
        <values>
          <value t="str">
            <val>-</val>
          </value>
        </values>
      </ddeItem>
      <ddeItem name="DZFB1.234" advise="1">
        <values>
          <value t="str">
            <val>-</val>
          </value>
        </values>
      </ddeItem>
      <ddeItem name="DZFB1.235" advise="1">
        <values>
          <value t="str">
            <val>-</val>
          </value>
        </values>
      </ddeItem>
      <ddeItem name="DZFB1.402" advise="1">
        <values>
          <value t="str">
            <val>加權指數</val>
          </value>
        </values>
      </ddeItem>
      <ddeItem name="DZFB1.406" advise="1">
        <values>
          <value t="str">
            <val xml:space="preserve"> -</val>
          </value>
        </values>
      </ddeItem>
      <ddeItem name="DZFB1.407" advise="1">
        <values>
          <value t="str">
            <val xml:space="preserve"> -</val>
          </value>
        </values>
      </ddeItem>
      <ddeItem name="DZFB1.431" advise="1">
        <values>
          <value t="str">
            <val>-</val>
          </value>
        </values>
      </ddeItem>
      <ddeItem name="DZFB1.437" advise="1">
        <values>
          <value t="str">
            <val xml:space="preserve"> -</val>
          </value>
        </values>
      </ddeItem>
      <ddeItem name="EEFB1.123" advise="1">
        <values>
          <value>
            <val>100135</val>
          </value>
        </values>
      </ddeItem>
      <ddeItem name="EEFB1.124" advise="1">
        <values>
          <value>
            <val>16424.64</val>
          </value>
        </values>
      </ddeItem>
      <ddeItem name="EEFB1.125" advise="1">
        <values>
          <value>
            <val>-18.760000000000002</val>
          </value>
        </values>
      </ddeItem>
      <ddeItem name="EEFB1.128" advise="1">
        <values>
          <value>
            <val>1648</val>
          </value>
        </values>
      </ddeItem>
      <ddeItem name="EEFB1.130" advise="1">
        <values>
          <value>
            <val>16329.54</val>
          </value>
        </values>
      </ddeItem>
      <ddeItem name="EEFB1.131" advise="1">
        <values>
          <value>
            <val>16456.939999999999</val>
          </value>
        </values>
      </ddeItem>
      <ddeItem name="EEFB1.132" advise="1">
        <values>
          <value>
            <val>16329.54</val>
          </value>
        </values>
      </ddeItem>
      <ddeItem name="EEFB1.133" advise="1">
        <values>
          <value>
            <val>4020107</val>
          </value>
        </values>
      </ddeItem>
      <ddeItem name="EEFB1.135" advise="1">
        <values>
          <value t="str">
            <val xml:space="preserve"> -</val>
          </value>
        </values>
      </ddeItem>
      <ddeItem name="EEFB1.136" advise="1">
        <values>
          <value t="str">
            <val xml:space="preserve"> -</val>
          </value>
        </values>
      </ddeItem>
      <ddeItem name="EEFB1.201" advise="1">
        <values>
          <value t="str">
            <val xml:space="preserve"> -</val>
          </value>
        </values>
      </ddeItem>
      <ddeItem name="EEFB1.202" advise="1">
        <values>
          <value t="str">
            <val xml:space="preserve"> -</val>
          </value>
        </values>
      </ddeItem>
      <ddeItem name="EEFB1.203" advise="1">
        <values>
          <value t="str">
            <val xml:space="preserve"> -</val>
          </value>
        </values>
      </ddeItem>
      <ddeItem name="EEFB1.204" advise="1">
        <values>
          <value t="str">
            <val xml:space="preserve"> -</val>
          </value>
        </values>
      </ddeItem>
      <ddeItem name="EEFB1.205" advise="1">
        <values>
          <value t="str">
            <val xml:space="preserve"> -</val>
          </value>
        </values>
      </ddeItem>
      <ddeItem name="EEFB1.211" advise="1">
        <values>
          <value t="str">
            <val xml:space="preserve"> -</val>
          </value>
        </values>
      </ddeItem>
      <ddeItem name="EEFB1.212" advise="1">
        <values>
          <value t="str">
            <val xml:space="preserve"> -</val>
          </value>
        </values>
      </ddeItem>
      <ddeItem name="EEFB1.213" advise="1">
        <values>
          <value t="str">
            <val xml:space="preserve"> -</val>
          </value>
        </values>
      </ddeItem>
      <ddeItem name="EEFB1.214" advise="1">
        <values>
          <value t="str">
            <val xml:space="preserve"> -</val>
          </value>
        </values>
      </ddeItem>
      <ddeItem name="EEFB1.215" advise="1">
        <values>
          <value t="str">
            <val xml:space="preserve"> -</val>
          </value>
        </values>
      </ddeItem>
      <ddeItem name="EEFB1.221" advise="1">
        <values>
          <value t="str">
            <val>-</val>
          </value>
        </values>
      </ddeItem>
      <ddeItem name="EEFB1.222" advise="1">
        <values>
          <value t="str">
            <val>-</val>
          </value>
        </values>
      </ddeItem>
      <ddeItem name="EEFB1.223" advise="1">
        <values>
          <value t="str">
            <val>-</val>
          </value>
        </values>
      </ddeItem>
      <ddeItem name="EEFB1.224" advise="1">
        <values>
          <value t="str">
            <val>-</val>
          </value>
        </values>
      </ddeItem>
      <ddeItem name="EEFB1.225" advise="1">
        <values>
          <value t="str">
            <val>-</val>
          </value>
        </values>
      </ddeItem>
      <ddeItem name="EEFB1.231" advise="1">
        <values>
          <value t="str">
            <val>-</val>
          </value>
        </values>
      </ddeItem>
      <ddeItem name="EEFB1.232" advise="1">
        <values>
          <value t="str">
            <val>-</val>
          </value>
        </values>
      </ddeItem>
      <ddeItem name="EEFB1.233" advise="1">
        <values>
          <value t="str">
            <val>-</val>
          </value>
        </values>
      </ddeItem>
      <ddeItem name="EEFB1.234" advise="1">
        <values>
          <value t="str">
            <val>-</val>
          </value>
        </values>
      </ddeItem>
      <ddeItem name="EEFB1.235" advise="1">
        <values>
          <value t="str">
            <val>-</val>
          </value>
        </values>
      </ddeItem>
      <ddeItem name="EEFB1.402" advise="1">
        <values>
          <value t="str">
            <val>加權指數</val>
          </value>
        </values>
      </ddeItem>
      <ddeItem name="EEFB1.406" advise="1">
        <values>
          <value t="str">
            <val xml:space="preserve"> -</val>
          </value>
        </values>
      </ddeItem>
      <ddeItem name="EEFB1.407" advise="1">
        <values>
          <value t="str">
            <val xml:space="preserve"> -</val>
          </value>
        </values>
      </ddeItem>
      <ddeItem name="EEFB1.431" advise="1">
        <values>
          <value t="str">
            <val>-</val>
          </value>
        </values>
      </ddeItem>
      <ddeItem name="EEFB1.437" advise="1">
        <values>
          <value t="str">
            <val xml:space="preserve"> -</val>
          </value>
        </values>
      </ddeItem>
      <ddeItem name="EGFB1.123" advise="1">
        <values>
          <value>
            <val>100125</val>
          </value>
        </values>
      </ddeItem>
      <ddeItem name="EGFB1.124" advise="1">
        <values>
          <value>
            <val>16429</val>
          </value>
        </values>
      </ddeItem>
      <ddeItem name="EGFB1.125" advise="1">
        <values>
          <value>
            <val>-14.4</val>
          </value>
        </values>
      </ddeItem>
      <ddeItem name="EGFB1.128" advise="1">
        <values>
          <value>
            <val>2036</val>
          </value>
        </values>
      </ddeItem>
      <ddeItem name="EGFB1.130" advise="1">
        <values>
          <value>
            <val>16329.54</val>
          </value>
        </values>
      </ddeItem>
      <ddeItem name="EGFB1.131" advise="1">
        <values>
          <value>
            <val>16456.939999999999</val>
          </value>
        </values>
      </ddeItem>
      <ddeItem name="EGFB1.132" advise="1">
        <values>
          <value>
            <val>16329.54</val>
          </value>
        </values>
      </ddeItem>
      <ddeItem name="EGFB1.133" advise="1">
        <values>
          <value>
            <val>4015112</val>
          </value>
        </values>
      </ddeItem>
      <ddeItem name="EGFB1.135" advise="1">
        <values>
          <value t="str">
            <val xml:space="preserve"> -</val>
          </value>
        </values>
      </ddeItem>
      <ddeItem name="EGFB1.136" advise="1">
        <values>
          <value t="str">
            <val xml:space="preserve"> -</val>
          </value>
        </values>
      </ddeItem>
      <ddeItem name="EGFB1.201" advise="1">
        <values>
          <value t="str">
            <val xml:space="preserve"> -</val>
          </value>
        </values>
      </ddeItem>
      <ddeItem name="EGFB1.202" advise="1">
        <values>
          <value t="str">
            <val xml:space="preserve"> -</val>
          </value>
        </values>
      </ddeItem>
      <ddeItem name="EGFB1.203" advise="1">
        <values>
          <value t="str">
            <val xml:space="preserve"> -</val>
          </value>
        </values>
      </ddeItem>
      <ddeItem name="EGFB1.204" advise="1">
        <values>
          <value t="str">
            <val xml:space="preserve"> -</val>
          </value>
        </values>
      </ddeItem>
      <ddeItem name="EGFB1.205" advise="1">
        <values>
          <value t="str">
            <val xml:space="preserve"> -</val>
          </value>
        </values>
      </ddeItem>
      <ddeItem name="EGFB1.211" advise="1">
        <values>
          <value t="str">
            <val xml:space="preserve"> -</val>
          </value>
        </values>
      </ddeItem>
      <ddeItem name="EGFB1.212" advise="1">
        <values>
          <value t="str">
            <val xml:space="preserve"> -</val>
          </value>
        </values>
      </ddeItem>
      <ddeItem name="EGFB1.213" advise="1">
        <values>
          <value t="str">
            <val xml:space="preserve"> -</val>
          </value>
        </values>
      </ddeItem>
      <ddeItem name="EGFB1.214" advise="1">
        <values>
          <value t="str">
            <val xml:space="preserve"> -</val>
          </value>
        </values>
      </ddeItem>
      <ddeItem name="EGFB1.215" advise="1">
        <values>
          <value t="str">
            <val xml:space="preserve"> -</val>
          </value>
        </values>
      </ddeItem>
      <ddeItem name="EGFB1.221" advise="1">
        <values>
          <value t="str">
            <val>-</val>
          </value>
        </values>
      </ddeItem>
      <ddeItem name="EGFB1.222" advise="1">
        <values>
          <value t="str">
            <val>-</val>
          </value>
        </values>
      </ddeItem>
      <ddeItem name="EGFB1.223" advise="1">
        <values>
          <value t="str">
            <val>-</val>
          </value>
        </values>
      </ddeItem>
      <ddeItem name="EGFB1.224" advise="1">
        <values>
          <value t="str">
            <val>-</val>
          </value>
        </values>
      </ddeItem>
      <ddeItem name="EGFB1.225" advise="1">
        <values>
          <value t="str">
            <val>-</val>
          </value>
        </values>
      </ddeItem>
      <ddeItem name="EGFB1.231" advise="1">
        <values>
          <value t="str">
            <val>-</val>
          </value>
        </values>
      </ddeItem>
      <ddeItem name="EGFB1.232" advise="1">
        <values>
          <value t="str">
            <val>-</val>
          </value>
        </values>
      </ddeItem>
      <ddeItem name="EGFB1.233" advise="1">
        <values>
          <value t="str">
            <val>-</val>
          </value>
        </values>
      </ddeItem>
      <ddeItem name="EGFB1.234" advise="1">
        <values>
          <value t="str">
            <val>-</val>
          </value>
        </values>
      </ddeItem>
      <ddeItem name="EGFB1.235" advise="1">
        <values>
          <value t="str">
            <val>-</val>
          </value>
        </values>
      </ddeItem>
      <ddeItem name="EGFB1.402" advise="1">
        <values>
          <value t="str">
            <val>加權指數</val>
          </value>
        </values>
      </ddeItem>
      <ddeItem name="EGFB1.406" advise="1">
        <values>
          <value t="str">
            <val xml:space="preserve"> -</val>
          </value>
        </values>
      </ddeItem>
      <ddeItem name="EGFB1.407" advise="1">
        <values>
          <value t="str">
            <val xml:space="preserve"> -</val>
          </value>
        </values>
      </ddeItem>
      <ddeItem name="EGFB1.431" advise="1">
        <values>
          <value t="str">
            <val>-</val>
          </value>
        </values>
      </ddeItem>
      <ddeItem name="EGFB1.437" advise="1">
        <values>
          <value t="str">
            <val xml:space="preserve"> -</val>
          </value>
        </values>
      </ddeItem>
      <ddeItem name="EHFB1.123" advise="1">
        <values>
          <value>
            <val>100150</val>
          </value>
        </values>
      </ddeItem>
      <ddeItem name="EHFB1.124" advise="1">
        <values>
          <value>
            <val>13900.72</val>
          </value>
        </values>
      </ddeItem>
      <ddeItem name="EHFB1.125" advise="1">
        <values>
          <value>
            <val>14.14</val>
          </value>
        </values>
      </ddeItem>
      <ddeItem name="EHFB1.128" advise="1">
        <values>
          <value>
            <val>887</val>
          </value>
        </values>
      </ddeItem>
      <ddeItem name="EHFB1.130" advise="1">
        <values>
          <value>
            <val>13893.03</val>
          </value>
        </values>
      </ddeItem>
      <ddeItem name="EHFB1.131" advise="1">
        <values>
          <value>
            <val>13945.78</val>
          </value>
        </values>
      </ddeItem>
      <ddeItem name="EHFB1.132" advise="1">
        <values>
          <value>
            <val>13875.82</val>
          </value>
        </values>
      </ddeItem>
      <ddeItem name="EHFB1.133" advise="1">
        <values>
          <value>
            <val>873827</val>
          </value>
        </values>
      </ddeItem>
      <ddeItem name="EHFB1.135" advise="1">
        <values>
          <value t="str">
            <val xml:space="preserve"> -</val>
          </value>
        </values>
      </ddeItem>
      <ddeItem name="EHFB1.136" advise="1">
        <values>
          <value t="str">
            <val xml:space="preserve"> -</val>
          </value>
        </values>
      </ddeItem>
      <ddeItem name="EHFB1.201" advise="1">
        <values>
          <value t="str">
            <val xml:space="preserve"> -</val>
          </value>
        </values>
      </ddeItem>
      <ddeItem name="EHFB1.202" advise="1">
        <values>
          <value t="str">
            <val xml:space="preserve"> -</val>
          </value>
        </values>
      </ddeItem>
      <ddeItem name="EHFB1.203" advise="1">
        <values>
          <value t="str">
            <val xml:space="preserve"> -</val>
          </value>
        </values>
      </ddeItem>
      <ddeItem name="EHFB1.204" advise="1">
        <values>
          <value t="str">
            <val xml:space="preserve"> -</val>
          </value>
        </values>
      </ddeItem>
      <ddeItem name="EHFB1.205" advise="1">
        <values>
          <value t="str">
            <val xml:space="preserve"> -</val>
          </value>
        </values>
      </ddeItem>
      <ddeItem name="EHFB1.211" advise="1">
        <values>
          <value t="str">
            <val xml:space="preserve"> -</val>
          </value>
        </values>
      </ddeItem>
      <ddeItem name="EHFB1.212" advise="1">
        <values>
          <value t="str">
            <val xml:space="preserve"> -</val>
          </value>
        </values>
      </ddeItem>
      <ddeItem name="EHFB1.213" advise="1">
        <values>
          <value t="str">
            <val xml:space="preserve"> -</val>
          </value>
        </values>
      </ddeItem>
      <ddeItem name="EHFB1.214" advise="1">
        <values>
          <value t="str">
            <val xml:space="preserve"> -</val>
          </value>
        </values>
      </ddeItem>
      <ddeItem name="EHFB1.215" advise="1">
        <values>
          <value t="str">
            <val xml:space="preserve"> -</val>
          </value>
        </values>
      </ddeItem>
      <ddeItem name="EHFB1.221" advise="1">
        <values>
          <value t="str">
            <val>-</val>
          </value>
        </values>
      </ddeItem>
      <ddeItem name="EHFB1.222" advise="1">
        <values>
          <value t="str">
            <val>-</val>
          </value>
        </values>
      </ddeItem>
      <ddeItem name="EHFB1.223" advise="1">
        <values>
          <value t="str">
            <val>-</val>
          </value>
        </values>
      </ddeItem>
      <ddeItem name="EHFB1.224" advise="1">
        <values>
          <value t="str">
            <val>-</val>
          </value>
        </values>
      </ddeItem>
      <ddeItem name="EHFB1.225" advise="1">
        <values>
          <value t="str">
            <val>-</val>
          </value>
        </values>
      </ddeItem>
      <ddeItem name="EHFB1.231" advise="1">
        <values>
          <value t="str">
            <val>-</val>
          </value>
        </values>
      </ddeItem>
      <ddeItem name="EHFB1.232" advise="1">
        <values>
          <value t="str">
            <val>-</val>
          </value>
        </values>
      </ddeItem>
      <ddeItem name="EHFB1.233" advise="1">
        <values>
          <value t="str">
            <val>-</val>
          </value>
        </values>
      </ddeItem>
      <ddeItem name="EHFB1.234" advise="1">
        <values>
          <value t="str">
            <val>-</val>
          </value>
        </values>
      </ddeItem>
      <ddeItem name="EHFB1.235" advise="1">
        <values>
          <value t="str">
            <val>-</val>
          </value>
        </values>
      </ddeItem>
      <ddeItem name="EHFB1.402" advise="1">
        <values>
          <value t="str">
            <val>不含金電</val>
          </value>
        </values>
      </ddeItem>
      <ddeItem name="EHFB1.406" advise="1">
        <values>
          <value t="str">
            <val xml:space="preserve"> -</val>
          </value>
        </values>
      </ddeItem>
      <ddeItem name="EHFB1.407" advise="1">
        <values>
          <value t="str">
            <val xml:space="preserve"> -</val>
          </value>
        </values>
      </ddeItem>
      <ddeItem name="EHFB1.431" advise="1">
        <values>
          <value t="str">
            <val>-</val>
          </value>
        </values>
      </ddeItem>
      <ddeItem name="EHFB1.437" advise="1">
        <values>
          <value t="str">
            <val xml:space="preserve"> -</val>
          </value>
        </values>
      </ddeItem>
      <ddeItem name="EMFB1.123" advise="1">
        <values>
          <value>
            <val>0</val>
          </value>
        </values>
      </ddeItem>
      <ddeItem name="EMFB1.124" advise="1">
        <values>
          <value>
            <val>20878632</val>
          </value>
        </values>
      </ddeItem>
      <ddeItem name="EMFB1.125" advise="1">
        <values>
          <value t="str">
            <val xml:space="preserve"> </val>
          </value>
        </values>
      </ddeItem>
      <ddeItem name="EMFB1.128" advise="1">
        <values>
          <value>
            <val>1212870150</val>
          </value>
        </values>
      </ddeItem>
      <ddeItem name="EMFB1.130" advise="1">
        <values>
          <value>
            <val>20803788</val>
          </value>
        </values>
      </ddeItem>
      <ddeItem name="EMFB1.131" advise="1">
        <values>
          <value>
            <val>20804690</val>
          </value>
        </values>
      </ddeItem>
      <ddeItem name="EMFB1.132" advise="1">
        <values>
          <value>
            <val>10989732</val>
          </value>
        </values>
      </ddeItem>
      <ddeItem name="EMFB1.133" advise="1">
        <values>
          <value>
            <val>2088371110</val>
          </value>
        </values>
      </ddeItem>
      <ddeItem name="EMFB1.135" advise="1">
        <values>
          <value t="str">
            <val xml:space="preserve"> -</val>
          </value>
        </values>
      </ddeItem>
      <ddeItem name="EMFB1.136" advise="1">
        <values>
          <value t="str">
            <val xml:space="preserve"> -</val>
          </value>
        </values>
      </ddeItem>
      <ddeItem name="EMFB1.201" advise="1">
        <values>
          <value t="str">
            <val xml:space="preserve"> -</val>
          </value>
        </values>
      </ddeItem>
      <ddeItem name="EMFB1.202" advise="1">
        <values>
          <value t="str">
            <val xml:space="preserve"> -</val>
          </value>
        </values>
      </ddeItem>
      <ddeItem name="EMFB1.203" advise="1">
        <values>
          <value t="str">
            <val xml:space="preserve"> -</val>
          </value>
        </values>
      </ddeItem>
      <ddeItem name="EMFB1.204" advise="1">
        <values>
          <value t="str">
            <val xml:space="preserve"> -</val>
          </value>
        </values>
      </ddeItem>
      <ddeItem name="EMFB1.205" advise="1">
        <values>
          <value t="str">
            <val xml:space="preserve"> -</val>
          </value>
        </values>
      </ddeItem>
      <ddeItem name="EMFB1.211" advise="1">
        <values>
          <value t="str">
            <val xml:space="preserve"> -</val>
          </value>
        </values>
      </ddeItem>
      <ddeItem name="EMFB1.212" advise="1">
        <values>
          <value t="str">
            <val xml:space="preserve"> -</val>
          </value>
        </values>
      </ddeItem>
      <ddeItem name="EMFB1.213" advise="1">
        <values>
          <value t="str">
            <val xml:space="preserve"> -</val>
          </value>
        </values>
      </ddeItem>
      <ddeItem name="EMFB1.214" advise="1">
        <values>
          <value t="str">
            <val xml:space="preserve"> -</val>
          </value>
        </values>
      </ddeItem>
      <ddeItem name="EMFB1.215" advise="1">
        <values>
          <value t="str">
            <val xml:space="preserve"> -</val>
          </value>
        </values>
      </ddeItem>
      <ddeItem name="EMFB1.221" advise="1">
        <values>
          <value t="str">
            <val>-</val>
          </value>
        </values>
      </ddeItem>
      <ddeItem name="EMFB1.222" advise="1">
        <values>
          <value t="str">
            <val>-</val>
          </value>
        </values>
      </ddeItem>
      <ddeItem name="EMFB1.223" advise="1">
        <values>
          <value t="str">
            <val>-</val>
          </value>
        </values>
      </ddeItem>
      <ddeItem name="EMFB1.224" advise="1">
        <values>
          <value t="str">
            <val>-</val>
          </value>
        </values>
      </ddeItem>
      <ddeItem name="EMFB1.225" advise="1">
        <values>
          <value t="str">
            <val>-</val>
          </value>
        </values>
      </ddeItem>
      <ddeItem name="EMFB1.231" advise="1">
        <values>
          <value t="str">
            <val>-</val>
          </value>
        </values>
      </ddeItem>
      <ddeItem name="EMFB1.232" advise="1">
        <values>
          <value t="str">
            <val>-</val>
          </value>
        </values>
      </ddeItem>
      <ddeItem name="EMFB1.233" advise="1">
        <values>
          <value t="str">
            <val>-</val>
          </value>
        </values>
      </ddeItem>
      <ddeItem name="EMFB1.234" advise="1">
        <values>
          <value t="str">
            <val>-</val>
          </value>
        </values>
      </ddeItem>
      <ddeItem name="EMFB1.235" advise="1">
        <values>
          <value t="str">
            <val>-</val>
          </value>
        </values>
      </ddeItem>
      <ddeItem name="EMFB1.402" advise="1"/>
      <ddeItem name="EMFB1.406" advise="1">
        <values>
          <value t="str">
            <val xml:space="preserve"> -</val>
          </value>
        </values>
      </ddeItem>
      <ddeItem name="EMFB1.407" advise="1">
        <values>
          <value t="str">
            <val xml:space="preserve"> -</val>
          </value>
        </values>
      </ddeItem>
      <ddeItem name="EMFB1.431" advise="1">
        <values>
          <value t="str">
            <val>-</val>
          </value>
        </values>
      </ddeItem>
      <ddeItem name="EMFB1.437" advise="1">
        <values>
          <value t="str">
            <val xml:space="preserve"> -</val>
          </value>
        </values>
      </ddeItem>
      <ddeItem name="EPFB1.123" advise="1">
        <values>
          <value>
            <val>0</val>
          </value>
        </values>
      </ddeItem>
      <ddeItem name="EPFB1.124" advise="1">
        <values>
          <value>
            <val>20878632</val>
          </value>
        </values>
      </ddeItem>
      <ddeItem name="EPFB1.125" advise="1">
        <values>
          <value t="str">
            <val xml:space="preserve"> </val>
          </value>
        </values>
      </ddeItem>
      <ddeItem name="EPFB1.128" advise="1">
        <values>
          <value>
            <val>1212870150</val>
          </value>
        </values>
      </ddeItem>
      <ddeItem name="EPFB1.130" advise="1">
        <values>
          <value>
            <val>20803788</val>
          </value>
        </values>
      </ddeItem>
      <ddeItem name="EPFB1.131" advise="1">
        <values>
          <value>
            <val>20804690</val>
          </value>
        </values>
      </ddeItem>
      <ddeItem name="EPFB1.132" advise="1">
        <values>
          <value>
            <val>10989732</val>
          </value>
        </values>
      </ddeItem>
      <ddeItem name="EPFB1.133" advise="1">
        <values>
          <value>
            <val>2088371110</val>
          </value>
        </values>
      </ddeItem>
      <ddeItem name="EPFB1.135" advise="1">
        <values>
          <value t="str">
            <val xml:space="preserve"> -</val>
          </value>
        </values>
      </ddeItem>
      <ddeItem name="EPFB1.136" advise="1">
        <values>
          <value t="str">
            <val xml:space="preserve"> -</val>
          </value>
        </values>
      </ddeItem>
      <ddeItem name="EPFB1.201" advise="1">
        <values>
          <value t="str">
            <val xml:space="preserve"> -</val>
          </value>
        </values>
      </ddeItem>
      <ddeItem name="EPFB1.202" advise="1">
        <values>
          <value t="str">
            <val xml:space="preserve"> -</val>
          </value>
        </values>
      </ddeItem>
      <ddeItem name="EPFB1.203" advise="1">
        <values>
          <value t="str">
            <val xml:space="preserve"> -</val>
          </value>
        </values>
      </ddeItem>
      <ddeItem name="EPFB1.204" advise="1">
        <values>
          <value t="str">
            <val xml:space="preserve"> -</val>
          </value>
        </values>
      </ddeItem>
      <ddeItem name="EPFB1.205" advise="1">
        <values>
          <value t="str">
            <val xml:space="preserve"> -</val>
          </value>
        </values>
      </ddeItem>
      <ddeItem name="EPFB1.211" advise="1">
        <values>
          <value t="str">
            <val xml:space="preserve"> -</val>
          </value>
        </values>
      </ddeItem>
      <ddeItem name="EPFB1.212" advise="1">
        <values>
          <value t="str">
            <val xml:space="preserve"> -</val>
          </value>
        </values>
      </ddeItem>
      <ddeItem name="EPFB1.213" advise="1">
        <values>
          <value t="str">
            <val xml:space="preserve"> -</val>
          </value>
        </values>
      </ddeItem>
      <ddeItem name="EPFB1.214" advise="1">
        <values>
          <value t="str">
            <val xml:space="preserve"> -</val>
          </value>
        </values>
      </ddeItem>
      <ddeItem name="EPFB1.215" advise="1">
        <values>
          <value t="str">
            <val xml:space="preserve"> -</val>
          </value>
        </values>
      </ddeItem>
      <ddeItem name="EPFB1.221" advise="1">
        <values>
          <value t="str">
            <val>-</val>
          </value>
        </values>
      </ddeItem>
      <ddeItem name="EPFB1.222" advise="1">
        <values>
          <value t="str">
            <val>-</val>
          </value>
        </values>
      </ddeItem>
      <ddeItem name="EPFB1.223" advise="1">
        <values>
          <value t="str">
            <val>-</val>
          </value>
        </values>
      </ddeItem>
      <ddeItem name="EPFB1.224" advise="1">
        <values>
          <value t="str">
            <val>-</val>
          </value>
        </values>
      </ddeItem>
      <ddeItem name="EPFB1.225" advise="1">
        <values>
          <value t="str">
            <val>-</val>
          </value>
        </values>
      </ddeItem>
      <ddeItem name="EPFB1.231" advise="1">
        <values>
          <value t="str">
            <val>-</val>
          </value>
        </values>
      </ddeItem>
      <ddeItem name="EPFB1.232" advise="1">
        <values>
          <value t="str">
            <val>-</val>
          </value>
        </values>
      </ddeItem>
      <ddeItem name="EPFB1.233" advise="1">
        <values>
          <value t="str">
            <val>-</val>
          </value>
        </values>
      </ddeItem>
      <ddeItem name="EPFB1.234" advise="1">
        <values>
          <value t="str">
            <val>-</val>
          </value>
        </values>
      </ddeItem>
      <ddeItem name="EPFB1.235" advise="1">
        <values>
          <value t="str">
            <val>-</val>
          </value>
        </values>
      </ddeItem>
      <ddeItem name="EPFB1.402" advise="1"/>
      <ddeItem name="EPFB1.406" advise="1">
        <values>
          <value t="str">
            <val xml:space="preserve"> -</val>
          </value>
        </values>
      </ddeItem>
      <ddeItem name="EPFB1.407" advise="1">
        <values>
          <value t="str">
            <val xml:space="preserve"> -</val>
          </value>
        </values>
      </ddeItem>
      <ddeItem name="EPFB1.431" advise="1">
        <values>
          <value t="str">
            <val>-</val>
          </value>
        </values>
      </ddeItem>
      <ddeItem name="EPFB1.437" advise="1">
        <values>
          <value t="str">
            <val xml:space="preserve"> -</val>
          </value>
        </values>
      </ddeItem>
      <ddeItem name="ERFB1.123" advise="1">
        <values>
          <value>
            <val>0</val>
          </value>
        </values>
      </ddeItem>
      <ddeItem name="ERFB1.124" advise="1">
        <values>
          <value>
            <val>20878632</val>
          </value>
        </values>
      </ddeItem>
      <ddeItem name="ERFB1.125" advise="1">
        <values>
          <value t="str">
            <val xml:space="preserve"> </val>
          </value>
        </values>
      </ddeItem>
      <ddeItem name="ERFB1.128" advise="1">
        <values>
          <value>
            <val>1212870150</val>
          </value>
        </values>
      </ddeItem>
      <ddeItem name="ERFB1.130" advise="1">
        <values>
          <value>
            <val>20803788</val>
          </value>
        </values>
      </ddeItem>
      <ddeItem name="ERFB1.131" advise="1">
        <values>
          <value>
            <val>20804690</val>
          </value>
        </values>
      </ddeItem>
      <ddeItem name="ERFB1.132" advise="1">
        <values>
          <value>
            <val>10989732</val>
          </value>
        </values>
      </ddeItem>
      <ddeItem name="ERFB1.133" advise="1">
        <values>
          <value>
            <val>2088371110</val>
          </value>
        </values>
      </ddeItem>
      <ddeItem name="ERFB1.135" advise="1">
        <values>
          <value t="str">
            <val xml:space="preserve"> -</val>
          </value>
        </values>
      </ddeItem>
      <ddeItem name="ERFB1.136" advise="1">
        <values>
          <value t="str">
            <val xml:space="preserve"> -</val>
          </value>
        </values>
      </ddeItem>
      <ddeItem name="ERFB1.201" advise="1">
        <values>
          <value t="str">
            <val xml:space="preserve"> -</val>
          </value>
        </values>
      </ddeItem>
      <ddeItem name="ERFB1.202" advise="1">
        <values>
          <value t="str">
            <val xml:space="preserve"> -</val>
          </value>
        </values>
      </ddeItem>
      <ddeItem name="ERFB1.203" advise="1">
        <values>
          <value t="str">
            <val xml:space="preserve"> -</val>
          </value>
        </values>
      </ddeItem>
      <ddeItem name="ERFB1.204" advise="1">
        <values>
          <value t="str">
            <val xml:space="preserve"> -</val>
          </value>
        </values>
      </ddeItem>
      <ddeItem name="ERFB1.205" advise="1">
        <values>
          <value t="str">
            <val xml:space="preserve"> -</val>
          </value>
        </values>
      </ddeItem>
      <ddeItem name="ERFB1.211" advise="1">
        <values>
          <value t="str">
            <val xml:space="preserve"> -</val>
          </value>
        </values>
      </ddeItem>
      <ddeItem name="ERFB1.212" advise="1">
        <values>
          <value t="str">
            <val xml:space="preserve"> -</val>
          </value>
        </values>
      </ddeItem>
      <ddeItem name="ERFB1.213" advise="1">
        <values>
          <value t="str">
            <val xml:space="preserve"> -</val>
          </value>
        </values>
      </ddeItem>
      <ddeItem name="ERFB1.214" advise="1">
        <values>
          <value t="str">
            <val xml:space="preserve"> -</val>
          </value>
        </values>
      </ddeItem>
      <ddeItem name="ERFB1.215" advise="1">
        <values>
          <value t="str">
            <val xml:space="preserve"> -</val>
          </value>
        </values>
      </ddeItem>
      <ddeItem name="ERFB1.221" advise="1">
        <values>
          <value t="str">
            <val>-</val>
          </value>
        </values>
      </ddeItem>
      <ddeItem name="ERFB1.222" advise="1">
        <values>
          <value t="str">
            <val>-</val>
          </value>
        </values>
      </ddeItem>
      <ddeItem name="ERFB1.223" advise="1">
        <values>
          <value t="str">
            <val>-</val>
          </value>
        </values>
      </ddeItem>
      <ddeItem name="ERFB1.224" advise="1">
        <values>
          <value t="str">
            <val>-</val>
          </value>
        </values>
      </ddeItem>
      <ddeItem name="ERFB1.225" advise="1">
        <values>
          <value t="str">
            <val>-</val>
          </value>
        </values>
      </ddeItem>
      <ddeItem name="ERFB1.231" advise="1">
        <values>
          <value t="str">
            <val>-</val>
          </value>
        </values>
      </ddeItem>
      <ddeItem name="ERFB1.232" advise="1">
        <values>
          <value t="str">
            <val>-</val>
          </value>
        </values>
      </ddeItem>
      <ddeItem name="ERFB1.233" advise="1">
        <values>
          <value t="str">
            <val>-</val>
          </value>
        </values>
      </ddeItem>
      <ddeItem name="ERFB1.234" advise="1">
        <values>
          <value t="str">
            <val>-</val>
          </value>
        </values>
      </ddeItem>
      <ddeItem name="ERFB1.235" advise="1">
        <values>
          <value t="str">
            <val>-</val>
          </value>
        </values>
      </ddeItem>
      <ddeItem name="ERFB1.402" advise="1"/>
      <ddeItem name="ERFB1.406" advise="1">
        <values>
          <value t="str">
            <val xml:space="preserve"> -</val>
          </value>
        </values>
      </ddeItem>
      <ddeItem name="ERFB1.407" advise="1">
        <values>
          <value t="str">
            <val xml:space="preserve"> -</val>
          </value>
        </values>
      </ddeItem>
      <ddeItem name="ERFB1.431" advise="1">
        <values>
          <value t="str">
            <val>-</val>
          </value>
        </values>
      </ddeItem>
      <ddeItem name="ERFB1.437" advise="1">
        <values>
          <value t="str">
            <val xml:space="preserve"> -</val>
          </value>
        </values>
      </ddeItem>
      <ddeItem name="EYFB1.123" advise="1">
        <values>
          <value>
            <val>100150</val>
          </value>
        </values>
      </ddeItem>
      <ddeItem name="EYFB1.124" advise="1">
        <values>
          <value>
            <val>16421.62</val>
          </value>
        </values>
      </ddeItem>
      <ddeItem name="EYFB1.125" advise="1">
        <values>
          <value>
            <val>-21.78</val>
          </value>
        </values>
      </ddeItem>
      <ddeItem name="EYFB1.128" advise="1">
        <values>
          <value>
            <val>2439</val>
          </value>
        </values>
      </ddeItem>
      <ddeItem name="EYFB1.130" advise="1">
        <values>
          <value>
            <val>16329.54</val>
          </value>
        </values>
      </ddeItem>
      <ddeItem name="EYFB1.131" advise="1">
        <values>
          <value>
            <val>16456.939999999999</val>
          </value>
        </values>
      </ddeItem>
      <ddeItem name="EYFB1.132" advise="1">
        <values>
          <value>
            <val>16329.54</val>
          </value>
        </values>
      </ddeItem>
      <ddeItem name="EYFB1.133" advise="1">
        <values>
          <value>
            <val>4027056</val>
          </value>
        </values>
      </ddeItem>
      <ddeItem name="EYFB1.135" advise="1">
        <values>
          <value t="str">
            <val xml:space="preserve"> -</val>
          </value>
        </values>
      </ddeItem>
      <ddeItem name="EYFB1.136" advise="1">
        <values>
          <value t="str">
            <val xml:space="preserve"> -</val>
          </value>
        </values>
      </ddeItem>
      <ddeItem name="EYFB1.201" advise="1">
        <values>
          <value t="str">
            <val xml:space="preserve"> -</val>
          </value>
        </values>
      </ddeItem>
      <ddeItem name="EYFB1.202" advise="1">
        <values>
          <value t="str">
            <val xml:space="preserve"> -</val>
          </value>
        </values>
      </ddeItem>
      <ddeItem name="EYFB1.203" advise="1">
        <values>
          <value t="str">
            <val xml:space="preserve"> -</val>
          </value>
        </values>
      </ddeItem>
      <ddeItem name="EYFB1.204" advise="1">
        <values>
          <value t="str">
            <val xml:space="preserve"> -</val>
          </value>
        </values>
      </ddeItem>
      <ddeItem name="EYFB1.205" advise="1">
        <values>
          <value t="str">
            <val xml:space="preserve"> -</val>
          </value>
        </values>
      </ddeItem>
      <ddeItem name="EYFB1.211" advise="1">
        <values>
          <value t="str">
            <val xml:space="preserve"> -</val>
          </value>
        </values>
      </ddeItem>
      <ddeItem name="EYFB1.212" advise="1">
        <values>
          <value t="str">
            <val xml:space="preserve"> -</val>
          </value>
        </values>
      </ddeItem>
      <ddeItem name="EYFB1.213" advise="1">
        <values>
          <value t="str">
            <val xml:space="preserve"> -</val>
          </value>
        </values>
      </ddeItem>
      <ddeItem name="EYFB1.214" advise="1">
        <values>
          <value t="str">
            <val xml:space="preserve"> -</val>
          </value>
        </values>
      </ddeItem>
      <ddeItem name="EYFB1.215" advise="1">
        <values>
          <value t="str">
            <val xml:space="preserve"> -</val>
          </value>
        </values>
      </ddeItem>
      <ddeItem name="EYFB1.221" advise="1">
        <values>
          <value t="str">
            <val>-</val>
          </value>
        </values>
      </ddeItem>
      <ddeItem name="EYFB1.222" advise="1">
        <values>
          <value t="str">
            <val>-</val>
          </value>
        </values>
      </ddeItem>
      <ddeItem name="EYFB1.223" advise="1">
        <values>
          <value t="str">
            <val>-</val>
          </value>
        </values>
      </ddeItem>
      <ddeItem name="EYFB1.224" advise="1">
        <values>
          <value t="str">
            <val>-</val>
          </value>
        </values>
      </ddeItem>
      <ddeItem name="EYFB1.225" advise="1">
        <values>
          <value t="str">
            <val>-</val>
          </value>
        </values>
      </ddeItem>
      <ddeItem name="EYFB1.231" advise="1">
        <values>
          <value t="str">
            <val>-</val>
          </value>
        </values>
      </ddeItem>
      <ddeItem name="EYFB1.232" advise="1">
        <values>
          <value t="str">
            <val>-</val>
          </value>
        </values>
      </ddeItem>
      <ddeItem name="EYFB1.233" advise="1">
        <values>
          <value t="str">
            <val>-</val>
          </value>
        </values>
      </ddeItem>
      <ddeItem name="EYFB1.234" advise="1">
        <values>
          <value t="str">
            <val>-</val>
          </value>
        </values>
      </ddeItem>
      <ddeItem name="EYFB1.235" advise="1">
        <values>
          <value t="str">
            <val>-</val>
          </value>
        </values>
      </ddeItem>
      <ddeItem name="EYFB1.402" advise="1">
        <values>
          <value t="str">
            <val>加權指數</val>
          </value>
        </values>
      </ddeItem>
      <ddeItem name="EYFB1.406" advise="1">
        <values>
          <value t="str">
            <val xml:space="preserve"> -</val>
          </value>
        </values>
      </ddeItem>
      <ddeItem name="EYFB1.407" advise="1">
        <values>
          <value t="str">
            <val xml:space="preserve"> -</val>
          </value>
        </values>
      </ddeItem>
      <ddeItem name="EYFB1.431" advise="1">
        <values>
          <value t="str">
            <val>-</val>
          </value>
        </values>
      </ddeItem>
      <ddeItem name="EYFB1.437" advise="1">
        <values>
          <value t="str">
            <val xml:space="preserve"> -</val>
          </value>
        </values>
      </ddeItem>
      <ddeItem name="EZFB1.123" advise="1">
        <values>
          <value>
            <val>100150</val>
          </value>
        </values>
      </ddeItem>
      <ddeItem name="EZFB1.124" advise="1">
        <values>
          <value>
            <val>16421.62</val>
          </value>
        </values>
      </ddeItem>
      <ddeItem name="EZFB1.125" advise="1">
        <values>
          <value>
            <val>-21.78</val>
          </value>
        </values>
      </ddeItem>
      <ddeItem name="EZFB1.128" advise="1">
        <values>
          <value>
            <val>2439</val>
          </value>
        </values>
      </ddeItem>
      <ddeItem name="EZFB1.130" advise="1">
        <values>
          <value>
            <val>16329.54</val>
          </value>
        </values>
      </ddeItem>
      <ddeItem name="EZFB1.131" advise="1">
        <values>
          <value>
            <val>16456.939999999999</val>
          </value>
        </values>
      </ddeItem>
      <ddeItem name="EZFB1.132" advise="1">
        <values>
          <value>
            <val>16329.54</val>
          </value>
        </values>
      </ddeItem>
      <ddeItem name="EZFB1.133" advise="1">
        <values>
          <value>
            <val>4027056</val>
          </value>
        </values>
      </ddeItem>
      <ddeItem name="EZFB1.135" advise="1">
        <values>
          <value t="str">
            <val xml:space="preserve"> -</val>
          </value>
        </values>
      </ddeItem>
      <ddeItem name="EZFB1.136" advise="1">
        <values>
          <value t="str">
            <val xml:space="preserve"> -</val>
          </value>
        </values>
      </ddeItem>
      <ddeItem name="EZFB1.201" advise="1">
        <values>
          <value t="str">
            <val xml:space="preserve"> -</val>
          </value>
        </values>
      </ddeItem>
      <ddeItem name="EZFB1.202" advise="1">
        <values>
          <value t="str">
            <val xml:space="preserve"> -</val>
          </value>
        </values>
      </ddeItem>
      <ddeItem name="EZFB1.203" advise="1">
        <values>
          <value t="str">
            <val xml:space="preserve"> -</val>
          </value>
        </values>
      </ddeItem>
      <ddeItem name="EZFB1.204" advise="1">
        <values>
          <value t="str">
            <val xml:space="preserve"> -</val>
          </value>
        </values>
      </ddeItem>
      <ddeItem name="EZFB1.205" advise="1">
        <values>
          <value t="str">
            <val xml:space="preserve"> -</val>
          </value>
        </values>
      </ddeItem>
      <ddeItem name="EZFB1.211" advise="1">
        <values>
          <value t="str">
            <val xml:space="preserve"> -</val>
          </value>
        </values>
      </ddeItem>
      <ddeItem name="EZFB1.212" advise="1">
        <values>
          <value t="str">
            <val xml:space="preserve"> -</val>
          </value>
        </values>
      </ddeItem>
      <ddeItem name="EZFB1.213" advise="1">
        <values>
          <value t="str">
            <val xml:space="preserve"> -</val>
          </value>
        </values>
      </ddeItem>
      <ddeItem name="EZFB1.214" advise="1">
        <values>
          <value t="str">
            <val xml:space="preserve"> -</val>
          </value>
        </values>
      </ddeItem>
      <ddeItem name="EZFB1.215" advise="1">
        <values>
          <value t="str">
            <val xml:space="preserve"> -</val>
          </value>
        </values>
      </ddeItem>
      <ddeItem name="EZFB1.221" advise="1">
        <values>
          <value t="str">
            <val>-</val>
          </value>
        </values>
      </ddeItem>
      <ddeItem name="EZFB1.222" advise="1">
        <values>
          <value t="str">
            <val>-</val>
          </value>
        </values>
      </ddeItem>
      <ddeItem name="EZFB1.223" advise="1">
        <values>
          <value t="str">
            <val>-</val>
          </value>
        </values>
      </ddeItem>
      <ddeItem name="EZFB1.224" advise="1">
        <values>
          <value t="str">
            <val>-</val>
          </value>
        </values>
      </ddeItem>
      <ddeItem name="EZFB1.225" advise="1">
        <values>
          <value t="str">
            <val>-</val>
          </value>
        </values>
      </ddeItem>
      <ddeItem name="EZFB1.231" advise="1">
        <values>
          <value t="str">
            <val>-</val>
          </value>
        </values>
      </ddeItem>
      <ddeItem name="EZFB1.232" advise="1">
        <values>
          <value t="str">
            <val>-</val>
          </value>
        </values>
      </ddeItem>
      <ddeItem name="EZFB1.233" advise="1">
        <values>
          <value t="str">
            <val>-</val>
          </value>
        </values>
      </ddeItem>
      <ddeItem name="EZFB1.234" advise="1">
        <values>
          <value t="str">
            <val>-</val>
          </value>
        </values>
      </ddeItem>
      <ddeItem name="EZFB1.235" advise="1">
        <values>
          <value t="str">
            <val>-</val>
          </value>
        </values>
      </ddeItem>
      <ddeItem name="EZFB1.402" advise="1">
        <values>
          <value t="str">
            <val>加權指數</val>
          </value>
        </values>
      </ddeItem>
      <ddeItem name="EZFB1.406" advise="1">
        <values>
          <value t="str">
            <val xml:space="preserve"> -</val>
          </value>
        </values>
      </ddeItem>
      <ddeItem name="EZFB1.407" advise="1">
        <values>
          <value t="str">
            <val xml:space="preserve"> -</val>
          </value>
        </values>
      </ddeItem>
      <ddeItem name="EZFB1.431" advise="1">
        <values>
          <value t="str">
            <val>-</val>
          </value>
        </values>
      </ddeItem>
      <ddeItem name="EZFB1.437" advise="1">
        <values>
          <value t="str">
            <val xml:space="preserve"> -</val>
          </value>
        </values>
      </ddeItem>
      <ddeItem name="FE1F1.123" advise="1">
        <values>
          <value>
            <val>0</val>
          </value>
        </values>
      </ddeItem>
      <ddeItem name="FE1F1.124" advise="1">
        <values>
          <value t="str">
            <val xml:space="preserve"> </val>
          </value>
        </values>
      </ddeItem>
      <ddeItem name="FE1F1.125" advise="1">
        <values>
          <value>
            <val>0</val>
          </value>
        </values>
      </ddeItem>
      <ddeItem name="FE1F1.128" advise="1">
        <values>
          <value>
            <val>0</val>
          </value>
        </values>
      </ddeItem>
      <ddeItem name="FE1F1.130" advise="1">
        <values>
          <value t="str">
            <val xml:space="preserve"> </val>
          </value>
        </values>
      </ddeItem>
      <ddeItem name="FE1F1.131" advise="1">
        <values>
          <value t="str">
            <val xml:space="preserve"> </val>
          </value>
        </values>
      </ddeItem>
      <ddeItem name="FE1F1.132" advise="1">
        <values>
          <value t="str">
            <val xml:space="preserve"> </val>
          </value>
        </values>
      </ddeItem>
      <ddeItem name="FE1F1.133" advise="1">
        <values>
          <value>
            <val>0</val>
          </value>
        </values>
      </ddeItem>
      <ddeItem name="FE1F1.135" advise="1">
        <values>
          <value>
            <val>28.9</val>
          </value>
        </values>
      </ddeItem>
      <ddeItem name="FE1F1.136" advise="1">
        <values>
          <value>
            <val>31.55</val>
          </value>
        </values>
      </ddeItem>
      <ddeItem name="FE1F1.201" advise="1">
        <values>
          <value>
            <val>28.9</val>
          </value>
        </values>
      </ddeItem>
      <ddeItem name="FE1F1.202" advise="1">
        <values>
          <value t="str">
            <val xml:space="preserve"> </val>
          </value>
        </values>
      </ddeItem>
      <ddeItem name="FE1F1.203" advise="1">
        <values>
          <value t="str">
            <val xml:space="preserve"> </val>
          </value>
        </values>
      </ddeItem>
      <ddeItem name="FE1F1.204" advise="1">
        <values>
          <value t="str">
            <val xml:space="preserve"> </val>
          </value>
        </values>
      </ddeItem>
      <ddeItem name="FE1F1.205" advise="1">
        <values>
          <value t="str">
            <val xml:space="preserve"> </val>
          </value>
        </values>
      </ddeItem>
      <ddeItem name="FE1F1.211" advise="1">
        <values>
          <value>
            <val>31.55</val>
          </value>
        </values>
      </ddeItem>
      <ddeItem name="FE1F1.212" advise="1">
        <values>
          <value t="str">
            <val xml:space="preserve"> </val>
          </value>
        </values>
      </ddeItem>
      <ddeItem name="FE1F1.213" advise="1">
        <values>
          <value t="str">
            <val xml:space="preserve"> </val>
          </value>
        </values>
      </ddeItem>
      <ddeItem name="FE1F1.214" advise="1">
        <values>
          <value t="str">
            <val xml:space="preserve"> </val>
          </value>
        </values>
      </ddeItem>
      <ddeItem name="FE1F1.215" advise="1">
        <values>
          <value t="str">
            <val xml:space="preserve"> </val>
          </value>
        </values>
      </ddeItem>
      <ddeItem name="FE1F1.221" advise="1">
        <values>
          <value>
            <val>1</val>
          </value>
        </values>
      </ddeItem>
      <ddeItem name="FE1F1.222" advise="1">
        <values>
          <value>
            <val>0</val>
          </value>
        </values>
      </ddeItem>
      <ddeItem name="FE1F1.223" advise="1">
        <values>
          <value>
            <val>0</val>
          </value>
        </values>
      </ddeItem>
      <ddeItem name="FE1F1.224" advise="1">
        <values>
          <value>
            <val>0</val>
          </value>
        </values>
      </ddeItem>
      <ddeItem name="FE1F1.225" advise="1">
        <values>
          <value>
            <val>0</val>
          </value>
        </values>
      </ddeItem>
      <ddeItem name="FE1F1.231" advise="1">
        <values>
          <value>
            <val>1</val>
          </value>
        </values>
      </ddeItem>
      <ddeItem name="FE1F1.232" advise="1">
        <values>
          <value>
            <val>0</val>
          </value>
        </values>
      </ddeItem>
      <ddeItem name="FE1F1.233" advise="1">
        <values>
          <value>
            <val>0</val>
          </value>
        </values>
      </ddeItem>
      <ddeItem name="FE1F1.234" advise="1">
        <values>
          <value>
            <val>0</val>
          </value>
        </values>
      </ddeItem>
      <ddeItem name="FE1F1.235" advise="1">
        <values>
          <value>
            <val>0</val>
          </value>
        </values>
      </ddeItem>
      <ddeItem name="FE1F1.402" advise="1">
        <values>
          <value t="str">
            <val>大成鋼1-06</val>
          </value>
        </values>
      </ddeItem>
      <ddeItem name="FE1F1.406" advise="1">
        <values>
          <value>
            <val>34.700000000000003</val>
          </value>
        </values>
      </ddeItem>
      <ddeItem name="FE1F1.407" advise="1">
        <values>
          <value>
            <val>28.4</val>
          </value>
        </values>
      </ddeItem>
      <ddeItem name="FE1F1.431" advise="1">
        <values>
          <value>
            <val>20210224</val>
          </value>
        </values>
      </ddeItem>
      <ddeItem name="FE1F1.437" advise="1">
        <values>
          <value>
            <val>31.12</val>
          </value>
        </values>
      </ddeItem>
      <ddeItem name="FEFB1.123" advise="1">
        <values>
          <value>
            <val>0</val>
          </value>
        </values>
      </ddeItem>
      <ddeItem name="FEFB1.124" advise="1">
        <values>
          <value>
            <val>20878632</val>
          </value>
        </values>
      </ddeItem>
      <ddeItem name="FEFB1.125" advise="1">
        <values>
          <value t="str">
            <val xml:space="preserve"> </val>
          </value>
        </values>
      </ddeItem>
      <ddeItem name="FEFB1.128" advise="1">
        <values>
          <value>
            <val>1212870150</val>
          </value>
        </values>
      </ddeItem>
      <ddeItem name="FEFB1.130" advise="1">
        <values>
          <value>
            <val>20803788</val>
          </value>
        </values>
      </ddeItem>
      <ddeItem name="FEFB1.131" advise="1">
        <values>
          <value>
            <val>20804690</val>
          </value>
        </values>
      </ddeItem>
      <ddeItem name="FEFB1.132" advise="1">
        <values>
          <value>
            <val>10989732</val>
          </value>
        </values>
      </ddeItem>
      <ddeItem name="FEFB1.133" advise="1">
        <values>
          <value>
            <val>2088371110</val>
          </value>
        </values>
      </ddeItem>
      <ddeItem name="FEFB1.135" advise="1">
        <values>
          <value t="str">
            <val xml:space="preserve"> -</val>
          </value>
        </values>
      </ddeItem>
      <ddeItem name="FEFB1.136" advise="1">
        <values>
          <value t="str">
            <val xml:space="preserve"> -</val>
          </value>
        </values>
      </ddeItem>
      <ddeItem name="FEFB1.201" advise="1">
        <values>
          <value t="str">
            <val xml:space="preserve"> -</val>
          </value>
        </values>
      </ddeItem>
      <ddeItem name="FEFB1.202" advise="1">
        <values>
          <value t="str">
            <val xml:space="preserve"> -</val>
          </value>
        </values>
      </ddeItem>
      <ddeItem name="FEFB1.203" advise="1">
        <values>
          <value t="str">
            <val xml:space="preserve"> -</val>
          </value>
        </values>
      </ddeItem>
      <ddeItem name="FEFB1.204" advise="1">
        <values>
          <value t="str">
            <val xml:space="preserve"> -</val>
          </value>
        </values>
      </ddeItem>
      <ddeItem name="FEFB1.205" advise="1">
        <values>
          <value t="str">
            <val xml:space="preserve"> -</val>
          </value>
        </values>
      </ddeItem>
      <ddeItem name="FEFB1.211" advise="1">
        <values>
          <value t="str">
            <val xml:space="preserve"> -</val>
          </value>
        </values>
      </ddeItem>
      <ddeItem name="FEFB1.212" advise="1">
        <values>
          <value t="str">
            <val xml:space="preserve"> -</val>
          </value>
        </values>
      </ddeItem>
      <ddeItem name="FEFB1.213" advise="1">
        <values>
          <value t="str">
            <val xml:space="preserve"> -</val>
          </value>
        </values>
      </ddeItem>
      <ddeItem name="FEFB1.214" advise="1">
        <values>
          <value t="str">
            <val xml:space="preserve"> -</val>
          </value>
        </values>
      </ddeItem>
      <ddeItem name="FEFB1.215" advise="1">
        <values>
          <value t="str">
            <val xml:space="preserve"> -</val>
          </value>
        </values>
      </ddeItem>
      <ddeItem name="FEFB1.221" advise="1">
        <values>
          <value t="str">
            <val>-</val>
          </value>
        </values>
      </ddeItem>
      <ddeItem name="FEFB1.222" advise="1">
        <values>
          <value t="str">
            <val>-</val>
          </value>
        </values>
      </ddeItem>
      <ddeItem name="FEFB1.223" advise="1">
        <values>
          <value t="str">
            <val>-</val>
          </value>
        </values>
      </ddeItem>
      <ddeItem name="FEFB1.224" advise="1">
        <values>
          <value t="str">
            <val>-</val>
          </value>
        </values>
      </ddeItem>
      <ddeItem name="FEFB1.225" advise="1">
        <values>
          <value t="str">
            <val>-</val>
          </value>
        </values>
      </ddeItem>
      <ddeItem name="FEFB1.231" advise="1">
        <values>
          <value t="str">
            <val>-</val>
          </value>
        </values>
      </ddeItem>
      <ddeItem name="FEFB1.232" advise="1">
        <values>
          <value t="str">
            <val>-</val>
          </value>
        </values>
      </ddeItem>
      <ddeItem name="FEFB1.233" advise="1">
        <values>
          <value t="str">
            <val>-</val>
          </value>
        </values>
      </ddeItem>
      <ddeItem name="FEFB1.234" advise="1">
        <values>
          <value t="str">
            <val>-</val>
          </value>
        </values>
      </ddeItem>
      <ddeItem name="FEFB1.235" advise="1">
        <values>
          <value t="str">
            <val>-</val>
          </value>
        </values>
      </ddeItem>
      <ddeItem name="FEFB1.402" advise="1"/>
      <ddeItem name="FEFB1.406" advise="1">
        <values>
          <value t="str">
            <val xml:space="preserve"> -</val>
          </value>
        </values>
      </ddeItem>
      <ddeItem name="FEFB1.407" advise="1">
        <values>
          <value t="str">
            <val xml:space="preserve"> -</val>
          </value>
        </values>
      </ddeItem>
      <ddeItem name="FEFB1.431" advise="1">
        <values>
          <value t="str">
            <val>-</val>
          </value>
        </values>
      </ddeItem>
      <ddeItem name="FEFB1.437" advise="1">
        <values>
          <value t="str">
            <val xml:space="preserve"> -</val>
          </value>
        </values>
      </ddeItem>
      <ddeItem name="FF1C1.123" advise="1">
        <values>
          <value>
            <val>0</val>
          </value>
        </values>
      </ddeItem>
      <ddeItem name="FF1C1.124" advise="1">
        <values>
          <value t="str">
            <val xml:space="preserve"> </val>
          </value>
        </values>
      </ddeItem>
      <ddeItem name="FF1C1.125" advise="1">
        <values>
          <value>
            <val>0</val>
          </value>
        </values>
      </ddeItem>
      <ddeItem name="FF1C1.128" advise="1">
        <values>
          <value>
            <val>0</val>
          </value>
        </values>
      </ddeItem>
      <ddeItem name="FF1C1.130" advise="1">
        <values>
          <value t="str">
            <val xml:space="preserve"> </val>
          </value>
        </values>
      </ddeItem>
      <ddeItem name="FF1C1.131" advise="1">
        <values>
          <value t="str">
            <val xml:space="preserve"> </val>
          </value>
        </values>
      </ddeItem>
      <ddeItem name="FF1C1.132" advise="1">
        <values>
          <value t="str">
            <val xml:space="preserve"> </val>
          </value>
        </values>
      </ddeItem>
      <ddeItem name="FF1C1.133" advise="1">
        <values>
          <value>
            <val>0</val>
          </value>
        </values>
      </ddeItem>
      <ddeItem name="FF1C1.135" advise="1">
        <values>
          <value>
            <val>395</val>
          </value>
        </values>
      </ddeItem>
      <ddeItem name="FF1C1.136" advise="1">
        <values>
          <value t="str">
            <val xml:space="preserve"> </val>
          </value>
        </values>
      </ddeItem>
      <ddeItem name="FF1C1.201" advise="1">
        <values>
          <value>
            <val>395</val>
          </value>
        </values>
      </ddeItem>
      <ddeItem name="FF1C1.202" advise="1">
        <values>
          <value t="str">
            <val xml:space="preserve"> </val>
          </value>
        </values>
      </ddeItem>
      <ddeItem name="FF1C1.203" advise="1">
        <values>
          <value t="str">
            <val xml:space="preserve"> </val>
          </value>
        </values>
      </ddeItem>
      <ddeItem name="FF1C1.204" advise="1">
        <values>
          <value t="str">
            <val xml:space="preserve"> </val>
          </value>
        </values>
      </ddeItem>
      <ddeItem name="FF1C1.205" advise="1">
        <values>
          <value t="str">
            <val xml:space="preserve"> </val>
          </value>
        </values>
      </ddeItem>
      <ddeItem name="FF1C1.211" advise="1">
        <values>
          <value t="str">
            <val xml:space="preserve"> </val>
          </value>
        </values>
      </ddeItem>
      <ddeItem name="FF1C1.212" advise="1">
        <values>
          <value t="str">
            <val xml:space="preserve"> </val>
          </value>
        </values>
      </ddeItem>
      <ddeItem name="FF1C1.213" advise="1">
        <values>
          <value t="str">
            <val xml:space="preserve"> </val>
          </value>
        </values>
      </ddeItem>
      <ddeItem name="FF1C1.214" advise="1">
        <values>
          <value t="str">
            <val xml:space="preserve"> </val>
          </value>
        </values>
      </ddeItem>
      <ddeItem name="FF1C1.215" advise="1">
        <values>
          <value t="str">
            <val xml:space="preserve"> </val>
          </value>
        </values>
      </ddeItem>
      <ddeItem name="FF1C1.221" advise="1">
        <values>
          <value>
            <val>1</val>
          </value>
        </values>
      </ddeItem>
      <ddeItem name="FF1C1.222" advise="1">
        <values>
          <value>
            <val>0</val>
          </value>
        </values>
      </ddeItem>
      <ddeItem name="FF1C1.223" advise="1">
        <values>
          <value>
            <val>0</val>
          </value>
        </values>
      </ddeItem>
      <ddeItem name="FF1C1.224" advise="1">
        <values>
          <value>
            <val>0</val>
          </value>
        </values>
      </ddeItem>
      <ddeItem name="FF1C1.225" advise="1">
        <values>
          <value>
            <val>0</val>
          </value>
        </values>
      </ddeItem>
      <ddeItem name="FF1C1.231" advise="1">
        <values>
          <value>
            <val>0</val>
          </value>
        </values>
      </ddeItem>
      <ddeItem name="FF1C1.232" advise="1">
        <values>
          <value>
            <val>0</val>
          </value>
        </values>
      </ddeItem>
      <ddeItem name="FF1C1.233" advise="1">
        <values>
          <value>
            <val>0</val>
          </value>
        </values>
      </ddeItem>
      <ddeItem name="FF1C1.234" advise="1">
        <values>
          <value>
            <val>0</val>
          </value>
        </values>
      </ddeItem>
      <ddeItem name="FF1C1.235" advise="1">
        <values>
          <value>
            <val>0</val>
          </value>
        </values>
      </ddeItem>
      <ddeItem name="FF1C1.402" advise="1">
        <values>
          <value t="str">
            <val>上銀1-03</val>
          </value>
        </values>
      </ddeItem>
      <ddeItem name="FF1C1.406" advise="1">
        <values>
          <value>
            <val>452</val>
          </value>
        </values>
      </ddeItem>
      <ddeItem name="FF1C1.407" advise="1">
        <values>
          <value>
            <val>370</val>
          </value>
        </values>
      </ddeItem>
      <ddeItem name="FF1C1.431" advise="1">
        <values>
          <value>
            <val>20210224</val>
          </value>
        </values>
      </ddeItem>
      <ddeItem name="FF1C1.437" advise="1">
        <values>
          <value>
            <val>399.42</val>
          </value>
        </values>
      </ddeItem>
      <ddeItem name="FFFB1.123" advise="1">
        <values>
          <value>
            <val>0</val>
          </value>
        </values>
      </ddeItem>
      <ddeItem name="FFFB1.124" advise="1">
        <values>
          <value>
            <val>20878632</val>
          </value>
        </values>
      </ddeItem>
      <ddeItem name="FFFB1.125" advise="1">
        <values>
          <value t="str">
            <val xml:space="preserve"> </val>
          </value>
        </values>
      </ddeItem>
      <ddeItem name="FFFB1.128" advise="1">
        <values>
          <value>
            <val>1212870150</val>
          </value>
        </values>
      </ddeItem>
      <ddeItem name="FFFB1.130" advise="1">
        <values>
          <value>
            <val>20803788</val>
          </value>
        </values>
      </ddeItem>
      <ddeItem name="FFFB1.131" advise="1">
        <values>
          <value>
            <val>20804690</val>
          </value>
        </values>
      </ddeItem>
      <ddeItem name="FFFB1.132" advise="1">
        <values>
          <value>
            <val>10989732</val>
          </value>
        </values>
      </ddeItem>
      <ddeItem name="FFFB1.133" advise="1">
        <values>
          <value>
            <val>2088371110</val>
          </value>
        </values>
      </ddeItem>
      <ddeItem name="FFFB1.135" advise="1">
        <values>
          <value t="str">
            <val xml:space="preserve"> -</val>
          </value>
        </values>
      </ddeItem>
      <ddeItem name="FFFB1.136" advise="1">
        <values>
          <value t="str">
            <val xml:space="preserve"> -</val>
          </value>
        </values>
      </ddeItem>
      <ddeItem name="FFFB1.201" advise="1">
        <values>
          <value t="str">
            <val xml:space="preserve"> -</val>
          </value>
        </values>
      </ddeItem>
      <ddeItem name="FFFB1.202" advise="1">
        <values>
          <value t="str">
            <val xml:space="preserve"> -</val>
          </value>
        </values>
      </ddeItem>
      <ddeItem name="FFFB1.203" advise="1">
        <values>
          <value t="str">
            <val xml:space="preserve"> -</val>
          </value>
        </values>
      </ddeItem>
      <ddeItem name="FFFB1.204" advise="1">
        <values>
          <value t="str">
            <val xml:space="preserve"> -</val>
          </value>
        </values>
      </ddeItem>
      <ddeItem name="FFFB1.205" advise="1">
        <values>
          <value t="str">
            <val xml:space="preserve"> -</val>
          </value>
        </values>
      </ddeItem>
      <ddeItem name="FFFB1.211" advise="1">
        <values>
          <value t="str">
            <val xml:space="preserve"> -</val>
          </value>
        </values>
      </ddeItem>
      <ddeItem name="FFFB1.212" advise="1">
        <values>
          <value t="str">
            <val xml:space="preserve"> -</val>
          </value>
        </values>
      </ddeItem>
      <ddeItem name="FFFB1.213" advise="1">
        <values>
          <value t="str">
            <val xml:space="preserve"> -</val>
          </value>
        </values>
      </ddeItem>
      <ddeItem name="FFFB1.214" advise="1">
        <values>
          <value t="str">
            <val xml:space="preserve"> -</val>
          </value>
        </values>
      </ddeItem>
      <ddeItem name="FFFB1.215" advise="1">
        <values>
          <value t="str">
            <val xml:space="preserve"> -</val>
          </value>
        </values>
      </ddeItem>
      <ddeItem name="FFFB1.221" advise="1">
        <values>
          <value t="str">
            <val>-</val>
          </value>
        </values>
      </ddeItem>
      <ddeItem name="FFFB1.222" advise="1">
        <values>
          <value t="str">
            <val>-</val>
          </value>
        </values>
      </ddeItem>
      <ddeItem name="FFFB1.223" advise="1">
        <values>
          <value t="str">
            <val>-</val>
          </value>
        </values>
      </ddeItem>
      <ddeItem name="FFFB1.224" advise="1">
        <values>
          <value t="str">
            <val>-</val>
          </value>
        </values>
      </ddeItem>
      <ddeItem name="FFFB1.225" advise="1">
        <values>
          <value t="str">
            <val>-</val>
          </value>
        </values>
      </ddeItem>
      <ddeItem name="FFFB1.231" advise="1">
        <values>
          <value t="str">
            <val>-</val>
          </value>
        </values>
      </ddeItem>
      <ddeItem name="FFFB1.232" advise="1">
        <values>
          <value t="str">
            <val>-</val>
          </value>
        </values>
      </ddeItem>
      <ddeItem name="FFFB1.233" advise="1">
        <values>
          <value t="str">
            <val>-</val>
          </value>
        </values>
      </ddeItem>
      <ddeItem name="FFFB1.234" advise="1">
        <values>
          <value t="str">
            <val>-</val>
          </value>
        </values>
      </ddeItem>
      <ddeItem name="FFFB1.235" advise="1">
        <values>
          <value t="str">
            <val>-</val>
          </value>
        </values>
      </ddeItem>
      <ddeItem name="FFFB1.402" advise="1"/>
      <ddeItem name="FFFB1.406" advise="1">
        <values>
          <value t="str">
            <val xml:space="preserve"> -</val>
          </value>
        </values>
      </ddeItem>
      <ddeItem name="FFFB1.407" advise="1">
        <values>
          <value t="str">
            <val xml:space="preserve"> -</val>
          </value>
        </values>
      </ddeItem>
      <ddeItem name="FFFB1.431" advise="1">
        <values>
          <value t="str">
            <val>-</val>
          </value>
        </values>
      </ddeItem>
      <ddeItem name="FFFB1.437" advise="1">
        <values>
          <value t="str">
            <val xml:space="preserve"> -</val>
          </value>
        </values>
      </ddeItem>
      <ddeItem name="FGFB1.123" advise="1">
        <values>
          <value>
            <val>100130</val>
          </value>
        </values>
      </ddeItem>
      <ddeItem name="FGFB1.124" advise="1">
        <values>
          <value>
            <val>16429</val>
          </value>
        </values>
      </ddeItem>
      <ddeItem name="FGFB1.125" advise="1">
        <values>
          <value>
            <val>-14.4</val>
          </value>
        </values>
      </ddeItem>
      <ddeItem name="FGFB1.128" advise="1">
        <values>
          <value>
            <val>3347</val>
          </value>
        </values>
      </ddeItem>
      <ddeItem name="FGFB1.130" advise="1">
        <values>
          <value>
            <val>16329.54</val>
          </value>
        </values>
      </ddeItem>
      <ddeItem name="FGFB1.131" advise="1">
        <values>
          <value>
            <val>16456.939999999999</val>
          </value>
        </values>
      </ddeItem>
      <ddeItem name="FGFB1.132" advise="1">
        <values>
          <value>
            <val>16329.54</val>
          </value>
        </values>
      </ddeItem>
      <ddeItem name="FGFB1.133" advise="1">
        <values>
          <value>
            <val>4018459</val>
          </value>
        </values>
      </ddeItem>
      <ddeItem name="FGFB1.135" advise="1">
        <values>
          <value t="str">
            <val xml:space="preserve"> -</val>
          </value>
        </values>
      </ddeItem>
      <ddeItem name="FGFB1.136" advise="1">
        <values>
          <value t="str">
            <val xml:space="preserve"> -</val>
          </value>
        </values>
      </ddeItem>
      <ddeItem name="FGFB1.201" advise="1">
        <values>
          <value t="str">
            <val xml:space="preserve"> -</val>
          </value>
        </values>
      </ddeItem>
      <ddeItem name="FGFB1.202" advise="1">
        <values>
          <value t="str">
            <val xml:space="preserve"> -</val>
          </value>
        </values>
      </ddeItem>
      <ddeItem name="FGFB1.203" advise="1">
        <values>
          <value t="str">
            <val xml:space="preserve"> -</val>
          </value>
        </values>
      </ddeItem>
      <ddeItem name="FGFB1.204" advise="1">
        <values>
          <value t="str">
            <val xml:space="preserve"> -</val>
          </value>
        </values>
      </ddeItem>
      <ddeItem name="FGFB1.205" advise="1">
        <values>
          <value t="str">
            <val xml:space="preserve"> -</val>
          </value>
        </values>
      </ddeItem>
      <ddeItem name="FGFB1.211" advise="1">
        <values>
          <value t="str">
            <val xml:space="preserve"> -</val>
          </value>
        </values>
      </ddeItem>
      <ddeItem name="FGFB1.212" advise="1">
        <values>
          <value t="str">
            <val xml:space="preserve"> -</val>
          </value>
        </values>
      </ddeItem>
      <ddeItem name="FGFB1.213" advise="1">
        <values>
          <value t="str">
            <val xml:space="preserve"> -</val>
          </value>
        </values>
      </ddeItem>
      <ddeItem name="FGFB1.214" advise="1">
        <values>
          <value t="str">
            <val xml:space="preserve"> -</val>
          </value>
        </values>
      </ddeItem>
      <ddeItem name="FGFB1.215" advise="1">
        <values>
          <value t="str">
            <val xml:space="preserve"> -</val>
          </value>
        </values>
      </ddeItem>
      <ddeItem name="FGFB1.221" advise="1">
        <values>
          <value t="str">
            <val>-</val>
          </value>
        </values>
      </ddeItem>
      <ddeItem name="FGFB1.222" advise="1">
        <values>
          <value t="str">
            <val>-</val>
          </value>
        </values>
      </ddeItem>
      <ddeItem name="FGFB1.223" advise="1">
        <values>
          <value t="str">
            <val>-</val>
          </value>
        </values>
      </ddeItem>
      <ddeItem name="FGFB1.224" advise="1">
        <values>
          <value t="str">
            <val>-</val>
          </value>
        </values>
      </ddeItem>
      <ddeItem name="FGFB1.225" advise="1">
        <values>
          <value t="str">
            <val>-</val>
          </value>
        </values>
      </ddeItem>
      <ddeItem name="FGFB1.231" advise="1">
        <values>
          <value t="str">
            <val>-</val>
          </value>
        </values>
      </ddeItem>
      <ddeItem name="FGFB1.232" advise="1">
        <values>
          <value t="str">
            <val>-</val>
          </value>
        </values>
      </ddeItem>
      <ddeItem name="FGFB1.233" advise="1">
        <values>
          <value t="str">
            <val>-</val>
          </value>
        </values>
      </ddeItem>
      <ddeItem name="FGFB1.234" advise="1">
        <values>
          <value t="str">
            <val>-</val>
          </value>
        </values>
      </ddeItem>
      <ddeItem name="FGFB1.235" advise="1">
        <values>
          <value t="str">
            <val>-</val>
          </value>
        </values>
      </ddeItem>
      <ddeItem name="FGFB1.402" advise="1">
        <values>
          <value t="str">
            <val>加權指數</val>
          </value>
        </values>
      </ddeItem>
      <ddeItem name="FGFB1.406" advise="1">
        <values>
          <value t="str">
            <val xml:space="preserve"> -</val>
          </value>
        </values>
      </ddeItem>
      <ddeItem name="FGFB1.407" advise="1">
        <values>
          <value t="str">
            <val xml:space="preserve"> -</val>
          </value>
        </values>
      </ddeItem>
      <ddeItem name="FGFB1.431" advise="1">
        <values>
          <value t="str">
            <val>-</val>
          </value>
        </values>
      </ddeItem>
      <ddeItem name="FGFB1.437" advise="1">
        <values>
          <value t="str">
            <val xml:space="preserve"> -</val>
          </value>
        </values>
      </ddeItem>
      <ddeItem name="FKFB1.123" advise="1">
        <values>
          <value>
            <val>100150</val>
          </value>
        </values>
      </ddeItem>
      <ddeItem name="FKFB1.124" advise="1">
        <values>
          <value>
            <val>13900.72</val>
          </value>
        </values>
      </ddeItem>
      <ddeItem name="FKFB1.125" advise="1">
        <values>
          <value>
            <val>14.14</val>
          </value>
        </values>
      </ddeItem>
      <ddeItem name="FKFB1.128" advise="1">
        <values>
          <value>
            <val>887</val>
          </value>
        </values>
      </ddeItem>
      <ddeItem name="FKFB1.130" advise="1">
        <values>
          <value>
            <val>13893.03</val>
          </value>
        </values>
      </ddeItem>
      <ddeItem name="FKFB1.131" advise="1">
        <values>
          <value>
            <val>13945.78</val>
          </value>
        </values>
      </ddeItem>
      <ddeItem name="FKFB1.132" advise="1">
        <values>
          <value>
            <val>13875.82</val>
          </value>
        </values>
      </ddeItem>
      <ddeItem name="FKFB1.133" advise="1">
        <values>
          <value>
            <val>873827</val>
          </value>
        </values>
      </ddeItem>
      <ddeItem name="FKFB1.135" advise="1">
        <values>
          <value t="str">
            <val xml:space="preserve"> -</val>
          </value>
        </values>
      </ddeItem>
      <ddeItem name="FKFB1.136" advise="1">
        <values>
          <value t="str">
            <val xml:space="preserve"> -</val>
          </value>
        </values>
      </ddeItem>
      <ddeItem name="FKFB1.201" advise="1">
        <values>
          <value t="str">
            <val xml:space="preserve"> -</val>
          </value>
        </values>
      </ddeItem>
      <ddeItem name="FKFB1.202" advise="1">
        <values>
          <value t="str">
            <val xml:space="preserve"> -</val>
          </value>
        </values>
      </ddeItem>
      <ddeItem name="FKFB1.203" advise="1">
        <values>
          <value t="str">
            <val xml:space="preserve"> -</val>
          </value>
        </values>
      </ddeItem>
      <ddeItem name="FKFB1.204" advise="1">
        <values>
          <value t="str">
            <val xml:space="preserve"> -</val>
          </value>
        </values>
      </ddeItem>
      <ddeItem name="FKFB1.205" advise="1">
        <values>
          <value t="str">
            <val xml:space="preserve"> -</val>
          </value>
        </values>
      </ddeItem>
      <ddeItem name="FKFB1.211" advise="1">
        <values>
          <value t="str">
            <val xml:space="preserve"> -</val>
          </value>
        </values>
      </ddeItem>
      <ddeItem name="FKFB1.212" advise="1">
        <values>
          <value t="str">
            <val xml:space="preserve"> -</val>
          </value>
        </values>
      </ddeItem>
      <ddeItem name="FKFB1.213" advise="1">
        <values>
          <value t="str">
            <val xml:space="preserve"> -</val>
          </value>
        </values>
      </ddeItem>
      <ddeItem name="FKFB1.214" advise="1">
        <values>
          <value t="str">
            <val xml:space="preserve"> -</val>
          </value>
        </values>
      </ddeItem>
      <ddeItem name="FKFB1.215" advise="1">
        <values>
          <value t="str">
            <val xml:space="preserve"> -</val>
          </value>
        </values>
      </ddeItem>
      <ddeItem name="FKFB1.221" advise="1">
        <values>
          <value t="str">
            <val>-</val>
          </value>
        </values>
      </ddeItem>
      <ddeItem name="FKFB1.222" advise="1">
        <values>
          <value t="str">
            <val>-</val>
          </value>
        </values>
      </ddeItem>
      <ddeItem name="FKFB1.223" advise="1">
        <values>
          <value t="str">
            <val>-</val>
          </value>
        </values>
      </ddeItem>
      <ddeItem name="FKFB1.224" advise="1">
        <values>
          <value t="str">
            <val>-</val>
          </value>
        </values>
      </ddeItem>
      <ddeItem name="FKFB1.225" advise="1">
        <values>
          <value t="str">
            <val>-</val>
          </value>
        </values>
      </ddeItem>
      <ddeItem name="FKFB1.231" advise="1">
        <values>
          <value t="str">
            <val>-</val>
          </value>
        </values>
      </ddeItem>
      <ddeItem name="FKFB1.232" advise="1">
        <values>
          <value t="str">
            <val>-</val>
          </value>
        </values>
      </ddeItem>
      <ddeItem name="FKFB1.233" advise="1">
        <values>
          <value t="str">
            <val>-</val>
          </value>
        </values>
      </ddeItem>
      <ddeItem name="FKFB1.234" advise="1">
        <values>
          <value t="str">
            <val>-</val>
          </value>
        </values>
      </ddeItem>
      <ddeItem name="FKFB1.235" advise="1">
        <values>
          <value t="str">
            <val>-</val>
          </value>
        </values>
      </ddeItem>
      <ddeItem name="FKFB1.402" advise="1">
        <values>
          <value t="str">
            <val>不含金電</val>
          </value>
        </values>
      </ddeItem>
      <ddeItem name="FKFB1.406" advise="1">
        <values>
          <value t="str">
            <val xml:space="preserve"> -</val>
          </value>
        </values>
      </ddeItem>
      <ddeItem name="FKFB1.407" advise="1">
        <values>
          <value t="str">
            <val xml:space="preserve"> -</val>
          </value>
        </values>
      </ddeItem>
      <ddeItem name="FKFB1.431" advise="1">
        <values>
          <value t="str">
            <val>-</val>
          </value>
        </values>
      </ddeItem>
      <ddeItem name="FKFB1.437" advise="1">
        <values>
          <value t="str">
            <val xml:space="preserve"> -</val>
          </value>
        </values>
      </ddeItem>
      <ddeItem name="FNFB1.123" advise="1">
        <values>
          <value>
            <val>100145</val>
          </value>
        </values>
      </ddeItem>
      <ddeItem name="FNFB1.124" advise="1">
        <values>
          <value>
            <val>13895.21</val>
          </value>
        </values>
      </ddeItem>
      <ddeItem name="FNFB1.125" advise="1">
        <values>
          <value>
            <val>8.6300000000000008</val>
          </value>
        </values>
      </ddeItem>
      <ddeItem name="FNFB1.128" advise="1">
        <values>
          <value>
            <val>435</val>
          </value>
        </values>
      </ddeItem>
      <ddeItem name="FNFB1.130" advise="1">
        <values>
          <value>
            <val>13893.03</val>
          </value>
        </values>
      </ddeItem>
      <ddeItem name="FNFB1.131" advise="1">
        <values>
          <value>
            <val>13945.78</val>
          </value>
        </values>
      </ddeItem>
      <ddeItem name="FNFB1.132" advise="1">
        <values>
          <value>
            <val>13875.82</val>
          </value>
        </values>
      </ddeItem>
      <ddeItem name="FNFB1.133" advise="1">
        <values>
          <value>
            <val>872940</val>
          </value>
        </values>
      </ddeItem>
      <ddeItem name="FNFB1.135" advise="1">
        <values>
          <value t="str">
            <val xml:space="preserve"> -</val>
          </value>
        </values>
      </ddeItem>
      <ddeItem name="FNFB1.136" advise="1">
        <values>
          <value t="str">
            <val xml:space="preserve"> -</val>
          </value>
        </values>
      </ddeItem>
      <ddeItem name="FNFB1.201" advise="1">
        <values>
          <value t="str">
            <val xml:space="preserve"> -</val>
          </value>
        </values>
      </ddeItem>
      <ddeItem name="FNFB1.202" advise="1">
        <values>
          <value t="str">
            <val xml:space="preserve"> -</val>
          </value>
        </values>
      </ddeItem>
      <ddeItem name="FNFB1.203" advise="1">
        <values>
          <value t="str">
            <val xml:space="preserve"> -</val>
          </value>
        </values>
      </ddeItem>
      <ddeItem name="FNFB1.204" advise="1">
        <values>
          <value t="str">
            <val xml:space="preserve"> -</val>
          </value>
        </values>
      </ddeItem>
      <ddeItem name="FNFB1.205" advise="1">
        <values>
          <value t="str">
            <val xml:space="preserve"> -</val>
          </value>
        </values>
      </ddeItem>
      <ddeItem name="FNFB1.211" advise="1">
        <values>
          <value t="str">
            <val xml:space="preserve"> -</val>
          </value>
        </values>
      </ddeItem>
      <ddeItem name="FNFB1.212" advise="1">
        <values>
          <value t="str">
            <val xml:space="preserve"> -</val>
          </value>
        </values>
      </ddeItem>
      <ddeItem name="FNFB1.213" advise="1">
        <values>
          <value t="str">
            <val xml:space="preserve"> -</val>
          </value>
        </values>
      </ddeItem>
      <ddeItem name="FNFB1.214" advise="1">
        <values>
          <value t="str">
            <val xml:space="preserve"> -</val>
          </value>
        </values>
      </ddeItem>
      <ddeItem name="FNFB1.215" advise="1">
        <values>
          <value t="str">
            <val xml:space="preserve"> -</val>
          </value>
        </values>
      </ddeItem>
      <ddeItem name="FNFB1.221" advise="1">
        <values>
          <value t="str">
            <val>-</val>
          </value>
        </values>
      </ddeItem>
      <ddeItem name="FNFB1.222" advise="1">
        <values>
          <value t="str">
            <val>-</val>
          </value>
        </values>
      </ddeItem>
      <ddeItem name="FNFB1.223" advise="1">
        <values>
          <value t="str">
            <val>-</val>
          </value>
        </values>
      </ddeItem>
      <ddeItem name="FNFB1.224" advise="1">
        <values>
          <value t="str">
            <val>-</val>
          </value>
        </values>
      </ddeItem>
      <ddeItem name="FNFB1.225" advise="1">
        <values>
          <value t="str">
            <val>-</val>
          </value>
        </values>
      </ddeItem>
      <ddeItem name="FNFB1.231" advise="1">
        <values>
          <value t="str">
            <val>-</val>
          </value>
        </values>
      </ddeItem>
      <ddeItem name="FNFB1.232" advise="1">
        <values>
          <value t="str">
            <val>-</val>
          </value>
        </values>
      </ddeItem>
      <ddeItem name="FNFB1.233" advise="1">
        <values>
          <value t="str">
            <val>-</val>
          </value>
        </values>
      </ddeItem>
      <ddeItem name="FNFB1.234" advise="1">
        <values>
          <value t="str">
            <val>-</val>
          </value>
        </values>
      </ddeItem>
      <ddeItem name="FNFB1.235" advise="1">
        <values>
          <value t="str">
            <val>-</val>
          </value>
        </values>
      </ddeItem>
      <ddeItem name="FNFB1.402" advise="1">
        <values>
          <value t="str">
            <val>不含金電</val>
          </value>
        </values>
      </ddeItem>
      <ddeItem name="FNFB1.406" advise="1">
        <values>
          <value t="str">
            <val xml:space="preserve"> -</val>
          </value>
        </values>
      </ddeItem>
      <ddeItem name="FNFB1.407" advise="1">
        <values>
          <value t="str">
            <val xml:space="preserve"> -</val>
          </value>
        </values>
      </ddeItem>
      <ddeItem name="FNFB1.431" advise="1">
        <values>
          <value t="str">
            <val>-</val>
          </value>
        </values>
      </ddeItem>
      <ddeItem name="FNFB1.437" advise="1">
        <values>
          <value t="str">
            <val xml:space="preserve"> -</val>
          </value>
        </values>
      </ddeItem>
      <ddeItem name="FQFB1.123" advise="1">
        <values>
          <value>
            <val>100140</val>
          </value>
        </values>
      </ddeItem>
      <ddeItem name="FQFB1.124" advise="1">
        <values>
          <value>
            <val>16428.68</val>
          </value>
        </values>
      </ddeItem>
      <ddeItem name="FQFB1.125" advise="1">
        <values>
          <value>
            <val>-14.72</val>
          </value>
        </values>
      </ddeItem>
      <ddeItem name="FQFB1.128" advise="1">
        <values>
          <value>
            <val>2686</val>
          </value>
        </values>
      </ddeItem>
      <ddeItem name="FQFB1.130" advise="1">
        <values>
          <value>
            <val>16329.54</val>
          </value>
        </values>
      </ddeItem>
      <ddeItem name="FQFB1.131" advise="1">
        <values>
          <value>
            <val>16456.939999999999</val>
          </value>
        </values>
      </ddeItem>
      <ddeItem name="FQFB1.132" advise="1">
        <values>
          <value>
            <val>16329.54</val>
          </value>
        </values>
      </ddeItem>
      <ddeItem name="FQFB1.133" advise="1">
        <values>
          <value>
            <val>4022793</val>
          </value>
        </values>
      </ddeItem>
      <ddeItem name="FQFB1.135" advise="1">
        <values>
          <value t="str">
            <val xml:space="preserve"> -</val>
          </value>
        </values>
      </ddeItem>
      <ddeItem name="FQFB1.136" advise="1">
        <values>
          <value t="str">
            <val xml:space="preserve"> -</val>
          </value>
        </values>
      </ddeItem>
      <ddeItem name="FQFB1.201" advise="1">
        <values>
          <value t="str">
            <val xml:space="preserve"> -</val>
          </value>
        </values>
      </ddeItem>
      <ddeItem name="FQFB1.202" advise="1">
        <values>
          <value t="str">
            <val xml:space="preserve"> -</val>
          </value>
        </values>
      </ddeItem>
      <ddeItem name="FQFB1.203" advise="1">
        <values>
          <value t="str">
            <val xml:space="preserve"> -</val>
          </value>
        </values>
      </ddeItem>
      <ddeItem name="FQFB1.204" advise="1">
        <values>
          <value t="str">
            <val xml:space="preserve"> -</val>
          </value>
        </values>
      </ddeItem>
      <ddeItem name="FQFB1.205" advise="1">
        <values>
          <value t="str">
            <val xml:space="preserve"> -</val>
          </value>
        </values>
      </ddeItem>
      <ddeItem name="FQFB1.211" advise="1">
        <values>
          <value t="str">
            <val xml:space="preserve"> -</val>
          </value>
        </values>
      </ddeItem>
      <ddeItem name="FQFB1.212" advise="1">
        <values>
          <value t="str">
            <val xml:space="preserve"> -</val>
          </value>
        </values>
      </ddeItem>
      <ddeItem name="FQFB1.213" advise="1">
        <values>
          <value t="str">
            <val xml:space="preserve"> -</val>
          </value>
        </values>
      </ddeItem>
      <ddeItem name="FQFB1.214" advise="1">
        <values>
          <value t="str">
            <val xml:space="preserve"> -</val>
          </value>
        </values>
      </ddeItem>
      <ddeItem name="FQFB1.215" advise="1">
        <values>
          <value t="str">
            <val xml:space="preserve"> -</val>
          </value>
        </values>
      </ddeItem>
      <ddeItem name="FQFB1.221" advise="1">
        <values>
          <value t="str">
            <val>-</val>
          </value>
        </values>
      </ddeItem>
      <ddeItem name="FQFB1.222" advise="1">
        <values>
          <value t="str">
            <val>-</val>
          </value>
        </values>
      </ddeItem>
      <ddeItem name="FQFB1.223" advise="1">
        <values>
          <value t="str">
            <val>-</val>
          </value>
        </values>
      </ddeItem>
      <ddeItem name="FQFB1.224" advise="1">
        <values>
          <value t="str">
            <val>-</val>
          </value>
        </values>
      </ddeItem>
      <ddeItem name="FQFB1.225" advise="1">
        <values>
          <value t="str">
            <val>-</val>
          </value>
        </values>
      </ddeItem>
      <ddeItem name="FQFB1.231" advise="1">
        <values>
          <value t="str">
            <val>-</val>
          </value>
        </values>
      </ddeItem>
      <ddeItem name="FQFB1.232" advise="1">
        <values>
          <value t="str">
            <val>-</val>
          </value>
        </values>
      </ddeItem>
      <ddeItem name="FQFB1.233" advise="1">
        <values>
          <value t="str">
            <val>-</val>
          </value>
        </values>
      </ddeItem>
      <ddeItem name="FQFB1.234" advise="1">
        <values>
          <value t="str">
            <val>-</val>
          </value>
        </values>
      </ddeItem>
      <ddeItem name="FQFB1.235" advise="1">
        <values>
          <value t="str">
            <val>-</val>
          </value>
        </values>
      </ddeItem>
      <ddeItem name="FQFB1.402" advise="1">
        <values>
          <value t="str">
            <val>加權指數</val>
          </value>
        </values>
      </ddeItem>
      <ddeItem name="FQFB1.406" advise="1">
        <values>
          <value t="str">
            <val xml:space="preserve"> -</val>
          </value>
        </values>
      </ddeItem>
      <ddeItem name="FQFB1.407" advise="1">
        <values>
          <value t="str">
            <val xml:space="preserve"> -</val>
          </value>
        </values>
      </ddeItem>
      <ddeItem name="FQFB1.431" advise="1">
        <values>
          <value t="str">
            <val>-</val>
          </value>
        </values>
      </ddeItem>
      <ddeItem name="FQFB1.437" advise="1">
        <values>
          <value t="str">
            <val xml:space="preserve"> -</val>
          </value>
        </values>
      </ddeItem>
      <ddeItem name="FRFB1.123" advise="1">
        <values>
          <value>
            <val>0</val>
          </value>
        </values>
      </ddeItem>
      <ddeItem name="FRFB1.124" advise="1">
        <values>
          <value>
            <val>20878632</val>
          </value>
        </values>
      </ddeItem>
      <ddeItem name="FRFB1.125" advise="1">
        <values>
          <value t="str">
            <val xml:space="preserve"> </val>
          </value>
        </values>
      </ddeItem>
      <ddeItem name="FRFB1.128" advise="1">
        <values>
          <value>
            <val>1212870150</val>
          </value>
        </values>
      </ddeItem>
      <ddeItem name="FRFB1.130" advise="1">
        <values>
          <value>
            <val>20803788</val>
          </value>
        </values>
      </ddeItem>
      <ddeItem name="FRFB1.131" advise="1">
        <values>
          <value>
            <val>20804690</val>
          </value>
        </values>
      </ddeItem>
      <ddeItem name="FRFB1.132" advise="1">
        <values>
          <value>
            <val>10989732</val>
          </value>
        </values>
      </ddeItem>
      <ddeItem name="FRFB1.133" advise="1">
        <values>
          <value>
            <val>2088371110</val>
          </value>
        </values>
      </ddeItem>
      <ddeItem name="FRFB1.135" advise="1">
        <values>
          <value t="str">
            <val xml:space="preserve"> -</val>
          </value>
        </values>
      </ddeItem>
      <ddeItem name="FRFB1.136" advise="1">
        <values>
          <value t="str">
            <val xml:space="preserve"> -</val>
          </value>
        </values>
      </ddeItem>
      <ddeItem name="FRFB1.201" advise="1">
        <values>
          <value t="str">
            <val xml:space="preserve"> -</val>
          </value>
        </values>
      </ddeItem>
      <ddeItem name="FRFB1.202" advise="1">
        <values>
          <value t="str">
            <val xml:space="preserve"> -</val>
          </value>
        </values>
      </ddeItem>
      <ddeItem name="FRFB1.203" advise="1">
        <values>
          <value t="str">
            <val xml:space="preserve"> -</val>
          </value>
        </values>
      </ddeItem>
      <ddeItem name="FRFB1.204" advise="1">
        <values>
          <value t="str">
            <val xml:space="preserve"> -</val>
          </value>
        </values>
      </ddeItem>
      <ddeItem name="FRFB1.205" advise="1">
        <values>
          <value t="str">
            <val xml:space="preserve"> -</val>
          </value>
        </values>
      </ddeItem>
      <ddeItem name="FRFB1.211" advise="1">
        <values>
          <value t="str">
            <val xml:space="preserve"> -</val>
          </value>
        </values>
      </ddeItem>
      <ddeItem name="FRFB1.212" advise="1">
        <values>
          <value t="str">
            <val xml:space="preserve"> -</val>
          </value>
        </values>
      </ddeItem>
      <ddeItem name="FRFB1.213" advise="1">
        <values>
          <value t="str">
            <val xml:space="preserve"> -</val>
          </value>
        </values>
      </ddeItem>
      <ddeItem name="FRFB1.214" advise="1">
        <values>
          <value t="str">
            <val xml:space="preserve"> -</val>
          </value>
        </values>
      </ddeItem>
      <ddeItem name="FRFB1.215" advise="1">
        <values>
          <value t="str">
            <val xml:space="preserve"> -</val>
          </value>
        </values>
      </ddeItem>
      <ddeItem name="FRFB1.221" advise="1">
        <values>
          <value t="str">
            <val>-</val>
          </value>
        </values>
      </ddeItem>
      <ddeItem name="FRFB1.222" advise="1">
        <values>
          <value t="str">
            <val>-</val>
          </value>
        </values>
      </ddeItem>
      <ddeItem name="FRFB1.223" advise="1">
        <values>
          <value t="str">
            <val>-</val>
          </value>
        </values>
      </ddeItem>
      <ddeItem name="FRFB1.224" advise="1">
        <values>
          <value t="str">
            <val>-</val>
          </value>
        </values>
      </ddeItem>
      <ddeItem name="FRFB1.225" advise="1">
        <values>
          <value t="str">
            <val>-</val>
          </value>
        </values>
      </ddeItem>
      <ddeItem name="FRFB1.231" advise="1">
        <values>
          <value t="str">
            <val>-</val>
          </value>
        </values>
      </ddeItem>
      <ddeItem name="FRFB1.232" advise="1">
        <values>
          <value t="str">
            <val>-</val>
          </value>
        </values>
      </ddeItem>
      <ddeItem name="FRFB1.233" advise="1">
        <values>
          <value t="str">
            <val>-</val>
          </value>
        </values>
      </ddeItem>
      <ddeItem name="FRFB1.234" advise="1">
        <values>
          <value t="str">
            <val>-</val>
          </value>
        </values>
      </ddeItem>
      <ddeItem name="FRFB1.235" advise="1">
        <values>
          <value t="str">
            <val>-</val>
          </value>
        </values>
      </ddeItem>
      <ddeItem name="FRFB1.402" advise="1"/>
      <ddeItem name="FRFB1.406" advise="1">
        <values>
          <value t="str">
            <val xml:space="preserve"> -</val>
          </value>
        </values>
      </ddeItem>
      <ddeItem name="FRFB1.407" advise="1">
        <values>
          <value t="str">
            <val xml:space="preserve"> -</val>
          </value>
        </values>
      </ddeItem>
      <ddeItem name="FRFB1.431" advise="1">
        <values>
          <value t="str">
            <val>-</val>
          </value>
        </values>
      </ddeItem>
      <ddeItem name="FRFB1.437" advise="1">
        <values>
          <value t="str">
            <val xml:space="preserve"> -</val>
          </value>
        </values>
      </ddeItem>
      <ddeItem name="FTFB1.123" advise="1">
        <values>
          <value>
            <val>100135</val>
          </value>
        </values>
      </ddeItem>
      <ddeItem name="FTFB1.124" advise="1">
        <values>
          <value>
            <val>16424.64</val>
          </value>
        </values>
      </ddeItem>
      <ddeItem name="FTFB1.125" advise="1">
        <values>
          <value>
            <val>-18.760000000000002</val>
          </value>
        </values>
      </ddeItem>
      <ddeItem name="FTFB1.128" advise="1">
        <values>
          <value>
            <val>1648</val>
          </value>
        </values>
      </ddeItem>
      <ddeItem name="FTFB1.130" advise="1">
        <values>
          <value>
            <val>16329.54</val>
          </value>
        </values>
      </ddeItem>
      <ddeItem name="FTFB1.131" advise="1">
        <values>
          <value>
            <val>16456.939999999999</val>
          </value>
        </values>
      </ddeItem>
      <ddeItem name="FTFB1.132" advise="1">
        <values>
          <value>
            <val>16329.54</val>
          </value>
        </values>
      </ddeItem>
      <ddeItem name="FTFB1.133" advise="1">
        <values>
          <value>
            <val>4020107</val>
          </value>
        </values>
      </ddeItem>
      <ddeItem name="FTFB1.135" advise="1">
        <values>
          <value t="str">
            <val xml:space="preserve"> -</val>
          </value>
        </values>
      </ddeItem>
      <ddeItem name="FTFB1.136" advise="1">
        <values>
          <value t="str">
            <val xml:space="preserve"> -</val>
          </value>
        </values>
      </ddeItem>
      <ddeItem name="FTFB1.201" advise="1">
        <values>
          <value t="str">
            <val xml:space="preserve"> -</val>
          </value>
        </values>
      </ddeItem>
      <ddeItem name="FTFB1.202" advise="1">
        <values>
          <value t="str">
            <val xml:space="preserve"> -</val>
          </value>
        </values>
      </ddeItem>
      <ddeItem name="FTFB1.203" advise="1">
        <values>
          <value t="str">
            <val xml:space="preserve"> -</val>
          </value>
        </values>
      </ddeItem>
      <ddeItem name="FTFB1.204" advise="1">
        <values>
          <value t="str">
            <val xml:space="preserve"> -</val>
          </value>
        </values>
      </ddeItem>
      <ddeItem name="FTFB1.205" advise="1">
        <values>
          <value t="str">
            <val xml:space="preserve"> -</val>
          </value>
        </values>
      </ddeItem>
      <ddeItem name="FTFB1.211" advise="1">
        <values>
          <value t="str">
            <val xml:space="preserve"> -</val>
          </value>
        </values>
      </ddeItem>
      <ddeItem name="FTFB1.212" advise="1">
        <values>
          <value t="str">
            <val xml:space="preserve"> -</val>
          </value>
        </values>
      </ddeItem>
      <ddeItem name="FTFB1.213" advise="1">
        <values>
          <value t="str">
            <val xml:space="preserve"> -</val>
          </value>
        </values>
      </ddeItem>
      <ddeItem name="FTFB1.214" advise="1">
        <values>
          <value t="str">
            <val xml:space="preserve"> -</val>
          </value>
        </values>
      </ddeItem>
      <ddeItem name="FTFB1.215" advise="1">
        <values>
          <value t="str">
            <val xml:space="preserve"> -</val>
          </value>
        </values>
      </ddeItem>
      <ddeItem name="FTFB1.221" advise="1">
        <values>
          <value t="str">
            <val>-</val>
          </value>
        </values>
      </ddeItem>
      <ddeItem name="FTFB1.222" advise="1">
        <values>
          <value t="str">
            <val>-</val>
          </value>
        </values>
      </ddeItem>
      <ddeItem name="FTFB1.223" advise="1">
        <values>
          <value t="str">
            <val>-</val>
          </value>
        </values>
      </ddeItem>
      <ddeItem name="FTFB1.224" advise="1">
        <values>
          <value t="str">
            <val>-</val>
          </value>
        </values>
      </ddeItem>
      <ddeItem name="FTFB1.225" advise="1">
        <values>
          <value t="str">
            <val>-</val>
          </value>
        </values>
      </ddeItem>
      <ddeItem name="FTFB1.231" advise="1">
        <values>
          <value t="str">
            <val>-</val>
          </value>
        </values>
      </ddeItem>
      <ddeItem name="FTFB1.232" advise="1">
        <values>
          <value t="str">
            <val>-</val>
          </value>
        </values>
      </ddeItem>
      <ddeItem name="FTFB1.233" advise="1">
        <values>
          <value t="str">
            <val>-</val>
          </value>
        </values>
      </ddeItem>
      <ddeItem name="FTFB1.234" advise="1">
        <values>
          <value t="str">
            <val>-</val>
          </value>
        </values>
      </ddeItem>
      <ddeItem name="FTFB1.235" advise="1">
        <values>
          <value t="str">
            <val>-</val>
          </value>
        </values>
      </ddeItem>
      <ddeItem name="FTFB1.402" advise="1">
        <values>
          <value t="str">
            <val>加權指數</val>
          </value>
        </values>
      </ddeItem>
      <ddeItem name="FTFB1.406" advise="1">
        <values>
          <value t="str">
            <val xml:space="preserve"> -</val>
          </value>
        </values>
      </ddeItem>
      <ddeItem name="FTFB1.407" advise="1">
        <values>
          <value t="str">
            <val xml:space="preserve"> -</val>
          </value>
        </values>
      </ddeItem>
      <ddeItem name="FTFB1.431" advise="1">
        <values>
          <value t="str">
            <val>-</val>
          </value>
        </values>
      </ddeItem>
      <ddeItem name="FTFB1.437" advise="1">
        <values>
          <value t="str">
            <val xml:space="preserve"> -</val>
          </value>
        </values>
      </ddeItem>
      <ddeItem name="FVFB1.123" advise="1">
        <values>
          <value>
            <val>100135</val>
          </value>
        </values>
      </ddeItem>
      <ddeItem name="FVFB1.124" advise="1">
        <values>
          <value>
            <val>16424.64</val>
          </value>
        </values>
      </ddeItem>
      <ddeItem name="FVFB1.125" advise="1">
        <values>
          <value>
            <val>-18.760000000000002</val>
          </value>
        </values>
      </ddeItem>
      <ddeItem name="FVFB1.128" advise="1">
        <values>
          <value>
            <val>1648</val>
          </value>
        </values>
      </ddeItem>
      <ddeItem name="FVFB1.130" advise="1">
        <values>
          <value>
            <val>16329.54</val>
          </value>
        </values>
      </ddeItem>
      <ddeItem name="FVFB1.131" advise="1">
        <values>
          <value>
            <val>16456.939999999999</val>
          </value>
        </values>
      </ddeItem>
      <ddeItem name="FVFB1.132" advise="1">
        <values>
          <value>
            <val>16329.54</val>
          </value>
        </values>
      </ddeItem>
      <ddeItem name="FVFB1.133" advise="1">
        <values>
          <value>
            <val>4020107</val>
          </value>
        </values>
      </ddeItem>
      <ddeItem name="FVFB1.135" advise="1">
        <values>
          <value t="str">
            <val xml:space="preserve"> -</val>
          </value>
        </values>
      </ddeItem>
      <ddeItem name="FVFB1.136" advise="1">
        <values>
          <value t="str">
            <val xml:space="preserve"> -</val>
          </value>
        </values>
      </ddeItem>
      <ddeItem name="FVFB1.201" advise="1">
        <values>
          <value t="str">
            <val xml:space="preserve"> -</val>
          </value>
        </values>
      </ddeItem>
      <ddeItem name="FVFB1.202" advise="1">
        <values>
          <value t="str">
            <val xml:space="preserve"> -</val>
          </value>
        </values>
      </ddeItem>
      <ddeItem name="FVFB1.203" advise="1">
        <values>
          <value t="str">
            <val xml:space="preserve"> -</val>
          </value>
        </values>
      </ddeItem>
      <ddeItem name="FVFB1.204" advise="1">
        <values>
          <value t="str">
            <val xml:space="preserve"> -</val>
          </value>
        </values>
      </ddeItem>
      <ddeItem name="FVFB1.205" advise="1">
        <values>
          <value t="str">
            <val xml:space="preserve"> -</val>
          </value>
        </values>
      </ddeItem>
      <ddeItem name="FVFB1.211" advise="1">
        <values>
          <value t="str">
            <val xml:space="preserve"> -</val>
          </value>
        </values>
      </ddeItem>
      <ddeItem name="FVFB1.212" advise="1">
        <values>
          <value t="str">
            <val xml:space="preserve"> -</val>
          </value>
        </values>
      </ddeItem>
      <ddeItem name="FVFB1.213" advise="1">
        <values>
          <value t="str">
            <val xml:space="preserve"> -</val>
          </value>
        </values>
      </ddeItem>
      <ddeItem name="FVFB1.214" advise="1">
        <values>
          <value t="str">
            <val xml:space="preserve"> -</val>
          </value>
        </values>
      </ddeItem>
      <ddeItem name="FVFB1.215" advise="1">
        <values>
          <value t="str">
            <val xml:space="preserve"> -</val>
          </value>
        </values>
      </ddeItem>
      <ddeItem name="FVFB1.221" advise="1">
        <values>
          <value t="str">
            <val>-</val>
          </value>
        </values>
      </ddeItem>
      <ddeItem name="FVFB1.222" advise="1">
        <values>
          <value t="str">
            <val>-</val>
          </value>
        </values>
      </ddeItem>
      <ddeItem name="FVFB1.223" advise="1">
        <values>
          <value t="str">
            <val>-</val>
          </value>
        </values>
      </ddeItem>
      <ddeItem name="FVFB1.224" advise="1">
        <values>
          <value t="str">
            <val>-</val>
          </value>
        </values>
      </ddeItem>
      <ddeItem name="FVFB1.225" advise="1">
        <values>
          <value t="str">
            <val>-</val>
          </value>
        </values>
      </ddeItem>
      <ddeItem name="FVFB1.231" advise="1">
        <values>
          <value t="str">
            <val>-</val>
          </value>
        </values>
      </ddeItem>
      <ddeItem name="FVFB1.232" advise="1">
        <values>
          <value t="str">
            <val>-</val>
          </value>
        </values>
      </ddeItem>
      <ddeItem name="FVFB1.233" advise="1">
        <values>
          <value t="str">
            <val>-</val>
          </value>
        </values>
      </ddeItem>
      <ddeItem name="FVFB1.234" advise="1">
        <values>
          <value t="str">
            <val>-</val>
          </value>
        </values>
      </ddeItem>
      <ddeItem name="FVFB1.235" advise="1">
        <values>
          <value t="str">
            <val>-</val>
          </value>
        </values>
      </ddeItem>
      <ddeItem name="FVFB1.402" advise="1">
        <values>
          <value t="str">
            <val>加權指數</val>
          </value>
        </values>
      </ddeItem>
      <ddeItem name="FVFB1.406" advise="1">
        <values>
          <value t="str">
            <val xml:space="preserve"> -</val>
          </value>
        </values>
      </ddeItem>
      <ddeItem name="FVFB1.407" advise="1">
        <values>
          <value t="str">
            <val xml:space="preserve"> -</val>
          </value>
        </values>
      </ddeItem>
      <ddeItem name="FVFB1.431" advise="1">
        <values>
          <value t="str">
            <val>-</val>
          </value>
        </values>
      </ddeItem>
      <ddeItem name="FVFB1.437" advise="1">
        <values>
          <value t="str">
            <val xml:space="preserve"> -</val>
          </value>
        </values>
      </ddeItem>
      <ddeItem name="FWFB1.123" advise="1">
        <values>
          <value>
            <val>100135</val>
          </value>
        </values>
      </ddeItem>
      <ddeItem name="FWFB1.124" advise="1">
        <values>
          <value>
            <val>13893.65</val>
          </value>
        </values>
      </ddeItem>
      <ddeItem name="FWFB1.125" advise="1">
        <values>
          <value>
            <val>7.07</val>
          </value>
        </values>
      </ddeItem>
      <ddeItem name="FWFB1.128" advise="1">
        <values>
          <value>
            <val>611</val>
          </value>
        </values>
      </ddeItem>
      <ddeItem name="FWFB1.130" advise="1">
        <values>
          <value>
            <val>13893.03</val>
          </value>
        </values>
      </ddeItem>
      <ddeItem name="FWFB1.131" advise="1">
        <values>
          <value>
            <val>13945.78</val>
          </value>
        </values>
      </ddeItem>
      <ddeItem name="FWFB1.132" advise="1">
        <values>
          <value>
            <val>13875.82</val>
          </value>
        </values>
      </ddeItem>
      <ddeItem name="FWFB1.133" advise="1">
        <values>
          <value>
            <val>871785</val>
          </value>
        </values>
      </ddeItem>
      <ddeItem name="FWFB1.135" advise="1">
        <values>
          <value t="str">
            <val xml:space="preserve"> -</val>
          </value>
        </values>
      </ddeItem>
      <ddeItem name="FWFB1.136" advise="1">
        <values>
          <value t="str">
            <val xml:space="preserve"> -</val>
          </value>
        </values>
      </ddeItem>
      <ddeItem name="FWFB1.201" advise="1">
        <values>
          <value t="str">
            <val xml:space="preserve"> -</val>
          </value>
        </values>
      </ddeItem>
      <ddeItem name="FWFB1.202" advise="1">
        <values>
          <value t="str">
            <val xml:space="preserve"> -</val>
          </value>
        </values>
      </ddeItem>
      <ddeItem name="FWFB1.203" advise="1">
        <values>
          <value t="str">
            <val xml:space="preserve"> -</val>
          </value>
        </values>
      </ddeItem>
      <ddeItem name="FWFB1.204" advise="1">
        <values>
          <value t="str">
            <val xml:space="preserve"> -</val>
          </value>
        </values>
      </ddeItem>
      <ddeItem name="FWFB1.205" advise="1">
        <values>
          <value t="str">
            <val xml:space="preserve"> -</val>
          </value>
        </values>
      </ddeItem>
      <ddeItem name="FWFB1.211" advise="1">
        <values>
          <value t="str">
            <val xml:space="preserve"> -</val>
          </value>
        </values>
      </ddeItem>
      <ddeItem name="FWFB1.212" advise="1">
        <values>
          <value t="str">
            <val xml:space="preserve"> -</val>
          </value>
        </values>
      </ddeItem>
      <ddeItem name="FWFB1.213" advise="1">
        <values>
          <value t="str">
            <val xml:space="preserve"> -</val>
          </value>
        </values>
      </ddeItem>
      <ddeItem name="FWFB1.214" advise="1">
        <values>
          <value t="str">
            <val xml:space="preserve"> -</val>
          </value>
        </values>
      </ddeItem>
      <ddeItem name="FWFB1.215" advise="1">
        <values>
          <value t="str">
            <val xml:space="preserve"> -</val>
          </value>
        </values>
      </ddeItem>
      <ddeItem name="FWFB1.221" advise="1">
        <values>
          <value t="str">
            <val>-</val>
          </value>
        </values>
      </ddeItem>
      <ddeItem name="FWFB1.222" advise="1">
        <values>
          <value t="str">
            <val>-</val>
          </value>
        </values>
      </ddeItem>
      <ddeItem name="FWFB1.223" advise="1">
        <values>
          <value t="str">
            <val>-</val>
          </value>
        </values>
      </ddeItem>
      <ddeItem name="FWFB1.224" advise="1">
        <values>
          <value t="str">
            <val>-</val>
          </value>
        </values>
      </ddeItem>
      <ddeItem name="FWFB1.225" advise="1">
        <values>
          <value t="str">
            <val>-</val>
          </value>
        </values>
      </ddeItem>
      <ddeItem name="FWFB1.231" advise="1">
        <values>
          <value t="str">
            <val>-</val>
          </value>
        </values>
      </ddeItem>
      <ddeItem name="FWFB1.232" advise="1">
        <values>
          <value t="str">
            <val>-</val>
          </value>
        </values>
      </ddeItem>
      <ddeItem name="FWFB1.233" advise="1">
        <values>
          <value t="str">
            <val>-</val>
          </value>
        </values>
      </ddeItem>
      <ddeItem name="FWFB1.234" advise="1">
        <values>
          <value t="str">
            <val>-</val>
          </value>
        </values>
      </ddeItem>
      <ddeItem name="FWFB1.235" advise="1">
        <values>
          <value t="str">
            <val>-</val>
          </value>
        </values>
      </ddeItem>
      <ddeItem name="FWFB1.402" advise="1">
        <values>
          <value t="str">
            <val>不含金電</val>
          </value>
        </values>
      </ddeItem>
      <ddeItem name="FWFB1.406" advise="1">
        <values>
          <value t="str">
            <val xml:space="preserve"> -</val>
          </value>
        </values>
      </ddeItem>
      <ddeItem name="FWFB1.407" advise="1">
        <values>
          <value t="str">
            <val xml:space="preserve"> -</val>
          </value>
        </values>
      </ddeItem>
      <ddeItem name="FWFB1.431" advise="1">
        <values>
          <value t="str">
            <val>-</val>
          </value>
        </values>
      </ddeItem>
      <ddeItem name="FWFB1.437" advise="1">
        <values>
          <value t="str">
            <val xml:space="preserve"> -</val>
          </value>
        </values>
      </ddeItem>
      <ddeItem name="FYFB1.123" advise="1">
        <values>
          <value>
            <val>100130</val>
          </value>
        </values>
      </ddeItem>
      <ddeItem name="FYFB1.124" advise="1">
        <values>
          <value>
            <val>13895.08</val>
          </value>
        </values>
      </ddeItem>
      <ddeItem name="FYFB1.125" advise="1">
        <values>
          <value>
            <val>8.5</val>
          </value>
        </values>
      </ddeItem>
      <ddeItem name="FYFB1.128" advise="1">
        <values>
          <value>
            <val>449</val>
          </value>
        </values>
      </ddeItem>
      <ddeItem name="FYFB1.130" advise="1">
        <values>
          <value>
            <val>13893.03</val>
          </value>
        </values>
      </ddeItem>
      <ddeItem name="FYFB1.131" advise="1">
        <values>
          <value>
            <val>13945.78</val>
          </value>
        </values>
      </ddeItem>
      <ddeItem name="FYFB1.132" advise="1">
        <values>
          <value>
            <val>13875.82</val>
          </value>
        </values>
      </ddeItem>
      <ddeItem name="FYFB1.133" advise="1">
        <values>
          <value>
            <val>871174</val>
          </value>
        </values>
      </ddeItem>
      <ddeItem name="FYFB1.135" advise="1">
        <values>
          <value t="str">
            <val xml:space="preserve"> -</val>
          </value>
        </values>
      </ddeItem>
      <ddeItem name="FYFB1.136" advise="1">
        <values>
          <value t="str">
            <val xml:space="preserve"> -</val>
          </value>
        </values>
      </ddeItem>
      <ddeItem name="FYFB1.201" advise="1">
        <values>
          <value t="str">
            <val xml:space="preserve"> -</val>
          </value>
        </values>
      </ddeItem>
      <ddeItem name="FYFB1.202" advise="1">
        <values>
          <value t="str">
            <val xml:space="preserve"> -</val>
          </value>
        </values>
      </ddeItem>
      <ddeItem name="FYFB1.203" advise="1">
        <values>
          <value t="str">
            <val xml:space="preserve"> -</val>
          </value>
        </values>
      </ddeItem>
      <ddeItem name="FYFB1.204" advise="1">
        <values>
          <value t="str">
            <val xml:space="preserve"> -</val>
          </value>
        </values>
      </ddeItem>
      <ddeItem name="FYFB1.205" advise="1">
        <values>
          <value t="str">
            <val xml:space="preserve"> -</val>
          </value>
        </values>
      </ddeItem>
      <ddeItem name="FYFB1.211" advise="1">
        <values>
          <value t="str">
            <val xml:space="preserve"> -</val>
          </value>
        </values>
      </ddeItem>
      <ddeItem name="FYFB1.212" advise="1">
        <values>
          <value t="str">
            <val xml:space="preserve"> -</val>
          </value>
        </values>
      </ddeItem>
      <ddeItem name="FYFB1.213" advise="1">
        <values>
          <value t="str">
            <val xml:space="preserve"> -</val>
          </value>
        </values>
      </ddeItem>
      <ddeItem name="FYFB1.214" advise="1">
        <values>
          <value t="str">
            <val xml:space="preserve"> -</val>
          </value>
        </values>
      </ddeItem>
      <ddeItem name="FYFB1.215" advise="1">
        <values>
          <value t="str">
            <val xml:space="preserve"> -</val>
          </value>
        </values>
      </ddeItem>
      <ddeItem name="FYFB1.221" advise="1">
        <values>
          <value t="str">
            <val>-</val>
          </value>
        </values>
      </ddeItem>
      <ddeItem name="FYFB1.222" advise="1">
        <values>
          <value t="str">
            <val>-</val>
          </value>
        </values>
      </ddeItem>
      <ddeItem name="FYFB1.223" advise="1">
        <values>
          <value t="str">
            <val>-</val>
          </value>
        </values>
      </ddeItem>
      <ddeItem name="FYFB1.224" advise="1">
        <values>
          <value t="str">
            <val>-</val>
          </value>
        </values>
      </ddeItem>
      <ddeItem name="FYFB1.225" advise="1">
        <values>
          <value t="str">
            <val>-</val>
          </value>
        </values>
      </ddeItem>
      <ddeItem name="FYFB1.231" advise="1">
        <values>
          <value t="str">
            <val>-</val>
          </value>
        </values>
      </ddeItem>
      <ddeItem name="FYFB1.232" advise="1">
        <values>
          <value t="str">
            <val>-</val>
          </value>
        </values>
      </ddeItem>
      <ddeItem name="FYFB1.233" advise="1">
        <values>
          <value t="str">
            <val>-</val>
          </value>
        </values>
      </ddeItem>
      <ddeItem name="FYFB1.234" advise="1">
        <values>
          <value t="str">
            <val>-</val>
          </value>
        </values>
      </ddeItem>
      <ddeItem name="FYFB1.235" advise="1">
        <values>
          <value t="str">
            <val>-</val>
          </value>
        </values>
      </ddeItem>
      <ddeItem name="FYFB1.402" advise="1">
        <values>
          <value t="str">
            <val>不含金電</val>
          </value>
        </values>
      </ddeItem>
      <ddeItem name="FYFB1.406" advise="1">
        <values>
          <value t="str">
            <val xml:space="preserve"> -</val>
          </value>
        </values>
      </ddeItem>
      <ddeItem name="FYFB1.407" advise="1">
        <values>
          <value t="str">
            <val xml:space="preserve"> -</val>
          </value>
        </values>
      </ddeItem>
      <ddeItem name="FYFB1.431" advise="1">
        <values>
          <value t="str">
            <val>-</val>
          </value>
        </values>
      </ddeItem>
      <ddeItem name="FYFB1.437" advise="1">
        <values>
          <value t="str">
            <val xml:space="preserve"> -</val>
          </value>
        </values>
      </ddeItem>
      <ddeItem name="FZFB1.123" advise="1">
        <values>
          <value>
            <val>100150</val>
          </value>
        </values>
      </ddeItem>
      <ddeItem name="FZFB1.124" advise="1">
        <values>
          <value>
            <val>16421.62</val>
          </value>
        </values>
      </ddeItem>
      <ddeItem name="FZFB1.125" advise="1">
        <values>
          <value>
            <val>-21.78</val>
          </value>
        </values>
      </ddeItem>
      <ddeItem name="FZFB1.128" advise="1">
        <values>
          <value>
            <val>2439</val>
          </value>
        </values>
      </ddeItem>
      <ddeItem name="FZFB1.130" advise="1">
        <values>
          <value>
            <val>16329.54</val>
          </value>
        </values>
      </ddeItem>
      <ddeItem name="FZFB1.131" advise="1">
        <values>
          <value>
            <val>16456.939999999999</val>
          </value>
        </values>
      </ddeItem>
      <ddeItem name="FZFB1.132" advise="1">
        <values>
          <value>
            <val>16329.54</val>
          </value>
        </values>
      </ddeItem>
      <ddeItem name="FZFB1.133" advise="1">
        <values>
          <value>
            <val>4027056</val>
          </value>
        </values>
      </ddeItem>
      <ddeItem name="FZFB1.135" advise="1">
        <values>
          <value t="str">
            <val xml:space="preserve"> -</val>
          </value>
        </values>
      </ddeItem>
      <ddeItem name="FZFB1.136" advise="1">
        <values>
          <value t="str">
            <val xml:space="preserve"> -</val>
          </value>
        </values>
      </ddeItem>
      <ddeItem name="FZFB1.201" advise="1">
        <values>
          <value t="str">
            <val xml:space="preserve"> -</val>
          </value>
        </values>
      </ddeItem>
      <ddeItem name="FZFB1.202" advise="1">
        <values>
          <value t="str">
            <val xml:space="preserve"> -</val>
          </value>
        </values>
      </ddeItem>
      <ddeItem name="FZFB1.203" advise="1">
        <values>
          <value t="str">
            <val xml:space="preserve"> -</val>
          </value>
        </values>
      </ddeItem>
      <ddeItem name="FZFB1.204" advise="1">
        <values>
          <value t="str">
            <val xml:space="preserve"> -</val>
          </value>
        </values>
      </ddeItem>
      <ddeItem name="FZFB1.205" advise="1">
        <values>
          <value t="str">
            <val xml:space="preserve"> -</val>
          </value>
        </values>
      </ddeItem>
      <ddeItem name="FZFB1.211" advise="1">
        <values>
          <value t="str">
            <val xml:space="preserve"> -</val>
          </value>
        </values>
      </ddeItem>
      <ddeItem name="FZFB1.212" advise="1">
        <values>
          <value t="str">
            <val xml:space="preserve"> -</val>
          </value>
        </values>
      </ddeItem>
      <ddeItem name="FZFB1.213" advise="1">
        <values>
          <value t="str">
            <val xml:space="preserve"> -</val>
          </value>
        </values>
      </ddeItem>
      <ddeItem name="FZFB1.214" advise="1">
        <values>
          <value t="str">
            <val xml:space="preserve"> -</val>
          </value>
        </values>
      </ddeItem>
      <ddeItem name="FZFB1.215" advise="1">
        <values>
          <value t="str">
            <val xml:space="preserve"> -</val>
          </value>
        </values>
      </ddeItem>
      <ddeItem name="FZFB1.221" advise="1">
        <values>
          <value t="str">
            <val>-</val>
          </value>
        </values>
      </ddeItem>
      <ddeItem name="FZFB1.222" advise="1">
        <values>
          <value t="str">
            <val>-</val>
          </value>
        </values>
      </ddeItem>
      <ddeItem name="FZFB1.223" advise="1">
        <values>
          <value t="str">
            <val>-</val>
          </value>
        </values>
      </ddeItem>
      <ddeItem name="FZFB1.224" advise="1">
        <values>
          <value t="str">
            <val>-</val>
          </value>
        </values>
      </ddeItem>
      <ddeItem name="FZFB1.225" advise="1">
        <values>
          <value t="str">
            <val>-</val>
          </value>
        </values>
      </ddeItem>
      <ddeItem name="FZFB1.231" advise="1">
        <values>
          <value t="str">
            <val>-</val>
          </value>
        </values>
      </ddeItem>
      <ddeItem name="FZFB1.232" advise="1">
        <values>
          <value t="str">
            <val>-</val>
          </value>
        </values>
      </ddeItem>
      <ddeItem name="FZFB1.233" advise="1">
        <values>
          <value t="str">
            <val>-</val>
          </value>
        </values>
      </ddeItem>
      <ddeItem name="FZFB1.234" advise="1">
        <values>
          <value t="str">
            <val>-</val>
          </value>
        </values>
      </ddeItem>
      <ddeItem name="FZFB1.235" advise="1">
        <values>
          <value t="str">
            <val>-</val>
          </value>
        </values>
      </ddeItem>
      <ddeItem name="FZFB1.402" advise="1">
        <values>
          <value t="str">
            <val>加權指數</val>
          </value>
        </values>
      </ddeItem>
      <ddeItem name="FZFB1.406" advise="1">
        <values>
          <value t="str">
            <val xml:space="preserve"> -</val>
          </value>
        </values>
      </ddeItem>
      <ddeItem name="FZFB1.407" advise="1">
        <values>
          <value t="str">
            <val xml:space="preserve"> -</val>
          </value>
        </values>
      </ddeItem>
      <ddeItem name="FZFB1.431" advise="1">
        <values>
          <value t="str">
            <val>-</val>
          </value>
        </values>
      </ddeItem>
      <ddeItem name="FZFB1.437" advise="1">
        <values>
          <value t="str">
            <val xml:space="preserve"> -</val>
          </value>
        </values>
      </ddeItem>
      <ddeItem name="GAFB1.123" advise="1">
        <values>
          <value>
            <val>100140</val>
          </value>
        </values>
      </ddeItem>
      <ddeItem name="GAFB1.124" advise="1">
        <values>
          <value>
            <val>16428.68</val>
          </value>
        </values>
      </ddeItem>
      <ddeItem name="GAFB1.125" advise="1">
        <values>
          <value>
            <val>-14.72</val>
          </value>
        </values>
      </ddeItem>
      <ddeItem name="GAFB1.128" advise="1">
        <values>
          <value>
            <val>2686</val>
          </value>
        </values>
      </ddeItem>
      <ddeItem name="GAFB1.130" advise="1">
        <values>
          <value>
            <val>16329.54</val>
          </value>
        </values>
      </ddeItem>
      <ddeItem name="GAFB1.131" advise="1">
        <values>
          <value>
            <val>16456.939999999999</val>
          </value>
        </values>
      </ddeItem>
      <ddeItem name="GAFB1.132" advise="1">
        <values>
          <value>
            <val>16329.54</val>
          </value>
        </values>
      </ddeItem>
      <ddeItem name="GAFB1.133" advise="1">
        <values>
          <value>
            <val>4022793</val>
          </value>
        </values>
      </ddeItem>
      <ddeItem name="GAFB1.135" advise="1">
        <values>
          <value t="str">
            <val xml:space="preserve"> -</val>
          </value>
        </values>
      </ddeItem>
      <ddeItem name="GAFB1.136" advise="1">
        <values>
          <value t="str">
            <val xml:space="preserve"> -</val>
          </value>
        </values>
      </ddeItem>
      <ddeItem name="GAFB1.201" advise="1">
        <values>
          <value t="str">
            <val xml:space="preserve"> -</val>
          </value>
        </values>
      </ddeItem>
      <ddeItem name="GAFB1.202" advise="1">
        <values>
          <value t="str">
            <val xml:space="preserve"> -</val>
          </value>
        </values>
      </ddeItem>
      <ddeItem name="GAFB1.203" advise="1">
        <values>
          <value t="str">
            <val xml:space="preserve"> -</val>
          </value>
        </values>
      </ddeItem>
      <ddeItem name="GAFB1.204" advise="1">
        <values>
          <value t="str">
            <val xml:space="preserve"> -</val>
          </value>
        </values>
      </ddeItem>
      <ddeItem name="GAFB1.205" advise="1">
        <values>
          <value t="str">
            <val xml:space="preserve"> -</val>
          </value>
        </values>
      </ddeItem>
      <ddeItem name="GAFB1.211" advise="1">
        <values>
          <value t="str">
            <val xml:space="preserve"> -</val>
          </value>
        </values>
      </ddeItem>
      <ddeItem name="GAFB1.212" advise="1">
        <values>
          <value t="str">
            <val xml:space="preserve"> -</val>
          </value>
        </values>
      </ddeItem>
      <ddeItem name="GAFB1.213" advise="1">
        <values>
          <value t="str">
            <val xml:space="preserve"> -</val>
          </value>
        </values>
      </ddeItem>
      <ddeItem name="GAFB1.214" advise="1">
        <values>
          <value t="str">
            <val xml:space="preserve"> -</val>
          </value>
        </values>
      </ddeItem>
      <ddeItem name="GAFB1.215" advise="1">
        <values>
          <value t="str">
            <val xml:space="preserve"> -</val>
          </value>
        </values>
      </ddeItem>
      <ddeItem name="GAFB1.221" advise="1">
        <values>
          <value t="str">
            <val>-</val>
          </value>
        </values>
      </ddeItem>
      <ddeItem name="GAFB1.222" advise="1">
        <values>
          <value t="str">
            <val>-</val>
          </value>
        </values>
      </ddeItem>
      <ddeItem name="GAFB1.223" advise="1">
        <values>
          <value t="str">
            <val>-</val>
          </value>
        </values>
      </ddeItem>
      <ddeItem name="GAFB1.224" advise="1">
        <values>
          <value t="str">
            <val>-</val>
          </value>
        </values>
      </ddeItem>
      <ddeItem name="GAFB1.225" advise="1">
        <values>
          <value t="str">
            <val>-</val>
          </value>
        </values>
      </ddeItem>
      <ddeItem name="GAFB1.231" advise="1">
        <values>
          <value t="str">
            <val>-</val>
          </value>
        </values>
      </ddeItem>
      <ddeItem name="GAFB1.232" advise="1">
        <values>
          <value t="str">
            <val>-</val>
          </value>
        </values>
      </ddeItem>
      <ddeItem name="GAFB1.233" advise="1">
        <values>
          <value t="str">
            <val>-</val>
          </value>
        </values>
      </ddeItem>
      <ddeItem name="GAFB1.234" advise="1">
        <values>
          <value t="str">
            <val>-</val>
          </value>
        </values>
      </ddeItem>
      <ddeItem name="GAFB1.235" advise="1">
        <values>
          <value t="str">
            <val>-</val>
          </value>
        </values>
      </ddeItem>
      <ddeItem name="GAFB1.402" advise="1">
        <values>
          <value t="str">
            <val>加權指數</val>
          </value>
        </values>
      </ddeItem>
      <ddeItem name="GAFB1.406" advise="1">
        <values>
          <value t="str">
            <val xml:space="preserve"> -</val>
          </value>
        </values>
      </ddeItem>
      <ddeItem name="GAFB1.407" advise="1">
        <values>
          <value t="str">
            <val xml:space="preserve"> -</val>
          </value>
        </values>
      </ddeItem>
      <ddeItem name="GAFB1.431" advise="1">
        <values>
          <value t="str">
            <val>-</val>
          </value>
        </values>
      </ddeItem>
      <ddeItem name="GAFB1.437" advise="1">
        <values>
          <value t="str">
            <val xml:space="preserve"> -</val>
          </value>
        </values>
      </ddeItem>
      <ddeItem name="GCFB1.123" advise="1">
        <values>
          <value>
            <val>100135</val>
          </value>
        </values>
      </ddeItem>
      <ddeItem name="GCFB1.124" advise="1">
        <values>
          <value>
            <val>13893.65</val>
          </value>
        </values>
      </ddeItem>
      <ddeItem name="GCFB1.125" advise="1">
        <values>
          <value>
            <val>7.07</val>
          </value>
        </values>
      </ddeItem>
      <ddeItem name="GCFB1.128" advise="1">
        <values>
          <value>
            <val>611</val>
          </value>
        </values>
      </ddeItem>
      <ddeItem name="GCFB1.130" advise="1">
        <values>
          <value>
            <val>13893.03</val>
          </value>
        </values>
      </ddeItem>
      <ddeItem name="GCFB1.131" advise="1">
        <values>
          <value>
            <val>13945.78</val>
          </value>
        </values>
      </ddeItem>
      <ddeItem name="GCFB1.132" advise="1">
        <values>
          <value>
            <val>13875.82</val>
          </value>
        </values>
      </ddeItem>
      <ddeItem name="GCFB1.133" advise="1">
        <values>
          <value>
            <val>871785</val>
          </value>
        </values>
      </ddeItem>
      <ddeItem name="GCFB1.135" advise="1">
        <values>
          <value t="str">
            <val xml:space="preserve"> -</val>
          </value>
        </values>
      </ddeItem>
      <ddeItem name="GCFB1.136" advise="1">
        <values>
          <value t="str">
            <val xml:space="preserve"> -</val>
          </value>
        </values>
      </ddeItem>
      <ddeItem name="GCFB1.201" advise="1">
        <values>
          <value t="str">
            <val xml:space="preserve"> -</val>
          </value>
        </values>
      </ddeItem>
      <ddeItem name="GCFB1.202" advise="1">
        <values>
          <value t="str">
            <val xml:space="preserve"> -</val>
          </value>
        </values>
      </ddeItem>
      <ddeItem name="GCFB1.203" advise="1">
        <values>
          <value t="str">
            <val xml:space="preserve"> -</val>
          </value>
        </values>
      </ddeItem>
      <ddeItem name="GCFB1.204" advise="1">
        <values>
          <value t="str">
            <val xml:space="preserve"> -</val>
          </value>
        </values>
      </ddeItem>
      <ddeItem name="GCFB1.205" advise="1">
        <values>
          <value t="str">
            <val xml:space="preserve"> -</val>
          </value>
        </values>
      </ddeItem>
      <ddeItem name="GCFB1.211" advise="1">
        <values>
          <value t="str">
            <val xml:space="preserve"> -</val>
          </value>
        </values>
      </ddeItem>
      <ddeItem name="GCFB1.212" advise="1">
        <values>
          <value t="str">
            <val xml:space="preserve"> -</val>
          </value>
        </values>
      </ddeItem>
      <ddeItem name="GCFB1.213" advise="1">
        <values>
          <value t="str">
            <val xml:space="preserve"> -</val>
          </value>
        </values>
      </ddeItem>
      <ddeItem name="GCFB1.214" advise="1">
        <values>
          <value t="str">
            <val xml:space="preserve"> -</val>
          </value>
        </values>
      </ddeItem>
      <ddeItem name="GCFB1.215" advise="1">
        <values>
          <value t="str">
            <val xml:space="preserve"> -</val>
          </value>
        </values>
      </ddeItem>
      <ddeItem name="GCFB1.221" advise="1">
        <values>
          <value t="str">
            <val>-</val>
          </value>
        </values>
      </ddeItem>
      <ddeItem name="GCFB1.222" advise="1">
        <values>
          <value t="str">
            <val>-</val>
          </value>
        </values>
      </ddeItem>
      <ddeItem name="GCFB1.223" advise="1">
        <values>
          <value t="str">
            <val>-</val>
          </value>
        </values>
      </ddeItem>
      <ddeItem name="GCFB1.224" advise="1">
        <values>
          <value t="str">
            <val>-</val>
          </value>
        </values>
      </ddeItem>
      <ddeItem name="GCFB1.225" advise="1">
        <values>
          <value t="str">
            <val>-</val>
          </value>
        </values>
      </ddeItem>
      <ddeItem name="GCFB1.231" advise="1">
        <values>
          <value t="str">
            <val>-</val>
          </value>
        </values>
      </ddeItem>
      <ddeItem name="GCFB1.232" advise="1">
        <values>
          <value t="str">
            <val>-</val>
          </value>
        </values>
      </ddeItem>
      <ddeItem name="GCFB1.233" advise="1">
        <values>
          <value t="str">
            <val>-</val>
          </value>
        </values>
      </ddeItem>
      <ddeItem name="GCFB1.234" advise="1">
        <values>
          <value t="str">
            <val>-</val>
          </value>
        </values>
      </ddeItem>
      <ddeItem name="GCFB1.235" advise="1">
        <values>
          <value t="str">
            <val>-</val>
          </value>
        </values>
      </ddeItem>
      <ddeItem name="GCFB1.402" advise="1">
        <values>
          <value t="str">
            <val>不含金電</val>
          </value>
        </values>
      </ddeItem>
      <ddeItem name="GCFB1.406" advise="1">
        <values>
          <value t="str">
            <val xml:space="preserve"> -</val>
          </value>
        </values>
      </ddeItem>
      <ddeItem name="GCFB1.407" advise="1">
        <values>
          <value t="str">
            <val xml:space="preserve"> -</val>
          </value>
        </values>
      </ddeItem>
      <ddeItem name="GCFB1.431" advise="1">
        <values>
          <value t="str">
            <val>-</val>
          </value>
        </values>
      </ddeItem>
      <ddeItem name="GCFB1.437" advise="1">
        <values>
          <value t="str">
            <val xml:space="preserve"> -</val>
          </value>
        </values>
      </ddeItem>
      <ddeItem name="GHFB1.123" advise="1">
        <values>
          <value>
            <val>100130</val>
          </value>
        </values>
      </ddeItem>
      <ddeItem name="GHFB1.124" advise="1">
        <values>
          <value>
            <val>16429</val>
          </value>
        </values>
      </ddeItem>
      <ddeItem name="GHFB1.125" advise="1">
        <values>
          <value>
            <val>-14.4</val>
          </value>
        </values>
      </ddeItem>
      <ddeItem name="GHFB1.128" advise="1">
        <values>
          <value>
            <val>3347</val>
          </value>
        </values>
      </ddeItem>
      <ddeItem name="GHFB1.130" advise="1">
        <values>
          <value>
            <val>16329.54</val>
          </value>
        </values>
      </ddeItem>
      <ddeItem name="GHFB1.131" advise="1">
        <values>
          <value>
            <val>16456.939999999999</val>
          </value>
        </values>
      </ddeItem>
      <ddeItem name="GHFB1.132" advise="1">
        <values>
          <value>
            <val>16329.54</val>
          </value>
        </values>
      </ddeItem>
      <ddeItem name="GHFB1.133" advise="1">
        <values>
          <value>
            <val>4018459</val>
          </value>
        </values>
      </ddeItem>
      <ddeItem name="GHFB1.135" advise="1">
        <values>
          <value t="str">
            <val xml:space="preserve"> -</val>
          </value>
        </values>
      </ddeItem>
      <ddeItem name="GHFB1.136" advise="1">
        <values>
          <value t="str">
            <val xml:space="preserve"> -</val>
          </value>
        </values>
      </ddeItem>
      <ddeItem name="GHFB1.201" advise="1">
        <values>
          <value t="str">
            <val xml:space="preserve"> -</val>
          </value>
        </values>
      </ddeItem>
      <ddeItem name="GHFB1.202" advise="1">
        <values>
          <value t="str">
            <val xml:space="preserve"> -</val>
          </value>
        </values>
      </ddeItem>
      <ddeItem name="GHFB1.203" advise="1">
        <values>
          <value t="str">
            <val xml:space="preserve"> -</val>
          </value>
        </values>
      </ddeItem>
      <ddeItem name="GHFB1.204" advise="1">
        <values>
          <value t="str">
            <val xml:space="preserve"> -</val>
          </value>
        </values>
      </ddeItem>
      <ddeItem name="GHFB1.205" advise="1">
        <values>
          <value t="str">
            <val xml:space="preserve"> -</val>
          </value>
        </values>
      </ddeItem>
      <ddeItem name="GHFB1.211" advise="1">
        <values>
          <value t="str">
            <val xml:space="preserve"> -</val>
          </value>
        </values>
      </ddeItem>
      <ddeItem name="GHFB1.212" advise="1">
        <values>
          <value t="str">
            <val xml:space="preserve"> -</val>
          </value>
        </values>
      </ddeItem>
      <ddeItem name="GHFB1.213" advise="1">
        <values>
          <value t="str">
            <val xml:space="preserve"> -</val>
          </value>
        </values>
      </ddeItem>
      <ddeItem name="GHFB1.214" advise="1">
        <values>
          <value t="str">
            <val xml:space="preserve"> -</val>
          </value>
        </values>
      </ddeItem>
      <ddeItem name="GHFB1.215" advise="1">
        <values>
          <value t="str">
            <val xml:space="preserve"> -</val>
          </value>
        </values>
      </ddeItem>
      <ddeItem name="GHFB1.221" advise="1">
        <values>
          <value t="str">
            <val>-</val>
          </value>
        </values>
      </ddeItem>
      <ddeItem name="GHFB1.222" advise="1">
        <values>
          <value t="str">
            <val>-</val>
          </value>
        </values>
      </ddeItem>
      <ddeItem name="GHFB1.223" advise="1">
        <values>
          <value t="str">
            <val>-</val>
          </value>
        </values>
      </ddeItem>
      <ddeItem name="GHFB1.224" advise="1">
        <values>
          <value t="str">
            <val>-</val>
          </value>
        </values>
      </ddeItem>
      <ddeItem name="GHFB1.225" advise="1">
        <values>
          <value t="str">
            <val>-</val>
          </value>
        </values>
      </ddeItem>
      <ddeItem name="GHFB1.231" advise="1">
        <values>
          <value t="str">
            <val>-</val>
          </value>
        </values>
      </ddeItem>
      <ddeItem name="GHFB1.232" advise="1">
        <values>
          <value t="str">
            <val>-</val>
          </value>
        </values>
      </ddeItem>
      <ddeItem name="GHFB1.233" advise="1">
        <values>
          <value t="str">
            <val>-</val>
          </value>
        </values>
      </ddeItem>
      <ddeItem name="GHFB1.234" advise="1">
        <values>
          <value t="str">
            <val>-</val>
          </value>
        </values>
      </ddeItem>
      <ddeItem name="GHFB1.235" advise="1">
        <values>
          <value t="str">
            <val>-</val>
          </value>
        </values>
      </ddeItem>
      <ddeItem name="GHFB1.402" advise="1">
        <values>
          <value t="str">
            <val>加權指數</val>
          </value>
        </values>
      </ddeItem>
      <ddeItem name="GHFB1.406" advise="1">
        <values>
          <value t="str">
            <val xml:space="preserve"> -</val>
          </value>
        </values>
      </ddeItem>
      <ddeItem name="GHFB1.407" advise="1">
        <values>
          <value t="str">
            <val xml:space="preserve"> -</val>
          </value>
        </values>
      </ddeItem>
      <ddeItem name="GHFB1.431" advise="1">
        <values>
          <value t="str">
            <val>-</val>
          </value>
        </values>
      </ddeItem>
      <ddeItem name="GHFB1.437" advise="1">
        <values>
          <value t="str">
            <val xml:space="preserve"> -</val>
          </value>
        </values>
      </ddeItem>
      <ddeItem name="GIFB1.123" advise="1">
        <values>
          <value>
            <val>100125</val>
          </value>
        </values>
      </ddeItem>
      <ddeItem name="GIFB1.124" advise="1">
        <values>
          <value>
            <val>13894.54</val>
          </value>
        </values>
      </ddeItem>
      <ddeItem name="GIFB1.125" advise="1">
        <values>
          <value>
            <val>7.96</val>
          </value>
        </values>
      </ddeItem>
      <ddeItem name="GIFB1.128" advise="1">
        <values>
          <value>
            <val>789</val>
          </value>
        </values>
      </ddeItem>
      <ddeItem name="GIFB1.130" advise="1">
        <values>
          <value>
            <val>13893.03</val>
          </value>
        </values>
      </ddeItem>
      <ddeItem name="GIFB1.131" advise="1">
        <values>
          <value>
            <val>13945.78</val>
          </value>
        </values>
      </ddeItem>
      <ddeItem name="GIFB1.132" advise="1">
        <values>
          <value>
            <val>13875.82</val>
          </value>
        </values>
      </ddeItem>
      <ddeItem name="GIFB1.133" advise="1">
        <values>
          <value>
            <val>870725</val>
          </value>
        </values>
      </ddeItem>
      <ddeItem name="GIFB1.135" advise="1">
        <values>
          <value t="str">
            <val xml:space="preserve"> -</val>
          </value>
        </values>
      </ddeItem>
      <ddeItem name="GIFB1.136" advise="1">
        <values>
          <value t="str">
            <val xml:space="preserve"> -</val>
          </value>
        </values>
      </ddeItem>
      <ddeItem name="GIFB1.201" advise="1">
        <values>
          <value t="str">
            <val xml:space="preserve"> -</val>
          </value>
        </values>
      </ddeItem>
      <ddeItem name="GIFB1.202" advise="1">
        <values>
          <value t="str">
            <val xml:space="preserve"> -</val>
          </value>
        </values>
      </ddeItem>
      <ddeItem name="GIFB1.203" advise="1">
        <values>
          <value t="str">
            <val xml:space="preserve"> -</val>
          </value>
        </values>
      </ddeItem>
      <ddeItem name="GIFB1.204" advise="1">
        <values>
          <value t="str">
            <val xml:space="preserve"> -</val>
          </value>
        </values>
      </ddeItem>
      <ddeItem name="GIFB1.205" advise="1">
        <values>
          <value t="str">
            <val xml:space="preserve"> -</val>
          </value>
        </values>
      </ddeItem>
      <ddeItem name="GIFB1.211" advise="1">
        <values>
          <value t="str">
            <val xml:space="preserve"> -</val>
          </value>
        </values>
      </ddeItem>
      <ddeItem name="GIFB1.212" advise="1">
        <values>
          <value t="str">
            <val xml:space="preserve"> -</val>
          </value>
        </values>
      </ddeItem>
      <ddeItem name="GIFB1.213" advise="1">
        <values>
          <value t="str">
            <val xml:space="preserve"> -</val>
          </value>
        </values>
      </ddeItem>
      <ddeItem name="GIFB1.214" advise="1">
        <values>
          <value t="str">
            <val xml:space="preserve"> -</val>
          </value>
        </values>
      </ddeItem>
      <ddeItem name="GIFB1.215" advise="1">
        <values>
          <value t="str">
            <val xml:space="preserve"> -</val>
          </value>
        </values>
      </ddeItem>
      <ddeItem name="GIFB1.221" advise="1">
        <values>
          <value t="str">
            <val>-</val>
          </value>
        </values>
      </ddeItem>
      <ddeItem name="GIFB1.222" advise="1">
        <values>
          <value t="str">
            <val>-</val>
          </value>
        </values>
      </ddeItem>
      <ddeItem name="GIFB1.223" advise="1">
        <values>
          <value t="str">
            <val>-</val>
          </value>
        </values>
      </ddeItem>
      <ddeItem name="GIFB1.224" advise="1">
        <values>
          <value t="str">
            <val>-</val>
          </value>
        </values>
      </ddeItem>
      <ddeItem name="GIFB1.225" advise="1">
        <values>
          <value t="str">
            <val>-</val>
          </value>
        </values>
      </ddeItem>
      <ddeItem name="GIFB1.231" advise="1">
        <values>
          <value t="str">
            <val>-</val>
          </value>
        </values>
      </ddeItem>
      <ddeItem name="GIFB1.232" advise="1">
        <values>
          <value t="str">
            <val>-</val>
          </value>
        </values>
      </ddeItem>
      <ddeItem name="GIFB1.233" advise="1">
        <values>
          <value t="str">
            <val>-</val>
          </value>
        </values>
      </ddeItem>
      <ddeItem name="GIFB1.234" advise="1">
        <values>
          <value t="str">
            <val>-</val>
          </value>
        </values>
      </ddeItem>
      <ddeItem name="GIFB1.235" advise="1">
        <values>
          <value t="str">
            <val>-</val>
          </value>
        </values>
      </ddeItem>
      <ddeItem name="GIFB1.402" advise="1">
        <values>
          <value t="str">
            <val>不含金電</val>
          </value>
        </values>
      </ddeItem>
      <ddeItem name="GIFB1.406" advise="1">
        <values>
          <value t="str">
            <val xml:space="preserve"> -</val>
          </value>
        </values>
      </ddeItem>
      <ddeItem name="GIFB1.407" advise="1">
        <values>
          <value t="str">
            <val xml:space="preserve"> -</val>
          </value>
        </values>
      </ddeItem>
      <ddeItem name="GIFB1.431" advise="1">
        <values>
          <value t="str">
            <val>-</val>
          </value>
        </values>
      </ddeItem>
      <ddeItem name="GIFB1.437" advise="1">
        <values>
          <value t="str">
            <val xml:space="preserve"> -</val>
          </value>
        </values>
      </ddeItem>
      <ddeItem name="GJFB1.123" advise="1">
        <values>
          <value>
            <val>100150</val>
          </value>
        </values>
      </ddeItem>
      <ddeItem name="GJFB1.124" advise="1">
        <values>
          <value>
            <val>13900.72</val>
          </value>
        </values>
      </ddeItem>
      <ddeItem name="GJFB1.125" advise="1">
        <values>
          <value>
            <val>14.14</val>
          </value>
        </values>
      </ddeItem>
      <ddeItem name="GJFB1.128" advise="1">
        <values>
          <value>
            <val>887</val>
          </value>
        </values>
      </ddeItem>
      <ddeItem name="GJFB1.130" advise="1">
        <values>
          <value>
            <val>13893.03</val>
          </value>
        </values>
      </ddeItem>
      <ddeItem name="GJFB1.131" advise="1">
        <values>
          <value>
            <val>13945.78</val>
          </value>
        </values>
      </ddeItem>
      <ddeItem name="GJFB1.132" advise="1">
        <values>
          <value>
            <val>13875.82</val>
          </value>
        </values>
      </ddeItem>
      <ddeItem name="GJFB1.133" advise="1">
        <values>
          <value>
            <val>873827</val>
          </value>
        </values>
      </ddeItem>
      <ddeItem name="GJFB1.135" advise="1">
        <values>
          <value t="str">
            <val xml:space="preserve"> -</val>
          </value>
        </values>
      </ddeItem>
      <ddeItem name="GJFB1.136" advise="1">
        <values>
          <value t="str">
            <val xml:space="preserve"> -</val>
          </value>
        </values>
      </ddeItem>
      <ddeItem name="GJFB1.201" advise="1">
        <values>
          <value t="str">
            <val xml:space="preserve"> -</val>
          </value>
        </values>
      </ddeItem>
      <ddeItem name="GJFB1.202" advise="1">
        <values>
          <value t="str">
            <val xml:space="preserve"> -</val>
          </value>
        </values>
      </ddeItem>
      <ddeItem name="GJFB1.203" advise="1">
        <values>
          <value t="str">
            <val xml:space="preserve"> -</val>
          </value>
        </values>
      </ddeItem>
      <ddeItem name="GJFB1.204" advise="1">
        <values>
          <value t="str">
            <val xml:space="preserve"> -</val>
          </value>
        </values>
      </ddeItem>
      <ddeItem name="GJFB1.205" advise="1">
        <values>
          <value t="str">
            <val xml:space="preserve"> -</val>
          </value>
        </values>
      </ddeItem>
      <ddeItem name="GJFB1.211" advise="1">
        <values>
          <value t="str">
            <val xml:space="preserve"> -</val>
          </value>
        </values>
      </ddeItem>
      <ddeItem name="GJFB1.212" advise="1">
        <values>
          <value t="str">
            <val xml:space="preserve"> -</val>
          </value>
        </values>
      </ddeItem>
      <ddeItem name="GJFB1.213" advise="1">
        <values>
          <value t="str">
            <val xml:space="preserve"> -</val>
          </value>
        </values>
      </ddeItem>
      <ddeItem name="GJFB1.214" advise="1">
        <values>
          <value t="str">
            <val xml:space="preserve"> -</val>
          </value>
        </values>
      </ddeItem>
      <ddeItem name="GJFB1.215" advise="1">
        <values>
          <value t="str">
            <val xml:space="preserve"> -</val>
          </value>
        </values>
      </ddeItem>
      <ddeItem name="GJFB1.221" advise="1">
        <values>
          <value t="str">
            <val>-</val>
          </value>
        </values>
      </ddeItem>
      <ddeItem name="GJFB1.222" advise="1">
        <values>
          <value t="str">
            <val>-</val>
          </value>
        </values>
      </ddeItem>
      <ddeItem name="GJFB1.223" advise="1">
        <values>
          <value t="str">
            <val>-</val>
          </value>
        </values>
      </ddeItem>
      <ddeItem name="GJFB1.224" advise="1">
        <values>
          <value t="str">
            <val>-</val>
          </value>
        </values>
      </ddeItem>
      <ddeItem name="GJFB1.225" advise="1">
        <values>
          <value t="str">
            <val>-</val>
          </value>
        </values>
      </ddeItem>
      <ddeItem name="GJFB1.231" advise="1">
        <values>
          <value t="str">
            <val>-</val>
          </value>
        </values>
      </ddeItem>
      <ddeItem name="GJFB1.232" advise="1">
        <values>
          <value t="str">
            <val>-</val>
          </value>
        </values>
      </ddeItem>
      <ddeItem name="GJFB1.233" advise="1">
        <values>
          <value t="str">
            <val>-</val>
          </value>
        </values>
      </ddeItem>
      <ddeItem name="GJFB1.234" advise="1">
        <values>
          <value t="str">
            <val>-</val>
          </value>
        </values>
      </ddeItem>
      <ddeItem name="GJFB1.235" advise="1">
        <values>
          <value t="str">
            <val>-</val>
          </value>
        </values>
      </ddeItem>
      <ddeItem name="GJFB1.402" advise="1">
        <values>
          <value t="str">
            <val>不含金電</val>
          </value>
        </values>
      </ddeItem>
      <ddeItem name="GJFB1.406" advise="1">
        <values>
          <value t="str">
            <val xml:space="preserve"> -</val>
          </value>
        </values>
      </ddeItem>
      <ddeItem name="GJFB1.407" advise="1">
        <values>
          <value t="str">
            <val xml:space="preserve"> -</val>
          </value>
        </values>
      </ddeItem>
      <ddeItem name="GJFB1.431" advise="1">
        <values>
          <value t="str">
            <val>-</val>
          </value>
        </values>
      </ddeItem>
      <ddeItem name="GJFB1.437" advise="1">
        <values>
          <value t="str">
            <val xml:space="preserve"> -</val>
          </value>
        </values>
      </ddeItem>
      <ddeItem name="GLFB1.123" advise="1">
        <values>
          <value>
            <val>0</val>
          </value>
        </values>
      </ddeItem>
      <ddeItem name="GLFB1.124" advise="1">
        <values>
          <value>
            <val>20878632</val>
          </value>
        </values>
      </ddeItem>
      <ddeItem name="GLFB1.125" advise="1">
        <values>
          <value t="str">
            <val xml:space="preserve"> </val>
          </value>
        </values>
      </ddeItem>
      <ddeItem name="GLFB1.128" advise="1">
        <values>
          <value>
            <val>1212870150</val>
          </value>
        </values>
      </ddeItem>
      <ddeItem name="GLFB1.130" advise="1">
        <values>
          <value>
            <val>20803788</val>
          </value>
        </values>
      </ddeItem>
      <ddeItem name="GLFB1.131" advise="1">
        <values>
          <value>
            <val>20804690</val>
          </value>
        </values>
      </ddeItem>
      <ddeItem name="GLFB1.132" advise="1">
        <values>
          <value>
            <val>10989732</val>
          </value>
        </values>
      </ddeItem>
      <ddeItem name="GLFB1.133" advise="1">
        <values>
          <value>
            <val>2088371110</val>
          </value>
        </values>
      </ddeItem>
      <ddeItem name="GLFB1.135" advise="1">
        <values>
          <value t="str">
            <val xml:space="preserve"> -</val>
          </value>
        </values>
      </ddeItem>
      <ddeItem name="GLFB1.136" advise="1">
        <values>
          <value t="str">
            <val xml:space="preserve"> -</val>
          </value>
        </values>
      </ddeItem>
      <ddeItem name="GLFB1.201" advise="1">
        <values>
          <value t="str">
            <val xml:space="preserve"> -</val>
          </value>
        </values>
      </ddeItem>
      <ddeItem name="GLFB1.202" advise="1">
        <values>
          <value t="str">
            <val xml:space="preserve"> -</val>
          </value>
        </values>
      </ddeItem>
      <ddeItem name="GLFB1.203" advise="1">
        <values>
          <value t="str">
            <val xml:space="preserve"> -</val>
          </value>
        </values>
      </ddeItem>
      <ddeItem name="GLFB1.204" advise="1">
        <values>
          <value t="str">
            <val xml:space="preserve"> -</val>
          </value>
        </values>
      </ddeItem>
      <ddeItem name="GLFB1.205" advise="1">
        <values>
          <value t="str">
            <val xml:space="preserve"> -</val>
          </value>
        </values>
      </ddeItem>
      <ddeItem name="GLFB1.211" advise="1">
        <values>
          <value t="str">
            <val xml:space="preserve"> -</val>
          </value>
        </values>
      </ddeItem>
      <ddeItem name="GLFB1.212" advise="1">
        <values>
          <value t="str">
            <val xml:space="preserve"> -</val>
          </value>
        </values>
      </ddeItem>
      <ddeItem name="GLFB1.213" advise="1">
        <values>
          <value t="str">
            <val xml:space="preserve"> -</val>
          </value>
        </values>
      </ddeItem>
      <ddeItem name="GLFB1.214" advise="1">
        <values>
          <value t="str">
            <val xml:space="preserve"> -</val>
          </value>
        </values>
      </ddeItem>
      <ddeItem name="GLFB1.215" advise="1">
        <values>
          <value t="str">
            <val xml:space="preserve"> -</val>
          </value>
        </values>
      </ddeItem>
      <ddeItem name="GLFB1.221" advise="1">
        <values>
          <value t="str">
            <val>-</val>
          </value>
        </values>
      </ddeItem>
      <ddeItem name="GLFB1.222" advise="1">
        <values>
          <value t="str">
            <val>-</val>
          </value>
        </values>
      </ddeItem>
      <ddeItem name="GLFB1.223" advise="1">
        <values>
          <value t="str">
            <val>-</val>
          </value>
        </values>
      </ddeItem>
      <ddeItem name="GLFB1.224" advise="1">
        <values>
          <value t="str">
            <val>-</val>
          </value>
        </values>
      </ddeItem>
      <ddeItem name="GLFB1.225" advise="1">
        <values>
          <value t="str">
            <val>-</val>
          </value>
        </values>
      </ddeItem>
      <ddeItem name="GLFB1.231" advise="1">
        <values>
          <value t="str">
            <val>-</val>
          </value>
        </values>
      </ddeItem>
      <ddeItem name="GLFB1.232" advise="1">
        <values>
          <value t="str">
            <val>-</val>
          </value>
        </values>
      </ddeItem>
      <ddeItem name="GLFB1.233" advise="1">
        <values>
          <value t="str">
            <val>-</val>
          </value>
        </values>
      </ddeItem>
      <ddeItem name="GLFB1.234" advise="1">
        <values>
          <value t="str">
            <val>-</val>
          </value>
        </values>
      </ddeItem>
      <ddeItem name="GLFB1.235" advise="1">
        <values>
          <value t="str">
            <val>-</val>
          </value>
        </values>
      </ddeItem>
      <ddeItem name="GLFB1.402" advise="1"/>
      <ddeItem name="GLFB1.406" advise="1">
        <values>
          <value t="str">
            <val xml:space="preserve"> -</val>
          </value>
        </values>
      </ddeItem>
      <ddeItem name="GLFB1.407" advise="1">
        <values>
          <value t="str">
            <val xml:space="preserve"> -</val>
          </value>
        </values>
      </ddeItem>
      <ddeItem name="GLFB1.431" advise="1">
        <values>
          <value t="str">
            <val>-</val>
          </value>
        </values>
      </ddeItem>
      <ddeItem name="GLFB1.437" advise="1">
        <values>
          <value t="str">
            <val xml:space="preserve"> -</val>
          </value>
        </values>
      </ddeItem>
      <ddeItem name="GMFB1.123" advise="1">
        <values>
          <value>
            <val>100145</val>
          </value>
        </values>
      </ddeItem>
      <ddeItem name="GMFB1.124" advise="1">
        <values>
          <value>
            <val>16422.560000000001</val>
          </value>
        </values>
      </ddeItem>
      <ddeItem name="GMFB1.125" advise="1">
        <values>
          <value>
            <val>-20.84</val>
          </value>
        </values>
      </ddeItem>
      <ddeItem name="GMFB1.128" advise="1">
        <values>
          <value>
            <val>1824</val>
          </value>
        </values>
      </ddeItem>
      <ddeItem name="GMFB1.130" advise="1">
        <values>
          <value>
            <val>16329.54</val>
          </value>
        </values>
      </ddeItem>
      <ddeItem name="GMFB1.131" advise="1">
        <values>
          <value>
            <val>16456.939999999999</val>
          </value>
        </values>
      </ddeItem>
      <ddeItem name="GMFB1.132" advise="1">
        <values>
          <value>
            <val>16329.54</val>
          </value>
        </values>
      </ddeItem>
      <ddeItem name="GMFB1.133" advise="1">
        <values>
          <value>
            <val>4024617</val>
          </value>
        </values>
      </ddeItem>
      <ddeItem name="GMFB1.135" advise="1">
        <values>
          <value t="str">
            <val xml:space="preserve"> -</val>
          </value>
        </values>
      </ddeItem>
      <ddeItem name="GMFB1.136" advise="1">
        <values>
          <value t="str">
            <val xml:space="preserve"> -</val>
          </value>
        </values>
      </ddeItem>
      <ddeItem name="GMFB1.201" advise="1">
        <values>
          <value t="str">
            <val xml:space="preserve"> -</val>
          </value>
        </values>
      </ddeItem>
      <ddeItem name="GMFB1.202" advise="1">
        <values>
          <value t="str">
            <val xml:space="preserve"> -</val>
          </value>
        </values>
      </ddeItem>
      <ddeItem name="GMFB1.203" advise="1">
        <values>
          <value t="str">
            <val xml:space="preserve"> -</val>
          </value>
        </values>
      </ddeItem>
      <ddeItem name="GMFB1.204" advise="1">
        <values>
          <value t="str">
            <val xml:space="preserve"> -</val>
          </value>
        </values>
      </ddeItem>
      <ddeItem name="GMFB1.205" advise="1">
        <values>
          <value t="str">
            <val xml:space="preserve"> -</val>
          </value>
        </values>
      </ddeItem>
      <ddeItem name="GMFB1.211" advise="1">
        <values>
          <value t="str">
            <val xml:space="preserve"> -</val>
          </value>
        </values>
      </ddeItem>
      <ddeItem name="GMFB1.212" advise="1">
        <values>
          <value t="str">
            <val xml:space="preserve"> -</val>
          </value>
        </values>
      </ddeItem>
      <ddeItem name="GMFB1.213" advise="1">
        <values>
          <value t="str">
            <val xml:space="preserve"> -</val>
          </value>
        </values>
      </ddeItem>
      <ddeItem name="GMFB1.214" advise="1">
        <values>
          <value t="str">
            <val xml:space="preserve"> -</val>
          </value>
        </values>
      </ddeItem>
      <ddeItem name="GMFB1.215" advise="1">
        <values>
          <value t="str">
            <val xml:space="preserve"> -</val>
          </value>
        </values>
      </ddeItem>
      <ddeItem name="GMFB1.221" advise="1">
        <values>
          <value t="str">
            <val>-</val>
          </value>
        </values>
      </ddeItem>
      <ddeItem name="GMFB1.222" advise="1">
        <values>
          <value t="str">
            <val>-</val>
          </value>
        </values>
      </ddeItem>
      <ddeItem name="GMFB1.223" advise="1">
        <values>
          <value t="str">
            <val>-</val>
          </value>
        </values>
      </ddeItem>
      <ddeItem name="GMFB1.224" advise="1">
        <values>
          <value t="str">
            <val>-</val>
          </value>
        </values>
      </ddeItem>
      <ddeItem name="GMFB1.225" advise="1">
        <values>
          <value t="str">
            <val>-</val>
          </value>
        </values>
      </ddeItem>
      <ddeItem name="GMFB1.231" advise="1">
        <values>
          <value t="str">
            <val>-</val>
          </value>
        </values>
      </ddeItem>
      <ddeItem name="GMFB1.232" advise="1">
        <values>
          <value t="str">
            <val>-</val>
          </value>
        </values>
      </ddeItem>
      <ddeItem name="GMFB1.233" advise="1">
        <values>
          <value t="str">
            <val>-</val>
          </value>
        </values>
      </ddeItem>
      <ddeItem name="GMFB1.234" advise="1">
        <values>
          <value t="str">
            <val>-</val>
          </value>
        </values>
      </ddeItem>
      <ddeItem name="GMFB1.235" advise="1">
        <values>
          <value t="str">
            <val>-</val>
          </value>
        </values>
      </ddeItem>
      <ddeItem name="GMFB1.402" advise="1">
        <values>
          <value t="str">
            <val>加權指數</val>
          </value>
        </values>
      </ddeItem>
      <ddeItem name="GMFB1.406" advise="1">
        <values>
          <value t="str">
            <val xml:space="preserve"> -</val>
          </value>
        </values>
      </ddeItem>
      <ddeItem name="GMFB1.407" advise="1">
        <values>
          <value t="str">
            <val xml:space="preserve"> -</val>
          </value>
        </values>
      </ddeItem>
      <ddeItem name="GMFB1.431" advise="1">
        <values>
          <value t="str">
            <val>-</val>
          </value>
        </values>
      </ddeItem>
      <ddeItem name="GMFB1.437" advise="1">
        <values>
          <value t="str">
            <val xml:space="preserve"> -</val>
          </value>
        </values>
      </ddeItem>
      <ddeItem name="GNFB1.123" advise="1">
        <values>
          <value>
            <val>0</val>
          </value>
        </values>
      </ddeItem>
      <ddeItem name="GNFB1.124" advise="1">
        <values>
          <value>
            <val>20878632</val>
          </value>
        </values>
      </ddeItem>
      <ddeItem name="GNFB1.125" advise="1">
        <values>
          <value t="str">
            <val xml:space="preserve"> </val>
          </value>
        </values>
      </ddeItem>
      <ddeItem name="GNFB1.128" advise="1">
        <values>
          <value>
            <val>1212870150</val>
          </value>
        </values>
      </ddeItem>
      <ddeItem name="GNFB1.130" advise="1">
        <values>
          <value>
            <val>20803788</val>
          </value>
        </values>
      </ddeItem>
      <ddeItem name="GNFB1.131" advise="1">
        <values>
          <value>
            <val>20804690</val>
          </value>
        </values>
      </ddeItem>
      <ddeItem name="GNFB1.132" advise="1">
        <values>
          <value>
            <val>10989732</val>
          </value>
        </values>
      </ddeItem>
      <ddeItem name="GNFB1.133" advise="1">
        <values>
          <value>
            <val>2088371110</val>
          </value>
        </values>
      </ddeItem>
      <ddeItem name="GNFB1.135" advise="1">
        <values>
          <value t="str">
            <val xml:space="preserve"> -</val>
          </value>
        </values>
      </ddeItem>
      <ddeItem name="GNFB1.136" advise="1">
        <values>
          <value t="str">
            <val xml:space="preserve"> -</val>
          </value>
        </values>
      </ddeItem>
      <ddeItem name="GNFB1.201" advise="1">
        <values>
          <value t="str">
            <val xml:space="preserve"> -</val>
          </value>
        </values>
      </ddeItem>
      <ddeItem name="GNFB1.202" advise="1">
        <values>
          <value t="str">
            <val xml:space="preserve"> -</val>
          </value>
        </values>
      </ddeItem>
      <ddeItem name="GNFB1.203" advise="1">
        <values>
          <value t="str">
            <val xml:space="preserve"> -</val>
          </value>
        </values>
      </ddeItem>
      <ddeItem name="GNFB1.204" advise="1">
        <values>
          <value t="str">
            <val xml:space="preserve"> -</val>
          </value>
        </values>
      </ddeItem>
      <ddeItem name="GNFB1.205" advise="1">
        <values>
          <value t="str">
            <val xml:space="preserve"> -</val>
          </value>
        </values>
      </ddeItem>
      <ddeItem name="GNFB1.211" advise="1">
        <values>
          <value t="str">
            <val xml:space="preserve"> -</val>
          </value>
        </values>
      </ddeItem>
      <ddeItem name="GNFB1.212" advise="1">
        <values>
          <value t="str">
            <val xml:space="preserve"> -</val>
          </value>
        </values>
      </ddeItem>
      <ddeItem name="GNFB1.213" advise="1">
        <values>
          <value t="str">
            <val xml:space="preserve"> -</val>
          </value>
        </values>
      </ddeItem>
      <ddeItem name="GNFB1.214" advise="1">
        <values>
          <value t="str">
            <val xml:space="preserve"> -</val>
          </value>
        </values>
      </ddeItem>
      <ddeItem name="GNFB1.215" advise="1">
        <values>
          <value t="str">
            <val xml:space="preserve"> -</val>
          </value>
        </values>
      </ddeItem>
      <ddeItem name="GNFB1.221" advise="1">
        <values>
          <value t="str">
            <val>-</val>
          </value>
        </values>
      </ddeItem>
      <ddeItem name="GNFB1.222" advise="1">
        <values>
          <value t="str">
            <val>-</val>
          </value>
        </values>
      </ddeItem>
      <ddeItem name="GNFB1.223" advise="1">
        <values>
          <value t="str">
            <val>-</val>
          </value>
        </values>
      </ddeItem>
      <ddeItem name="GNFB1.224" advise="1">
        <values>
          <value t="str">
            <val>-</val>
          </value>
        </values>
      </ddeItem>
      <ddeItem name="GNFB1.225" advise="1">
        <values>
          <value t="str">
            <val>-</val>
          </value>
        </values>
      </ddeItem>
      <ddeItem name="GNFB1.231" advise="1">
        <values>
          <value t="str">
            <val>-</val>
          </value>
        </values>
      </ddeItem>
      <ddeItem name="GNFB1.232" advise="1">
        <values>
          <value t="str">
            <val>-</val>
          </value>
        </values>
      </ddeItem>
      <ddeItem name="GNFB1.233" advise="1">
        <values>
          <value t="str">
            <val>-</val>
          </value>
        </values>
      </ddeItem>
      <ddeItem name="GNFB1.234" advise="1">
        <values>
          <value t="str">
            <val>-</val>
          </value>
        </values>
      </ddeItem>
      <ddeItem name="GNFB1.235" advise="1">
        <values>
          <value t="str">
            <val>-</val>
          </value>
        </values>
      </ddeItem>
      <ddeItem name="GNFB1.402" advise="1"/>
      <ddeItem name="GNFB1.406" advise="1">
        <values>
          <value t="str">
            <val xml:space="preserve"> -</val>
          </value>
        </values>
      </ddeItem>
      <ddeItem name="GNFB1.407" advise="1">
        <values>
          <value t="str">
            <val xml:space="preserve"> -</val>
          </value>
        </values>
      </ddeItem>
      <ddeItem name="GNFB1.431" advise="1">
        <values>
          <value t="str">
            <val>-</val>
          </value>
        </values>
      </ddeItem>
      <ddeItem name="GNFB1.437" advise="1">
        <values>
          <value t="str">
            <val xml:space="preserve"> -</val>
          </value>
        </values>
      </ddeItem>
      <ddeItem name="GOFB1.123" advise="1">
        <values>
          <value>
            <val>100145</val>
          </value>
        </values>
      </ddeItem>
      <ddeItem name="GOFB1.124" advise="1">
        <values>
          <value>
            <val>13895.21</val>
          </value>
        </values>
      </ddeItem>
      <ddeItem name="GOFB1.125" advise="1">
        <values>
          <value>
            <val>8.6300000000000008</val>
          </value>
        </values>
      </ddeItem>
      <ddeItem name="GOFB1.128" advise="1">
        <values>
          <value>
            <val>435</val>
          </value>
        </values>
      </ddeItem>
      <ddeItem name="GOFB1.130" advise="1">
        <values>
          <value>
            <val>13893.03</val>
          </value>
        </values>
      </ddeItem>
      <ddeItem name="GOFB1.131" advise="1">
        <values>
          <value>
            <val>13945.78</val>
          </value>
        </values>
      </ddeItem>
      <ddeItem name="GOFB1.132" advise="1">
        <values>
          <value>
            <val>13875.82</val>
          </value>
        </values>
      </ddeItem>
      <ddeItem name="GOFB1.133" advise="1">
        <values>
          <value>
            <val>872940</val>
          </value>
        </values>
      </ddeItem>
      <ddeItem name="GOFB1.135" advise="1">
        <values>
          <value t="str">
            <val xml:space="preserve"> -</val>
          </value>
        </values>
      </ddeItem>
      <ddeItem name="GOFB1.136" advise="1">
        <values>
          <value t="str">
            <val xml:space="preserve"> -</val>
          </value>
        </values>
      </ddeItem>
      <ddeItem name="GOFB1.201" advise="1">
        <values>
          <value t="str">
            <val xml:space="preserve"> -</val>
          </value>
        </values>
      </ddeItem>
      <ddeItem name="GOFB1.202" advise="1">
        <values>
          <value t="str">
            <val xml:space="preserve"> -</val>
          </value>
        </values>
      </ddeItem>
      <ddeItem name="GOFB1.203" advise="1">
        <values>
          <value t="str">
            <val xml:space="preserve"> -</val>
          </value>
        </values>
      </ddeItem>
      <ddeItem name="GOFB1.204" advise="1">
        <values>
          <value t="str">
            <val xml:space="preserve"> -</val>
          </value>
        </values>
      </ddeItem>
      <ddeItem name="GOFB1.205" advise="1">
        <values>
          <value t="str">
            <val xml:space="preserve"> -</val>
          </value>
        </values>
      </ddeItem>
      <ddeItem name="GOFB1.211" advise="1">
        <values>
          <value t="str">
            <val xml:space="preserve"> -</val>
          </value>
        </values>
      </ddeItem>
      <ddeItem name="GOFB1.212" advise="1">
        <values>
          <value t="str">
            <val xml:space="preserve"> -</val>
          </value>
        </values>
      </ddeItem>
      <ddeItem name="GOFB1.213" advise="1">
        <values>
          <value t="str">
            <val xml:space="preserve"> -</val>
          </value>
        </values>
      </ddeItem>
      <ddeItem name="GOFB1.214" advise="1">
        <values>
          <value t="str">
            <val xml:space="preserve"> -</val>
          </value>
        </values>
      </ddeItem>
      <ddeItem name="GOFB1.215" advise="1">
        <values>
          <value t="str">
            <val xml:space="preserve"> -</val>
          </value>
        </values>
      </ddeItem>
      <ddeItem name="GOFB1.221" advise="1">
        <values>
          <value t="str">
            <val>-</val>
          </value>
        </values>
      </ddeItem>
      <ddeItem name="GOFB1.222" advise="1">
        <values>
          <value t="str">
            <val>-</val>
          </value>
        </values>
      </ddeItem>
      <ddeItem name="GOFB1.223" advise="1">
        <values>
          <value t="str">
            <val>-</val>
          </value>
        </values>
      </ddeItem>
      <ddeItem name="GOFB1.224" advise="1">
        <values>
          <value t="str">
            <val>-</val>
          </value>
        </values>
      </ddeItem>
      <ddeItem name="GOFB1.225" advise="1">
        <values>
          <value t="str">
            <val>-</val>
          </value>
        </values>
      </ddeItem>
      <ddeItem name="GOFB1.231" advise="1">
        <values>
          <value t="str">
            <val>-</val>
          </value>
        </values>
      </ddeItem>
      <ddeItem name="GOFB1.232" advise="1">
        <values>
          <value t="str">
            <val>-</val>
          </value>
        </values>
      </ddeItem>
      <ddeItem name="GOFB1.233" advise="1">
        <values>
          <value t="str">
            <val>-</val>
          </value>
        </values>
      </ddeItem>
      <ddeItem name="GOFB1.234" advise="1">
        <values>
          <value t="str">
            <val>-</val>
          </value>
        </values>
      </ddeItem>
      <ddeItem name="GOFB1.235" advise="1">
        <values>
          <value t="str">
            <val>-</val>
          </value>
        </values>
      </ddeItem>
      <ddeItem name="GOFB1.402" advise="1">
        <values>
          <value t="str">
            <val>不含金電</val>
          </value>
        </values>
      </ddeItem>
      <ddeItem name="GOFB1.406" advise="1">
        <values>
          <value t="str">
            <val xml:space="preserve"> -</val>
          </value>
        </values>
      </ddeItem>
      <ddeItem name="GOFB1.407" advise="1">
        <values>
          <value t="str">
            <val xml:space="preserve"> -</val>
          </value>
        </values>
      </ddeItem>
      <ddeItem name="GOFB1.431" advise="1">
        <values>
          <value t="str">
            <val>-</val>
          </value>
        </values>
      </ddeItem>
      <ddeItem name="GOFB1.437" advise="1">
        <values>
          <value t="str">
            <val xml:space="preserve"> -</val>
          </value>
        </values>
      </ddeItem>
      <ddeItem name="GRFB1.123" advise="1">
        <values>
          <value>
            <val>100140</val>
          </value>
        </values>
      </ddeItem>
      <ddeItem name="GRFB1.124" advise="1">
        <values>
          <value>
            <val>13893.18</val>
          </value>
        </values>
      </ddeItem>
      <ddeItem name="GRFB1.125" advise="1">
        <values>
          <value>
            <val>6.6</val>
          </value>
        </values>
      </ddeItem>
      <ddeItem name="GRFB1.128" advise="1">
        <values>
          <value>
            <val>720</val>
          </value>
        </values>
      </ddeItem>
      <ddeItem name="GRFB1.130" advise="1">
        <values>
          <value>
            <val>13893.03</val>
          </value>
        </values>
      </ddeItem>
      <ddeItem name="GRFB1.131" advise="1">
        <values>
          <value>
            <val>13945.78</val>
          </value>
        </values>
      </ddeItem>
      <ddeItem name="GRFB1.132" advise="1">
        <values>
          <value>
            <val>13875.82</val>
          </value>
        </values>
      </ddeItem>
      <ddeItem name="GRFB1.133" advise="1">
        <values>
          <value>
            <val>872505</val>
          </value>
        </values>
      </ddeItem>
      <ddeItem name="GRFB1.135" advise="1">
        <values>
          <value t="str">
            <val xml:space="preserve"> -</val>
          </value>
        </values>
      </ddeItem>
      <ddeItem name="GRFB1.136" advise="1">
        <values>
          <value t="str">
            <val xml:space="preserve"> -</val>
          </value>
        </values>
      </ddeItem>
      <ddeItem name="GRFB1.201" advise="1">
        <values>
          <value t="str">
            <val xml:space="preserve"> -</val>
          </value>
        </values>
      </ddeItem>
      <ddeItem name="GRFB1.202" advise="1">
        <values>
          <value t="str">
            <val xml:space="preserve"> -</val>
          </value>
        </values>
      </ddeItem>
      <ddeItem name="GRFB1.203" advise="1">
        <values>
          <value t="str">
            <val xml:space="preserve"> -</val>
          </value>
        </values>
      </ddeItem>
      <ddeItem name="GRFB1.204" advise="1">
        <values>
          <value t="str">
            <val xml:space="preserve"> -</val>
          </value>
        </values>
      </ddeItem>
      <ddeItem name="GRFB1.205" advise="1">
        <values>
          <value t="str">
            <val xml:space="preserve"> -</val>
          </value>
        </values>
      </ddeItem>
      <ddeItem name="GRFB1.211" advise="1">
        <values>
          <value t="str">
            <val xml:space="preserve"> -</val>
          </value>
        </values>
      </ddeItem>
      <ddeItem name="GRFB1.212" advise="1">
        <values>
          <value t="str">
            <val xml:space="preserve"> -</val>
          </value>
        </values>
      </ddeItem>
      <ddeItem name="GRFB1.213" advise="1">
        <values>
          <value t="str">
            <val xml:space="preserve"> -</val>
          </value>
        </values>
      </ddeItem>
      <ddeItem name="GRFB1.214" advise="1">
        <values>
          <value t="str">
            <val xml:space="preserve"> -</val>
          </value>
        </values>
      </ddeItem>
      <ddeItem name="GRFB1.215" advise="1">
        <values>
          <value t="str">
            <val xml:space="preserve"> -</val>
          </value>
        </values>
      </ddeItem>
      <ddeItem name="GRFB1.221" advise="1">
        <values>
          <value t="str">
            <val>-</val>
          </value>
        </values>
      </ddeItem>
      <ddeItem name="GRFB1.222" advise="1">
        <values>
          <value t="str">
            <val>-</val>
          </value>
        </values>
      </ddeItem>
      <ddeItem name="GRFB1.223" advise="1">
        <values>
          <value t="str">
            <val>-</val>
          </value>
        </values>
      </ddeItem>
      <ddeItem name="GRFB1.224" advise="1">
        <values>
          <value t="str">
            <val>-</val>
          </value>
        </values>
      </ddeItem>
      <ddeItem name="GRFB1.225" advise="1">
        <values>
          <value t="str">
            <val>-</val>
          </value>
        </values>
      </ddeItem>
      <ddeItem name="GRFB1.231" advise="1">
        <values>
          <value t="str">
            <val>-</val>
          </value>
        </values>
      </ddeItem>
      <ddeItem name="GRFB1.232" advise="1">
        <values>
          <value t="str">
            <val>-</val>
          </value>
        </values>
      </ddeItem>
      <ddeItem name="GRFB1.233" advise="1">
        <values>
          <value t="str">
            <val>-</val>
          </value>
        </values>
      </ddeItem>
      <ddeItem name="GRFB1.234" advise="1">
        <values>
          <value t="str">
            <val>-</val>
          </value>
        </values>
      </ddeItem>
      <ddeItem name="GRFB1.235" advise="1">
        <values>
          <value t="str">
            <val>-</val>
          </value>
        </values>
      </ddeItem>
      <ddeItem name="GRFB1.402" advise="1">
        <values>
          <value t="str">
            <val>不含金電</val>
          </value>
        </values>
      </ddeItem>
      <ddeItem name="GRFB1.406" advise="1">
        <values>
          <value t="str">
            <val xml:space="preserve"> -</val>
          </value>
        </values>
      </ddeItem>
      <ddeItem name="GRFB1.407" advise="1">
        <values>
          <value t="str">
            <val xml:space="preserve"> -</val>
          </value>
        </values>
      </ddeItem>
      <ddeItem name="GRFB1.431" advise="1">
        <values>
          <value t="str">
            <val>-</val>
          </value>
        </values>
      </ddeItem>
      <ddeItem name="GRFB1.437" advise="1">
        <values>
          <value t="str">
            <val xml:space="preserve"> -</val>
          </value>
        </values>
      </ddeItem>
      <ddeItem name="GUFB1.123" advise="1">
        <values>
          <value>
            <val>100135</val>
          </value>
        </values>
      </ddeItem>
      <ddeItem name="GUFB1.124" advise="1">
        <values>
          <value>
            <val>16424.64</val>
          </value>
        </values>
      </ddeItem>
      <ddeItem name="GUFB1.125" advise="1">
        <values>
          <value>
            <val>-18.760000000000002</val>
          </value>
        </values>
      </ddeItem>
      <ddeItem name="GUFB1.128" advise="1">
        <values>
          <value>
            <val>1648</val>
          </value>
        </values>
      </ddeItem>
      <ddeItem name="GUFB1.130" advise="1">
        <values>
          <value>
            <val>16329.54</val>
          </value>
        </values>
      </ddeItem>
      <ddeItem name="GUFB1.131" advise="1">
        <values>
          <value>
            <val>16456.939999999999</val>
          </value>
        </values>
      </ddeItem>
      <ddeItem name="GUFB1.132" advise="1">
        <values>
          <value>
            <val>16329.54</val>
          </value>
        </values>
      </ddeItem>
      <ddeItem name="GUFB1.133" advise="1">
        <values>
          <value>
            <val>4020107</val>
          </value>
        </values>
      </ddeItem>
      <ddeItem name="GUFB1.135" advise="1">
        <values>
          <value t="str">
            <val xml:space="preserve"> -</val>
          </value>
        </values>
      </ddeItem>
      <ddeItem name="GUFB1.136" advise="1">
        <values>
          <value t="str">
            <val xml:space="preserve"> -</val>
          </value>
        </values>
      </ddeItem>
      <ddeItem name="GUFB1.201" advise="1">
        <values>
          <value t="str">
            <val xml:space="preserve"> -</val>
          </value>
        </values>
      </ddeItem>
      <ddeItem name="GUFB1.202" advise="1">
        <values>
          <value t="str">
            <val xml:space="preserve"> -</val>
          </value>
        </values>
      </ddeItem>
      <ddeItem name="GUFB1.203" advise="1">
        <values>
          <value t="str">
            <val xml:space="preserve"> -</val>
          </value>
        </values>
      </ddeItem>
      <ddeItem name="GUFB1.204" advise="1">
        <values>
          <value t="str">
            <val xml:space="preserve"> -</val>
          </value>
        </values>
      </ddeItem>
      <ddeItem name="GUFB1.205" advise="1">
        <values>
          <value t="str">
            <val xml:space="preserve"> -</val>
          </value>
        </values>
      </ddeItem>
      <ddeItem name="GUFB1.211" advise="1">
        <values>
          <value t="str">
            <val xml:space="preserve"> -</val>
          </value>
        </values>
      </ddeItem>
      <ddeItem name="GUFB1.212" advise="1">
        <values>
          <value t="str">
            <val xml:space="preserve"> -</val>
          </value>
        </values>
      </ddeItem>
      <ddeItem name="GUFB1.213" advise="1">
        <values>
          <value t="str">
            <val xml:space="preserve"> -</val>
          </value>
        </values>
      </ddeItem>
      <ddeItem name="GUFB1.214" advise="1">
        <values>
          <value t="str">
            <val xml:space="preserve"> -</val>
          </value>
        </values>
      </ddeItem>
      <ddeItem name="GUFB1.215" advise="1">
        <values>
          <value t="str">
            <val xml:space="preserve"> -</val>
          </value>
        </values>
      </ddeItem>
      <ddeItem name="GUFB1.221" advise="1">
        <values>
          <value t="str">
            <val>-</val>
          </value>
        </values>
      </ddeItem>
      <ddeItem name="GUFB1.222" advise="1">
        <values>
          <value t="str">
            <val>-</val>
          </value>
        </values>
      </ddeItem>
      <ddeItem name="GUFB1.223" advise="1">
        <values>
          <value t="str">
            <val>-</val>
          </value>
        </values>
      </ddeItem>
      <ddeItem name="GUFB1.224" advise="1">
        <values>
          <value t="str">
            <val>-</val>
          </value>
        </values>
      </ddeItem>
      <ddeItem name="GUFB1.225" advise="1">
        <values>
          <value t="str">
            <val>-</val>
          </value>
        </values>
      </ddeItem>
      <ddeItem name="GUFB1.231" advise="1">
        <values>
          <value t="str">
            <val>-</val>
          </value>
        </values>
      </ddeItem>
      <ddeItem name="GUFB1.232" advise="1">
        <values>
          <value t="str">
            <val>-</val>
          </value>
        </values>
      </ddeItem>
      <ddeItem name="GUFB1.233" advise="1">
        <values>
          <value t="str">
            <val>-</val>
          </value>
        </values>
      </ddeItem>
      <ddeItem name="GUFB1.234" advise="1">
        <values>
          <value t="str">
            <val>-</val>
          </value>
        </values>
      </ddeItem>
      <ddeItem name="GUFB1.235" advise="1">
        <values>
          <value t="str">
            <val>-</val>
          </value>
        </values>
      </ddeItem>
      <ddeItem name="GUFB1.402" advise="1">
        <values>
          <value t="str">
            <val>加權指數</val>
          </value>
        </values>
      </ddeItem>
      <ddeItem name="GUFB1.406" advise="1">
        <values>
          <value t="str">
            <val xml:space="preserve"> -</val>
          </value>
        </values>
      </ddeItem>
      <ddeItem name="GUFB1.407" advise="1">
        <values>
          <value t="str">
            <val xml:space="preserve"> -</val>
          </value>
        </values>
      </ddeItem>
      <ddeItem name="GUFB1.431" advise="1">
        <values>
          <value t="str">
            <val>-</val>
          </value>
        </values>
      </ddeItem>
      <ddeItem name="GUFB1.437" advise="1">
        <values>
          <value t="str">
            <val xml:space="preserve"> -</val>
          </value>
        </values>
      </ddeItem>
      <ddeItem name="GWFB1.123" advise="1">
        <values>
          <value>
            <val>100135</val>
          </value>
        </values>
      </ddeItem>
      <ddeItem name="GWFB1.124" advise="1">
        <values>
          <value>
            <val>16424.64</val>
          </value>
        </values>
      </ddeItem>
      <ddeItem name="GWFB1.125" advise="1">
        <values>
          <value>
            <val>-18.760000000000002</val>
          </value>
        </values>
      </ddeItem>
      <ddeItem name="GWFB1.128" advise="1">
        <values>
          <value>
            <val>1648</val>
          </value>
        </values>
      </ddeItem>
      <ddeItem name="GWFB1.130" advise="1">
        <values>
          <value>
            <val>16329.54</val>
          </value>
        </values>
      </ddeItem>
      <ddeItem name="GWFB1.131" advise="1">
        <values>
          <value>
            <val>16456.939999999999</val>
          </value>
        </values>
      </ddeItem>
      <ddeItem name="GWFB1.132" advise="1">
        <values>
          <value>
            <val>16329.54</val>
          </value>
        </values>
      </ddeItem>
      <ddeItem name="GWFB1.133" advise="1">
        <values>
          <value>
            <val>4020107</val>
          </value>
        </values>
      </ddeItem>
      <ddeItem name="GWFB1.135" advise="1">
        <values>
          <value t="str">
            <val xml:space="preserve"> -</val>
          </value>
        </values>
      </ddeItem>
      <ddeItem name="GWFB1.136" advise="1">
        <values>
          <value t="str">
            <val xml:space="preserve"> -</val>
          </value>
        </values>
      </ddeItem>
      <ddeItem name="GWFB1.201" advise="1">
        <values>
          <value t="str">
            <val xml:space="preserve"> -</val>
          </value>
        </values>
      </ddeItem>
      <ddeItem name="GWFB1.202" advise="1">
        <values>
          <value t="str">
            <val xml:space="preserve"> -</val>
          </value>
        </values>
      </ddeItem>
      <ddeItem name="GWFB1.203" advise="1">
        <values>
          <value t="str">
            <val xml:space="preserve"> -</val>
          </value>
        </values>
      </ddeItem>
      <ddeItem name="GWFB1.204" advise="1">
        <values>
          <value t="str">
            <val xml:space="preserve"> -</val>
          </value>
        </values>
      </ddeItem>
      <ddeItem name="GWFB1.205" advise="1">
        <values>
          <value t="str">
            <val xml:space="preserve"> -</val>
          </value>
        </values>
      </ddeItem>
      <ddeItem name="GWFB1.211" advise="1">
        <values>
          <value t="str">
            <val xml:space="preserve"> -</val>
          </value>
        </values>
      </ddeItem>
      <ddeItem name="GWFB1.212" advise="1">
        <values>
          <value t="str">
            <val xml:space="preserve"> -</val>
          </value>
        </values>
      </ddeItem>
      <ddeItem name="GWFB1.213" advise="1">
        <values>
          <value t="str">
            <val xml:space="preserve"> -</val>
          </value>
        </values>
      </ddeItem>
      <ddeItem name="GWFB1.214" advise="1">
        <values>
          <value t="str">
            <val xml:space="preserve"> -</val>
          </value>
        </values>
      </ddeItem>
      <ddeItem name="GWFB1.215" advise="1">
        <values>
          <value t="str">
            <val xml:space="preserve"> -</val>
          </value>
        </values>
      </ddeItem>
      <ddeItem name="GWFB1.221" advise="1">
        <values>
          <value t="str">
            <val>-</val>
          </value>
        </values>
      </ddeItem>
      <ddeItem name="GWFB1.222" advise="1">
        <values>
          <value t="str">
            <val>-</val>
          </value>
        </values>
      </ddeItem>
      <ddeItem name="GWFB1.223" advise="1">
        <values>
          <value t="str">
            <val>-</val>
          </value>
        </values>
      </ddeItem>
      <ddeItem name="GWFB1.224" advise="1">
        <values>
          <value t="str">
            <val>-</val>
          </value>
        </values>
      </ddeItem>
      <ddeItem name="GWFB1.225" advise="1">
        <values>
          <value t="str">
            <val>-</val>
          </value>
        </values>
      </ddeItem>
      <ddeItem name="GWFB1.231" advise="1">
        <values>
          <value t="str">
            <val>-</val>
          </value>
        </values>
      </ddeItem>
      <ddeItem name="GWFB1.232" advise="1">
        <values>
          <value t="str">
            <val>-</val>
          </value>
        </values>
      </ddeItem>
      <ddeItem name="GWFB1.233" advise="1">
        <values>
          <value t="str">
            <val>-</val>
          </value>
        </values>
      </ddeItem>
      <ddeItem name="GWFB1.234" advise="1">
        <values>
          <value t="str">
            <val>-</val>
          </value>
        </values>
      </ddeItem>
      <ddeItem name="GWFB1.235" advise="1">
        <values>
          <value t="str">
            <val>-</val>
          </value>
        </values>
      </ddeItem>
      <ddeItem name="GWFB1.402" advise="1">
        <values>
          <value t="str">
            <val>加權指數</val>
          </value>
        </values>
      </ddeItem>
      <ddeItem name="GWFB1.406" advise="1">
        <values>
          <value t="str">
            <val xml:space="preserve"> -</val>
          </value>
        </values>
      </ddeItem>
      <ddeItem name="GWFB1.407" advise="1">
        <values>
          <value t="str">
            <val xml:space="preserve"> -</val>
          </value>
        </values>
      </ddeItem>
      <ddeItem name="GWFB1.431" advise="1">
        <values>
          <value t="str">
            <val>-</val>
          </value>
        </values>
      </ddeItem>
      <ddeItem name="GWFB1.437" advise="1">
        <values>
          <value t="str">
            <val xml:space="preserve"> -</val>
          </value>
        </values>
      </ddeItem>
      <ddeItem name="GXFB1.123" advise="1">
        <values>
          <value>
            <val>0</val>
          </value>
        </values>
      </ddeItem>
      <ddeItem name="GXFB1.124" advise="1">
        <values>
          <value>
            <val>20878632</val>
          </value>
        </values>
      </ddeItem>
      <ddeItem name="GXFB1.125" advise="1">
        <values>
          <value t="str">
            <val xml:space="preserve"> </val>
          </value>
        </values>
      </ddeItem>
      <ddeItem name="GXFB1.128" advise="1">
        <values>
          <value>
            <val>1212870150</val>
          </value>
        </values>
      </ddeItem>
      <ddeItem name="GXFB1.130" advise="1">
        <values>
          <value>
            <val>20803788</val>
          </value>
        </values>
      </ddeItem>
      <ddeItem name="GXFB1.131" advise="1">
        <values>
          <value>
            <val>20804690</val>
          </value>
        </values>
      </ddeItem>
      <ddeItem name="GXFB1.132" advise="1">
        <values>
          <value>
            <val>10989732</val>
          </value>
        </values>
      </ddeItem>
      <ddeItem name="GXFB1.133" advise="1">
        <values>
          <value>
            <val>2088371110</val>
          </value>
        </values>
      </ddeItem>
      <ddeItem name="GXFB1.135" advise="1">
        <values>
          <value t="str">
            <val xml:space="preserve"> -</val>
          </value>
        </values>
      </ddeItem>
      <ddeItem name="GXFB1.136" advise="1">
        <values>
          <value t="str">
            <val xml:space="preserve"> -</val>
          </value>
        </values>
      </ddeItem>
      <ddeItem name="GXFB1.201" advise="1">
        <values>
          <value t="str">
            <val xml:space="preserve"> -</val>
          </value>
        </values>
      </ddeItem>
      <ddeItem name="GXFB1.202" advise="1">
        <values>
          <value t="str">
            <val xml:space="preserve"> -</val>
          </value>
        </values>
      </ddeItem>
      <ddeItem name="GXFB1.203" advise="1">
        <values>
          <value t="str">
            <val xml:space="preserve"> -</val>
          </value>
        </values>
      </ddeItem>
      <ddeItem name="GXFB1.204" advise="1">
        <values>
          <value t="str">
            <val xml:space="preserve"> -</val>
          </value>
        </values>
      </ddeItem>
      <ddeItem name="GXFB1.205" advise="1">
        <values>
          <value t="str">
            <val xml:space="preserve"> -</val>
          </value>
        </values>
      </ddeItem>
      <ddeItem name="GXFB1.211" advise="1">
        <values>
          <value t="str">
            <val xml:space="preserve"> -</val>
          </value>
        </values>
      </ddeItem>
      <ddeItem name="GXFB1.212" advise="1">
        <values>
          <value t="str">
            <val xml:space="preserve"> -</val>
          </value>
        </values>
      </ddeItem>
      <ddeItem name="GXFB1.213" advise="1">
        <values>
          <value t="str">
            <val xml:space="preserve"> -</val>
          </value>
        </values>
      </ddeItem>
      <ddeItem name="GXFB1.214" advise="1">
        <values>
          <value t="str">
            <val xml:space="preserve"> -</val>
          </value>
        </values>
      </ddeItem>
      <ddeItem name="GXFB1.215" advise="1">
        <values>
          <value t="str">
            <val xml:space="preserve"> -</val>
          </value>
        </values>
      </ddeItem>
      <ddeItem name="GXFB1.221" advise="1">
        <values>
          <value t="str">
            <val>-</val>
          </value>
        </values>
      </ddeItem>
      <ddeItem name="GXFB1.222" advise="1">
        <values>
          <value t="str">
            <val>-</val>
          </value>
        </values>
      </ddeItem>
      <ddeItem name="GXFB1.223" advise="1">
        <values>
          <value t="str">
            <val>-</val>
          </value>
        </values>
      </ddeItem>
      <ddeItem name="GXFB1.224" advise="1">
        <values>
          <value t="str">
            <val>-</val>
          </value>
        </values>
      </ddeItem>
      <ddeItem name="GXFB1.225" advise="1">
        <values>
          <value t="str">
            <val>-</val>
          </value>
        </values>
      </ddeItem>
      <ddeItem name="GXFB1.231" advise="1">
        <values>
          <value t="str">
            <val>-</val>
          </value>
        </values>
      </ddeItem>
      <ddeItem name="GXFB1.232" advise="1">
        <values>
          <value t="str">
            <val>-</val>
          </value>
        </values>
      </ddeItem>
      <ddeItem name="GXFB1.233" advise="1">
        <values>
          <value t="str">
            <val>-</val>
          </value>
        </values>
      </ddeItem>
      <ddeItem name="GXFB1.234" advise="1">
        <values>
          <value t="str">
            <val>-</val>
          </value>
        </values>
      </ddeItem>
      <ddeItem name="GXFB1.235" advise="1">
        <values>
          <value t="str">
            <val>-</val>
          </value>
        </values>
      </ddeItem>
      <ddeItem name="GXFB1.402" advise="1"/>
      <ddeItem name="GXFB1.406" advise="1">
        <values>
          <value t="str">
            <val xml:space="preserve"> -</val>
          </value>
        </values>
      </ddeItem>
      <ddeItem name="GXFB1.407" advise="1">
        <values>
          <value t="str">
            <val xml:space="preserve"> -</val>
          </value>
        </values>
      </ddeItem>
      <ddeItem name="GXFB1.431" advise="1">
        <values>
          <value t="str">
            <val>-</val>
          </value>
        </values>
      </ddeItem>
      <ddeItem name="GXFB1.437" advise="1">
        <values>
          <value t="str">
            <val xml:space="preserve"> -</val>
          </value>
        </values>
      </ddeItem>
      <ddeItem name="GZFB1.123" advise="1">
        <values>
          <value>
            <val>100125</val>
          </value>
        </values>
      </ddeItem>
      <ddeItem name="GZFB1.124" advise="1">
        <values>
          <value>
            <val>16429</val>
          </value>
        </values>
      </ddeItem>
      <ddeItem name="GZFB1.125" advise="1">
        <values>
          <value>
            <val>-14.4</val>
          </value>
        </values>
      </ddeItem>
      <ddeItem name="GZFB1.128" advise="1">
        <values>
          <value>
            <val>2036</val>
          </value>
        </values>
      </ddeItem>
      <ddeItem name="GZFB1.130" advise="1">
        <values>
          <value>
            <val>16329.54</val>
          </value>
        </values>
      </ddeItem>
      <ddeItem name="GZFB1.131" advise="1">
        <values>
          <value>
            <val>16456.939999999999</val>
          </value>
        </values>
      </ddeItem>
      <ddeItem name="GZFB1.132" advise="1">
        <values>
          <value>
            <val>16329.54</val>
          </value>
        </values>
      </ddeItem>
      <ddeItem name="GZFB1.133" advise="1">
        <values>
          <value>
            <val>4015112</val>
          </value>
        </values>
      </ddeItem>
      <ddeItem name="GZFB1.135" advise="1">
        <values>
          <value t="str">
            <val xml:space="preserve"> -</val>
          </value>
        </values>
      </ddeItem>
      <ddeItem name="GZFB1.136" advise="1">
        <values>
          <value t="str">
            <val xml:space="preserve"> -</val>
          </value>
        </values>
      </ddeItem>
      <ddeItem name="GZFB1.201" advise="1">
        <values>
          <value t="str">
            <val xml:space="preserve"> -</val>
          </value>
        </values>
      </ddeItem>
      <ddeItem name="GZFB1.202" advise="1">
        <values>
          <value t="str">
            <val xml:space="preserve"> -</val>
          </value>
        </values>
      </ddeItem>
      <ddeItem name="GZFB1.203" advise="1">
        <values>
          <value t="str">
            <val xml:space="preserve"> -</val>
          </value>
        </values>
      </ddeItem>
      <ddeItem name="GZFB1.204" advise="1">
        <values>
          <value t="str">
            <val xml:space="preserve"> -</val>
          </value>
        </values>
      </ddeItem>
      <ddeItem name="GZFB1.205" advise="1">
        <values>
          <value t="str">
            <val xml:space="preserve"> -</val>
          </value>
        </values>
      </ddeItem>
      <ddeItem name="GZFB1.211" advise="1">
        <values>
          <value t="str">
            <val xml:space="preserve"> -</val>
          </value>
        </values>
      </ddeItem>
      <ddeItem name="GZFB1.212" advise="1">
        <values>
          <value t="str">
            <val xml:space="preserve"> -</val>
          </value>
        </values>
      </ddeItem>
      <ddeItem name="GZFB1.213" advise="1">
        <values>
          <value t="str">
            <val xml:space="preserve"> -</val>
          </value>
        </values>
      </ddeItem>
      <ddeItem name="GZFB1.214" advise="1">
        <values>
          <value t="str">
            <val xml:space="preserve"> -</val>
          </value>
        </values>
      </ddeItem>
      <ddeItem name="GZFB1.215" advise="1">
        <values>
          <value t="str">
            <val xml:space="preserve"> -</val>
          </value>
        </values>
      </ddeItem>
      <ddeItem name="GZFB1.221" advise="1">
        <values>
          <value t="str">
            <val>-</val>
          </value>
        </values>
      </ddeItem>
      <ddeItem name="GZFB1.222" advise="1">
        <values>
          <value t="str">
            <val>-</val>
          </value>
        </values>
      </ddeItem>
      <ddeItem name="GZFB1.223" advise="1">
        <values>
          <value t="str">
            <val>-</val>
          </value>
        </values>
      </ddeItem>
      <ddeItem name="GZFB1.224" advise="1">
        <values>
          <value t="str">
            <val>-</val>
          </value>
        </values>
      </ddeItem>
      <ddeItem name="GZFB1.225" advise="1">
        <values>
          <value t="str">
            <val>-</val>
          </value>
        </values>
      </ddeItem>
      <ddeItem name="GZFB1.231" advise="1">
        <values>
          <value t="str">
            <val>-</val>
          </value>
        </values>
      </ddeItem>
      <ddeItem name="GZFB1.232" advise="1">
        <values>
          <value t="str">
            <val>-</val>
          </value>
        </values>
      </ddeItem>
      <ddeItem name="GZFB1.233" advise="1">
        <values>
          <value t="str">
            <val>-</val>
          </value>
        </values>
      </ddeItem>
      <ddeItem name="GZFB1.234" advise="1">
        <values>
          <value t="str">
            <val>-</val>
          </value>
        </values>
      </ddeItem>
      <ddeItem name="GZFB1.235" advise="1">
        <values>
          <value t="str">
            <val>-</val>
          </value>
        </values>
      </ddeItem>
      <ddeItem name="GZFB1.402" advise="1">
        <values>
          <value t="str">
            <val>加權指數</val>
          </value>
        </values>
      </ddeItem>
      <ddeItem name="GZFB1.406" advise="1">
        <values>
          <value t="str">
            <val xml:space="preserve"> -</val>
          </value>
        </values>
      </ddeItem>
      <ddeItem name="GZFB1.407" advise="1">
        <values>
          <value t="str">
            <val xml:space="preserve"> -</val>
          </value>
        </values>
      </ddeItem>
      <ddeItem name="GZFB1.431" advise="1">
        <values>
          <value t="str">
            <val>-</val>
          </value>
        </values>
      </ddeItem>
      <ddeItem name="GZFB1.437" advise="1">
        <values>
          <value t="str">
            <val xml:space="preserve"> -</val>
          </value>
        </values>
      </ddeItem>
      <ddeItem name="HAFB1.123" advise="1">
        <values>
          <value>
            <val>100140</val>
          </value>
        </values>
      </ddeItem>
      <ddeItem name="HAFB1.124" advise="1">
        <values>
          <value>
            <val>16428.68</val>
          </value>
        </values>
      </ddeItem>
      <ddeItem name="HAFB1.125" advise="1">
        <values>
          <value>
            <val>-14.72</val>
          </value>
        </values>
      </ddeItem>
      <ddeItem name="HAFB1.128" advise="1">
        <values>
          <value>
            <val>2686</val>
          </value>
        </values>
      </ddeItem>
      <ddeItem name="HAFB1.130" advise="1">
        <values>
          <value>
            <val>16329.54</val>
          </value>
        </values>
      </ddeItem>
      <ddeItem name="HAFB1.131" advise="1">
        <values>
          <value>
            <val>16456.939999999999</val>
          </value>
        </values>
      </ddeItem>
      <ddeItem name="HAFB1.132" advise="1">
        <values>
          <value>
            <val>16329.54</val>
          </value>
        </values>
      </ddeItem>
      <ddeItem name="HAFB1.133" advise="1">
        <values>
          <value>
            <val>4022793</val>
          </value>
        </values>
      </ddeItem>
      <ddeItem name="HAFB1.135" advise="1">
        <values>
          <value t="str">
            <val xml:space="preserve"> -</val>
          </value>
        </values>
      </ddeItem>
      <ddeItem name="HAFB1.136" advise="1">
        <values>
          <value t="str">
            <val xml:space="preserve"> -</val>
          </value>
        </values>
      </ddeItem>
      <ddeItem name="HAFB1.201" advise="1">
        <values>
          <value t="str">
            <val xml:space="preserve"> -</val>
          </value>
        </values>
      </ddeItem>
      <ddeItem name="HAFB1.202" advise="1">
        <values>
          <value t="str">
            <val xml:space="preserve"> -</val>
          </value>
        </values>
      </ddeItem>
      <ddeItem name="HAFB1.203" advise="1">
        <values>
          <value t="str">
            <val xml:space="preserve"> -</val>
          </value>
        </values>
      </ddeItem>
      <ddeItem name="HAFB1.204" advise="1">
        <values>
          <value t="str">
            <val xml:space="preserve"> -</val>
          </value>
        </values>
      </ddeItem>
      <ddeItem name="HAFB1.205" advise="1">
        <values>
          <value t="str">
            <val xml:space="preserve"> -</val>
          </value>
        </values>
      </ddeItem>
      <ddeItem name="HAFB1.211" advise="1">
        <values>
          <value t="str">
            <val xml:space="preserve"> -</val>
          </value>
        </values>
      </ddeItem>
      <ddeItem name="HAFB1.212" advise="1">
        <values>
          <value t="str">
            <val xml:space="preserve"> -</val>
          </value>
        </values>
      </ddeItem>
      <ddeItem name="HAFB1.213" advise="1">
        <values>
          <value t="str">
            <val xml:space="preserve"> -</val>
          </value>
        </values>
      </ddeItem>
      <ddeItem name="HAFB1.214" advise="1">
        <values>
          <value t="str">
            <val xml:space="preserve"> -</val>
          </value>
        </values>
      </ddeItem>
      <ddeItem name="HAFB1.215" advise="1">
        <values>
          <value t="str">
            <val xml:space="preserve"> -</val>
          </value>
        </values>
      </ddeItem>
      <ddeItem name="HAFB1.221" advise="1">
        <values>
          <value t="str">
            <val>-</val>
          </value>
        </values>
      </ddeItem>
      <ddeItem name="HAFB1.222" advise="1">
        <values>
          <value t="str">
            <val>-</val>
          </value>
        </values>
      </ddeItem>
      <ddeItem name="HAFB1.223" advise="1">
        <values>
          <value t="str">
            <val>-</val>
          </value>
        </values>
      </ddeItem>
      <ddeItem name="HAFB1.224" advise="1">
        <values>
          <value t="str">
            <val>-</val>
          </value>
        </values>
      </ddeItem>
      <ddeItem name="HAFB1.225" advise="1">
        <values>
          <value t="str">
            <val>-</val>
          </value>
        </values>
      </ddeItem>
      <ddeItem name="HAFB1.231" advise="1">
        <values>
          <value t="str">
            <val>-</val>
          </value>
        </values>
      </ddeItem>
      <ddeItem name="HAFB1.232" advise="1">
        <values>
          <value t="str">
            <val>-</val>
          </value>
        </values>
      </ddeItem>
      <ddeItem name="HAFB1.233" advise="1">
        <values>
          <value t="str">
            <val>-</val>
          </value>
        </values>
      </ddeItem>
      <ddeItem name="HAFB1.234" advise="1">
        <values>
          <value t="str">
            <val>-</val>
          </value>
        </values>
      </ddeItem>
      <ddeItem name="HAFB1.235" advise="1">
        <values>
          <value t="str">
            <val>-</val>
          </value>
        </values>
      </ddeItem>
      <ddeItem name="HAFB1.402" advise="1">
        <values>
          <value t="str">
            <val>加權指數</val>
          </value>
        </values>
      </ddeItem>
      <ddeItem name="HAFB1.406" advise="1">
        <values>
          <value t="str">
            <val xml:space="preserve"> -</val>
          </value>
        </values>
      </ddeItem>
      <ddeItem name="HAFB1.407" advise="1">
        <values>
          <value t="str">
            <val xml:space="preserve"> -</val>
          </value>
        </values>
      </ddeItem>
      <ddeItem name="HAFB1.431" advise="1">
        <values>
          <value t="str">
            <val>-</val>
          </value>
        </values>
      </ddeItem>
      <ddeItem name="HAFB1.437" advise="1">
        <values>
          <value t="str">
            <val xml:space="preserve"> -</val>
          </value>
        </values>
      </ddeItem>
      <ddeItem name="HBFB1.123" advise="1">
        <values>
          <value>
            <val>100140</val>
          </value>
        </values>
      </ddeItem>
      <ddeItem name="HBFB1.124" advise="1">
        <values>
          <value>
            <val>16428.68</val>
          </value>
        </values>
      </ddeItem>
      <ddeItem name="HBFB1.125" advise="1">
        <values>
          <value>
            <val>-14.72</val>
          </value>
        </values>
      </ddeItem>
      <ddeItem name="HBFB1.128" advise="1">
        <values>
          <value>
            <val>2686</val>
          </value>
        </values>
      </ddeItem>
      <ddeItem name="HBFB1.130" advise="1">
        <values>
          <value>
            <val>16329.54</val>
          </value>
        </values>
      </ddeItem>
      <ddeItem name="HBFB1.131" advise="1">
        <values>
          <value>
            <val>16456.939999999999</val>
          </value>
        </values>
      </ddeItem>
      <ddeItem name="HBFB1.132" advise="1">
        <values>
          <value>
            <val>16329.54</val>
          </value>
        </values>
      </ddeItem>
      <ddeItem name="HBFB1.133" advise="1">
        <values>
          <value>
            <val>4022793</val>
          </value>
        </values>
      </ddeItem>
      <ddeItem name="HBFB1.135" advise="1">
        <values>
          <value t="str">
            <val xml:space="preserve"> -</val>
          </value>
        </values>
      </ddeItem>
      <ddeItem name="HBFB1.136" advise="1">
        <values>
          <value t="str">
            <val xml:space="preserve"> -</val>
          </value>
        </values>
      </ddeItem>
      <ddeItem name="HBFB1.201" advise="1">
        <values>
          <value t="str">
            <val xml:space="preserve"> -</val>
          </value>
        </values>
      </ddeItem>
      <ddeItem name="HBFB1.202" advise="1">
        <values>
          <value t="str">
            <val xml:space="preserve"> -</val>
          </value>
        </values>
      </ddeItem>
      <ddeItem name="HBFB1.203" advise="1">
        <values>
          <value t="str">
            <val xml:space="preserve"> -</val>
          </value>
        </values>
      </ddeItem>
      <ddeItem name="HBFB1.204" advise="1">
        <values>
          <value t="str">
            <val xml:space="preserve"> -</val>
          </value>
        </values>
      </ddeItem>
      <ddeItem name="HBFB1.205" advise="1">
        <values>
          <value t="str">
            <val xml:space="preserve"> -</val>
          </value>
        </values>
      </ddeItem>
      <ddeItem name="HBFB1.211" advise="1">
        <values>
          <value t="str">
            <val xml:space="preserve"> -</val>
          </value>
        </values>
      </ddeItem>
      <ddeItem name="HBFB1.212" advise="1">
        <values>
          <value t="str">
            <val xml:space="preserve"> -</val>
          </value>
        </values>
      </ddeItem>
      <ddeItem name="HBFB1.213" advise="1">
        <values>
          <value t="str">
            <val xml:space="preserve"> -</val>
          </value>
        </values>
      </ddeItem>
      <ddeItem name="HBFB1.214" advise="1">
        <values>
          <value t="str">
            <val xml:space="preserve"> -</val>
          </value>
        </values>
      </ddeItem>
      <ddeItem name="HBFB1.215" advise="1">
        <values>
          <value t="str">
            <val xml:space="preserve"> -</val>
          </value>
        </values>
      </ddeItem>
      <ddeItem name="HBFB1.221" advise="1">
        <values>
          <value t="str">
            <val>-</val>
          </value>
        </values>
      </ddeItem>
      <ddeItem name="HBFB1.222" advise="1">
        <values>
          <value t="str">
            <val>-</val>
          </value>
        </values>
      </ddeItem>
      <ddeItem name="HBFB1.223" advise="1">
        <values>
          <value t="str">
            <val>-</val>
          </value>
        </values>
      </ddeItem>
      <ddeItem name="HBFB1.224" advise="1">
        <values>
          <value t="str">
            <val>-</val>
          </value>
        </values>
      </ddeItem>
      <ddeItem name="HBFB1.225" advise="1">
        <values>
          <value t="str">
            <val>-</val>
          </value>
        </values>
      </ddeItem>
      <ddeItem name="HBFB1.231" advise="1">
        <values>
          <value t="str">
            <val>-</val>
          </value>
        </values>
      </ddeItem>
      <ddeItem name="HBFB1.232" advise="1">
        <values>
          <value t="str">
            <val>-</val>
          </value>
        </values>
      </ddeItem>
      <ddeItem name="HBFB1.233" advise="1">
        <values>
          <value t="str">
            <val>-</val>
          </value>
        </values>
      </ddeItem>
      <ddeItem name="HBFB1.234" advise="1">
        <values>
          <value t="str">
            <val>-</val>
          </value>
        </values>
      </ddeItem>
      <ddeItem name="HBFB1.235" advise="1">
        <values>
          <value t="str">
            <val>-</val>
          </value>
        </values>
      </ddeItem>
      <ddeItem name="HBFB1.402" advise="1">
        <values>
          <value t="str">
            <val>加權指數</val>
          </value>
        </values>
      </ddeItem>
      <ddeItem name="HBFB1.406" advise="1">
        <values>
          <value t="str">
            <val xml:space="preserve"> -</val>
          </value>
        </values>
      </ddeItem>
      <ddeItem name="HBFB1.407" advise="1">
        <values>
          <value t="str">
            <val xml:space="preserve"> -</val>
          </value>
        </values>
      </ddeItem>
      <ddeItem name="HBFB1.431" advise="1">
        <values>
          <value t="str">
            <val>-</val>
          </value>
        </values>
      </ddeItem>
      <ddeItem name="HBFB1.437" advise="1">
        <values>
          <value t="str">
            <val xml:space="preserve"> -</val>
          </value>
        </values>
      </ddeItem>
      <ddeItem name="HCFB1.123" advise="1">
        <values>
          <value>
            <val>100140</val>
          </value>
        </values>
      </ddeItem>
      <ddeItem name="HCFB1.124" advise="1">
        <values>
          <value>
            <val>13893.18</val>
          </value>
        </values>
      </ddeItem>
      <ddeItem name="HCFB1.125" advise="1">
        <values>
          <value>
            <val>6.6</val>
          </value>
        </values>
      </ddeItem>
      <ddeItem name="HCFB1.128" advise="1">
        <values>
          <value>
            <val>720</val>
          </value>
        </values>
      </ddeItem>
      <ddeItem name="HCFB1.130" advise="1">
        <values>
          <value>
            <val>13893.03</val>
          </value>
        </values>
      </ddeItem>
      <ddeItem name="HCFB1.131" advise="1">
        <values>
          <value>
            <val>13945.78</val>
          </value>
        </values>
      </ddeItem>
      <ddeItem name="HCFB1.132" advise="1">
        <values>
          <value>
            <val>13875.82</val>
          </value>
        </values>
      </ddeItem>
      <ddeItem name="HCFB1.133" advise="1">
        <values>
          <value>
            <val>872505</val>
          </value>
        </values>
      </ddeItem>
      <ddeItem name="HCFB1.135" advise="1">
        <values>
          <value t="str">
            <val xml:space="preserve"> -</val>
          </value>
        </values>
      </ddeItem>
      <ddeItem name="HCFB1.136" advise="1">
        <values>
          <value t="str">
            <val xml:space="preserve"> -</val>
          </value>
        </values>
      </ddeItem>
      <ddeItem name="HCFB1.201" advise="1">
        <values>
          <value t="str">
            <val xml:space="preserve"> -</val>
          </value>
        </values>
      </ddeItem>
      <ddeItem name="HCFB1.202" advise="1">
        <values>
          <value t="str">
            <val xml:space="preserve"> -</val>
          </value>
        </values>
      </ddeItem>
      <ddeItem name="HCFB1.203" advise="1">
        <values>
          <value t="str">
            <val xml:space="preserve"> -</val>
          </value>
        </values>
      </ddeItem>
      <ddeItem name="HCFB1.204" advise="1">
        <values>
          <value t="str">
            <val xml:space="preserve"> -</val>
          </value>
        </values>
      </ddeItem>
      <ddeItem name="HCFB1.205" advise="1">
        <values>
          <value t="str">
            <val xml:space="preserve"> -</val>
          </value>
        </values>
      </ddeItem>
      <ddeItem name="HCFB1.211" advise="1">
        <values>
          <value t="str">
            <val xml:space="preserve"> -</val>
          </value>
        </values>
      </ddeItem>
      <ddeItem name="HCFB1.212" advise="1">
        <values>
          <value t="str">
            <val xml:space="preserve"> -</val>
          </value>
        </values>
      </ddeItem>
      <ddeItem name="HCFB1.213" advise="1">
        <values>
          <value t="str">
            <val xml:space="preserve"> -</val>
          </value>
        </values>
      </ddeItem>
      <ddeItem name="HCFB1.214" advise="1">
        <values>
          <value t="str">
            <val xml:space="preserve"> -</val>
          </value>
        </values>
      </ddeItem>
      <ddeItem name="HCFB1.215" advise="1">
        <values>
          <value t="str">
            <val xml:space="preserve"> -</val>
          </value>
        </values>
      </ddeItem>
      <ddeItem name="HCFB1.221" advise="1">
        <values>
          <value t="str">
            <val>-</val>
          </value>
        </values>
      </ddeItem>
      <ddeItem name="HCFB1.222" advise="1">
        <values>
          <value t="str">
            <val>-</val>
          </value>
        </values>
      </ddeItem>
      <ddeItem name="HCFB1.223" advise="1">
        <values>
          <value t="str">
            <val>-</val>
          </value>
        </values>
      </ddeItem>
      <ddeItem name="HCFB1.224" advise="1">
        <values>
          <value t="str">
            <val>-</val>
          </value>
        </values>
      </ddeItem>
      <ddeItem name="HCFB1.225" advise="1">
        <values>
          <value t="str">
            <val>-</val>
          </value>
        </values>
      </ddeItem>
      <ddeItem name="HCFB1.231" advise="1">
        <values>
          <value t="str">
            <val>-</val>
          </value>
        </values>
      </ddeItem>
      <ddeItem name="HCFB1.232" advise="1">
        <values>
          <value t="str">
            <val>-</val>
          </value>
        </values>
      </ddeItem>
      <ddeItem name="HCFB1.233" advise="1">
        <values>
          <value t="str">
            <val>-</val>
          </value>
        </values>
      </ddeItem>
      <ddeItem name="HCFB1.234" advise="1">
        <values>
          <value t="str">
            <val>-</val>
          </value>
        </values>
      </ddeItem>
      <ddeItem name="HCFB1.235" advise="1">
        <values>
          <value t="str">
            <val>-</val>
          </value>
        </values>
      </ddeItem>
      <ddeItem name="HCFB1.402" advise="1">
        <values>
          <value t="str">
            <val>不含金電</val>
          </value>
        </values>
      </ddeItem>
      <ddeItem name="HCFB1.406" advise="1">
        <values>
          <value t="str">
            <val xml:space="preserve"> -</val>
          </value>
        </values>
      </ddeItem>
      <ddeItem name="HCFB1.407" advise="1">
        <values>
          <value t="str">
            <val xml:space="preserve"> -</val>
          </value>
        </values>
      </ddeItem>
      <ddeItem name="HCFB1.431" advise="1">
        <values>
          <value t="str">
            <val>-</val>
          </value>
        </values>
      </ddeItem>
      <ddeItem name="HCFB1.437" advise="1">
        <values>
          <value t="str">
            <val xml:space="preserve"> -</val>
          </value>
        </values>
      </ddeItem>
      <ddeItem name="HHFB1.123" advise="1">
        <values>
          <value>
            <val>100135</val>
          </value>
        </values>
      </ddeItem>
      <ddeItem name="HHFB1.124" advise="1">
        <values>
          <value>
            <val>13893.65</val>
          </value>
        </values>
      </ddeItem>
      <ddeItem name="HHFB1.125" advise="1">
        <values>
          <value>
            <val>7.07</val>
          </value>
        </values>
      </ddeItem>
      <ddeItem name="HHFB1.128" advise="1">
        <values>
          <value>
            <val>611</val>
          </value>
        </values>
      </ddeItem>
      <ddeItem name="HHFB1.130" advise="1">
        <values>
          <value>
            <val>13893.03</val>
          </value>
        </values>
      </ddeItem>
      <ddeItem name="HHFB1.131" advise="1">
        <values>
          <value>
            <val>13945.78</val>
          </value>
        </values>
      </ddeItem>
      <ddeItem name="HHFB1.132" advise="1">
        <values>
          <value>
            <val>13875.82</val>
          </value>
        </values>
      </ddeItem>
      <ddeItem name="HHFB1.133" advise="1">
        <values>
          <value>
            <val>871785</val>
          </value>
        </values>
      </ddeItem>
      <ddeItem name="HHFB1.135" advise="1">
        <values>
          <value t="str">
            <val xml:space="preserve"> -</val>
          </value>
        </values>
      </ddeItem>
      <ddeItem name="HHFB1.136" advise="1">
        <values>
          <value t="str">
            <val xml:space="preserve"> -</val>
          </value>
        </values>
      </ddeItem>
      <ddeItem name="HHFB1.201" advise="1">
        <values>
          <value t="str">
            <val xml:space="preserve"> -</val>
          </value>
        </values>
      </ddeItem>
      <ddeItem name="HHFB1.202" advise="1">
        <values>
          <value t="str">
            <val xml:space="preserve"> -</val>
          </value>
        </values>
      </ddeItem>
      <ddeItem name="HHFB1.203" advise="1">
        <values>
          <value t="str">
            <val xml:space="preserve"> -</val>
          </value>
        </values>
      </ddeItem>
      <ddeItem name="HHFB1.204" advise="1">
        <values>
          <value t="str">
            <val xml:space="preserve"> -</val>
          </value>
        </values>
      </ddeItem>
      <ddeItem name="HHFB1.205" advise="1">
        <values>
          <value t="str">
            <val xml:space="preserve"> -</val>
          </value>
        </values>
      </ddeItem>
      <ddeItem name="HHFB1.211" advise="1">
        <values>
          <value t="str">
            <val xml:space="preserve"> -</val>
          </value>
        </values>
      </ddeItem>
      <ddeItem name="HHFB1.212" advise="1">
        <values>
          <value t="str">
            <val xml:space="preserve"> -</val>
          </value>
        </values>
      </ddeItem>
      <ddeItem name="HHFB1.213" advise="1">
        <values>
          <value t="str">
            <val xml:space="preserve"> -</val>
          </value>
        </values>
      </ddeItem>
      <ddeItem name="HHFB1.214" advise="1">
        <values>
          <value t="str">
            <val xml:space="preserve"> -</val>
          </value>
        </values>
      </ddeItem>
      <ddeItem name="HHFB1.215" advise="1">
        <values>
          <value t="str">
            <val xml:space="preserve"> -</val>
          </value>
        </values>
      </ddeItem>
      <ddeItem name="HHFB1.221" advise="1">
        <values>
          <value t="str">
            <val>-</val>
          </value>
        </values>
      </ddeItem>
      <ddeItem name="HHFB1.222" advise="1">
        <values>
          <value t="str">
            <val>-</val>
          </value>
        </values>
      </ddeItem>
      <ddeItem name="HHFB1.223" advise="1">
        <values>
          <value t="str">
            <val>-</val>
          </value>
        </values>
      </ddeItem>
      <ddeItem name="HHFB1.224" advise="1">
        <values>
          <value t="str">
            <val>-</val>
          </value>
        </values>
      </ddeItem>
      <ddeItem name="HHFB1.225" advise="1">
        <values>
          <value t="str">
            <val>-</val>
          </value>
        </values>
      </ddeItem>
      <ddeItem name="HHFB1.231" advise="1">
        <values>
          <value t="str">
            <val>-</val>
          </value>
        </values>
      </ddeItem>
      <ddeItem name="HHFB1.232" advise="1">
        <values>
          <value t="str">
            <val>-</val>
          </value>
        </values>
      </ddeItem>
      <ddeItem name="HHFB1.233" advise="1">
        <values>
          <value t="str">
            <val>-</val>
          </value>
        </values>
      </ddeItem>
      <ddeItem name="HHFB1.234" advise="1">
        <values>
          <value t="str">
            <val>-</val>
          </value>
        </values>
      </ddeItem>
      <ddeItem name="HHFB1.235" advise="1">
        <values>
          <value t="str">
            <val>-</val>
          </value>
        </values>
      </ddeItem>
      <ddeItem name="HHFB1.402" advise="1">
        <values>
          <value t="str">
            <val>不含金電</val>
          </value>
        </values>
      </ddeItem>
      <ddeItem name="HHFB1.406" advise="1">
        <values>
          <value t="str">
            <val xml:space="preserve"> -</val>
          </value>
        </values>
      </ddeItem>
      <ddeItem name="HHFB1.407" advise="1">
        <values>
          <value t="str">
            <val xml:space="preserve"> -</val>
          </value>
        </values>
      </ddeItem>
      <ddeItem name="HHFB1.431" advise="1">
        <values>
          <value t="str">
            <val>-</val>
          </value>
        </values>
      </ddeItem>
      <ddeItem name="HHFB1.437" advise="1">
        <values>
          <value t="str">
            <val xml:space="preserve"> -</val>
          </value>
        </values>
      </ddeItem>
      <ddeItem name="HIFB1.123" advise="1">
        <values>
          <value>
            <val>100130</val>
          </value>
        </values>
      </ddeItem>
      <ddeItem name="HIFB1.124" advise="1">
        <values>
          <value>
            <val>16429</val>
          </value>
        </values>
      </ddeItem>
      <ddeItem name="HIFB1.125" advise="1">
        <values>
          <value>
            <val>-14.4</val>
          </value>
        </values>
      </ddeItem>
      <ddeItem name="HIFB1.128" advise="1">
        <values>
          <value>
            <val>3347</val>
          </value>
        </values>
      </ddeItem>
      <ddeItem name="HIFB1.130" advise="1">
        <values>
          <value>
            <val>16329.54</val>
          </value>
        </values>
      </ddeItem>
      <ddeItem name="HIFB1.131" advise="1">
        <values>
          <value>
            <val>16456.939999999999</val>
          </value>
        </values>
      </ddeItem>
      <ddeItem name="HIFB1.132" advise="1">
        <values>
          <value>
            <val>16329.54</val>
          </value>
        </values>
      </ddeItem>
      <ddeItem name="HIFB1.133" advise="1">
        <values>
          <value>
            <val>4018459</val>
          </value>
        </values>
      </ddeItem>
      <ddeItem name="HIFB1.135" advise="1">
        <values>
          <value t="str">
            <val xml:space="preserve"> -</val>
          </value>
        </values>
      </ddeItem>
      <ddeItem name="HIFB1.136" advise="1">
        <values>
          <value t="str">
            <val xml:space="preserve"> -</val>
          </value>
        </values>
      </ddeItem>
      <ddeItem name="HIFB1.201" advise="1">
        <values>
          <value t="str">
            <val xml:space="preserve"> -</val>
          </value>
        </values>
      </ddeItem>
      <ddeItem name="HIFB1.202" advise="1">
        <values>
          <value t="str">
            <val xml:space="preserve"> -</val>
          </value>
        </values>
      </ddeItem>
      <ddeItem name="HIFB1.203" advise="1">
        <values>
          <value t="str">
            <val xml:space="preserve"> -</val>
          </value>
        </values>
      </ddeItem>
      <ddeItem name="HIFB1.204" advise="1">
        <values>
          <value t="str">
            <val xml:space="preserve"> -</val>
          </value>
        </values>
      </ddeItem>
      <ddeItem name="HIFB1.205" advise="1">
        <values>
          <value t="str">
            <val xml:space="preserve"> -</val>
          </value>
        </values>
      </ddeItem>
      <ddeItem name="HIFB1.211" advise="1">
        <values>
          <value t="str">
            <val xml:space="preserve"> -</val>
          </value>
        </values>
      </ddeItem>
      <ddeItem name="HIFB1.212" advise="1">
        <values>
          <value t="str">
            <val xml:space="preserve"> -</val>
          </value>
        </values>
      </ddeItem>
      <ddeItem name="HIFB1.213" advise="1">
        <values>
          <value t="str">
            <val xml:space="preserve"> -</val>
          </value>
        </values>
      </ddeItem>
      <ddeItem name="HIFB1.214" advise="1">
        <values>
          <value t="str">
            <val xml:space="preserve"> -</val>
          </value>
        </values>
      </ddeItem>
      <ddeItem name="HIFB1.215" advise="1">
        <values>
          <value t="str">
            <val xml:space="preserve"> -</val>
          </value>
        </values>
      </ddeItem>
      <ddeItem name="HIFB1.221" advise="1">
        <values>
          <value t="str">
            <val>-</val>
          </value>
        </values>
      </ddeItem>
      <ddeItem name="HIFB1.222" advise="1">
        <values>
          <value t="str">
            <val>-</val>
          </value>
        </values>
      </ddeItem>
      <ddeItem name="HIFB1.223" advise="1">
        <values>
          <value t="str">
            <val>-</val>
          </value>
        </values>
      </ddeItem>
      <ddeItem name="HIFB1.224" advise="1">
        <values>
          <value t="str">
            <val>-</val>
          </value>
        </values>
      </ddeItem>
      <ddeItem name="HIFB1.225" advise="1">
        <values>
          <value t="str">
            <val>-</val>
          </value>
        </values>
      </ddeItem>
      <ddeItem name="HIFB1.231" advise="1">
        <values>
          <value t="str">
            <val>-</val>
          </value>
        </values>
      </ddeItem>
      <ddeItem name="HIFB1.232" advise="1">
        <values>
          <value t="str">
            <val>-</val>
          </value>
        </values>
      </ddeItem>
      <ddeItem name="HIFB1.233" advise="1">
        <values>
          <value t="str">
            <val>-</val>
          </value>
        </values>
      </ddeItem>
      <ddeItem name="HIFB1.234" advise="1">
        <values>
          <value t="str">
            <val>-</val>
          </value>
        </values>
      </ddeItem>
      <ddeItem name="HIFB1.235" advise="1">
        <values>
          <value t="str">
            <val>-</val>
          </value>
        </values>
      </ddeItem>
      <ddeItem name="HIFB1.402" advise="1">
        <values>
          <value t="str">
            <val>加權指數</val>
          </value>
        </values>
      </ddeItem>
      <ddeItem name="HIFB1.406" advise="1">
        <values>
          <value t="str">
            <val xml:space="preserve"> -</val>
          </value>
        </values>
      </ddeItem>
      <ddeItem name="HIFB1.407" advise="1">
        <values>
          <value t="str">
            <val xml:space="preserve"> -</val>
          </value>
        </values>
      </ddeItem>
      <ddeItem name="HIFB1.431" advise="1">
        <values>
          <value t="str">
            <val>-</val>
          </value>
        </values>
      </ddeItem>
      <ddeItem name="HIFB1.437" advise="1">
        <values>
          <value t="str">
            <val xml:space="preserve"> -</val>
          </value>
        </values>
      </ddeItem>
      <ddeItem name="HL1C1.123" advise="1">
        <values>
          <value>
            <val>100101</val>
          </value>
        </values>
      </ddeItem>
      <ddeItem name="HL1C1.124" advise="1">
        <values>
          <value>
            <val>45.05</val>
          </value>
        </values>
      </ddeItem>
      <ddeItem name="HL1C1.125" advise="1">
        <values>
          <value>
            <val>0.1</val>
          </value>
        </values>
      </ddeItem>
      <ddeItem name="HL1C1.128" advise="1">
        <values>
          <value>
            <val>1</val>
          </value>
        </values>
      </ddeItem>
      <ddeItem name="HL1C1.130" advise="1">
        <values>
          <value>
            <val>45.05</val>
          </value>
        </values>
      </ddeItem>
      <ddeItem name="HL1C1.131" advise="1">
        <values>
          <value>
            <val>45.05</val>
          </value>
        </values>
      </ddeItem>
      <ddeItem name="HL1C1.132" advise="1">
        <values>
          <value>
            <val>45.05</val>
          </value>
        </values>
      </ddeItem>
      <ddeItem name="HL1C1.133" advise="1">
        <values>
          <value>
            <val>1</val>
          </value>
        </values>
      </ddeItem>
      <ddeItem name="HL1C1.135" advise="1">
        <values>
          <value>
            <val>44.8</val>
          </value>
        </values>
      </ddeItem>
      <ddeItem name="HL1C1.136" advise="1">
        <values>
          <value>
            <val>45.05</val>
          </value>
        </values>
      </ddeItem>
      <ddeItem name="HL1C1.201" advise="1">
        <values>
          <value>
            <val>44.8</val>
          </value>
        </values>
      </ddeItem>
      <ddeItem name="HL1C1.202" advise="1">
        <values>
          <value t="str">
            <val xml:space="preserve"> </val>
          </value>
        </values>
      </ddeItem>
      <ddeItem name="HL1C1.203" advise="1">
        <values>
          <value t="str">
            <val xml:space="preserve"> </val>
          </value>
        </values>
      </ddeItem>
      <ddeItem name="HL1C1.204" advise="1">
        <values>
          <value t="str">
            <val xml:space="preserve"> </val>
          </value>
        </values>
      </ddeItem>
      <ddeItem name="HL1C1.205" advise="1">
        <values>
          <value t="str">
            <val xml:space="preserve"> </val>
          </value>
        </values>
      </ddeItem>
      <ddeItem name="HL1C1.211" advise="1">
        <values>
          <value>
            <val>45.05</val>
          </value>
        </values>
      </ddeItem>
      <ddeItem name="HL1C1.212" advise="1">
        <values>
          <value t="str">
            <val xml:space="preserve"> </val>
          </value>
        </values>
      </ddeItem>
      <ddeItem name="HL1C1.213" advise="1">
        <values>
          <value t="str">
            <val xml:space="preserve"> </val>
          </value>
        </values>
      </ddeItem>
      <ddeItem name="HL1C1.214" advise="1">
        <values>
          <value t="str">
            <val xml:space="preserve"> </val>
          </value>
        </values>
      </ddeItem>
      <ddeItem name="HL1C1.215" advise="1">
        <values>
          <value t="str">
            <val xml:space="preserve"> </val>
          </value>
        </values>
      </ddeItem>
      <ddeItem name="HL1C1.221" advise="1">
        <values>
          <value>
            <val>1</val>
          </value>
        </values>
      </ddeItem>
      <ddeItem name="HL1C1.222" advise="1">
        <values>
          <value>
            <val>0</val>
          </value>
        </values>
      </ddeItem>
      <ddeItem name="HL1C1.223" advise="1">
        <values>
          <value>
            <val>0</val>
          </value>
        </values>
      </ddeItem>
      <ddeItem name="HL1C1.224" advise="1">
        <values>
          <value>
            <val>0</val>
          </value>
        </values>
      </ddeItem>
      <ddeItem name="HL1C1.225" advise="1">
        <values>
          <value>
            <val>0</val>
          </value>
        </values>
      </ddeItem>
      <ddeItem name="HL1C1.231" advise="1">
        <values>
          <value>
            <val>1</val>
          </value>
        </values>
      </ddeItem>
      <ddeItem name="HL1C1.232" advise="1">
        <values>
          <value>
            <val>0</val>
          </value>
        </values>
      </ddeItem>
      <ddeItem name="HL1C1.233" advise="1">
        <values>
          <value>
            <val>0</val>
          </value>
        </values>
      </ddeItem>
      <ddeItem name="HL1C1.234" advise="1">
        <values>
          <value>
            <val>0</val>
          </value>
        </values>
      </ddeItem>
      <ddeItem name="HL1C1.235" advise="1">
        <values>
          <value>
            <val>0</val>
          </value>
        </values>
      </ddeItem>
      <ddeItem name="HL1C1.402" advise="1">
        <values>
          <value t="str">
            <val>興富發1-03</val>
          </value>
        </values>
      </ddeItem>
      <ddeItem name="HL1C1.406" advise="1">
        <values>
          <value>
            <val>49.4</val>
          </value>
        </values>
      </ddeItem>
      <ddeItem name="HL1C1.407" advise="1">
        <values>
          <value>
            <val>40.5</val>
          </value>
        </values>
      </ddeItem>
      <ddeItem name="HL1C1.431" advise="1">
        <values>
          <value>
            <val>20210224</val>
          </value>
        </values>
      </ddeItem>
      <ddeItem name="HL1C1.437" advise="1">
        <values>
          <value>
            <val>45.05</val>
          </value>
        </values>
      </ddeItem>
      <ddeItem name="HLFB1.123" advise="1">
        <values>
          <value>
            <val>100150</val>
          </value>
        </values>
      </ddeItem>
      <ddeItem name="HLFB1.124" advise="1">
        <values>
          <value>
            <val>13900.72</val>
          </value>
        </values>
      </ddeItem>
      <ddeItem name="HLFB1.125" advise="1">
        <values>
          <value>
            <val>14.14</val>
          </value>
        </values>
      </ddeItem>
      <ddeItem name="HLFB1.128" advise="1">
        <values>
          <value>
            <val>887</val>
          </value>
        </values>
      </ddeItem>
      <ddeItem name="HLFB1.130" advise="1">
        <values>
          <value>
            <val>13893.03</val>
          </value>
        </values>
      </ddeItem>
      <ddeItem name="HLFB1.131" advise="1">
        <values>
          <value>
            <val>13945.78</val>
          </value>
        </values>
      </ddeItem>
      <ddeItem name="HLFB1.132" advise="1">
        <values>
          <value>
            <val>13875.82</val>
          </value>
        </values>
      </ddeItem>
      <ddeItem name="HLFB1.133" advise="1">
        <values>
          <value>
            <val>873827</val>
          </value>
        </values>
      </ddeItem>
      <ddeItem name="HLFB1.135" advise="1">
        <values>
          <value t="str">
            <val xml:space="preserve"> -</val>
          </value>
        </values>
      </ddeItem>
      <ddeItem name="HLFB1.136" advise="1">
        <values>
          <value t="str">
            <val xml:space="preserve"> -</val>
          </value>
        </values>
      </ddeItem>
      <ddeItem name="HLFB1.201" advise="1">
        <values>
          <value t="str">
            <val xml:space="preserve"> -</val>
          </value>
        </values>
      </ddeItem>
      <ddeItem name="HLFB1.202" advise="1">
        <values>
          <value t="str">
            <val xml:space="preserve"> -</val>
          </value>
        </values>
      </ddeItem>
      <ddeItem name="HLFB1.203" advise="1">
        <values>
          <value t="str">
            <val xml:space="preserve"> -</val>
          </value>
        </values>
      </ddeItem>
      <ddeItem name="HLFB1.204" advise="1">
        <values>
          <value t="str">
            <val xml:space="preserve"> -</val>
          </value>
        </values>
      </ddeItem>
      <ddeItem name="HLFB1.205" advise="1">
        <values>
          <value t="str">
            <val xml:space="preserve"> -</val>
          </value>
        </values>
      </ddeItem>
      <ddeItem name="HLFB1.211" advise="1">
        <values>
          <value t="str">
            <val xml:space="preserve"> -</val>
          </value>
        </values>
      </ddeItem>
      <ddeItem name="HLFB1.212" advise="1">
        <values>
          <value t="str">
            <val xml:space="preserve"> -</val>
          </value>
        </values>
      </ddeItem>
      <ddeItem name="HLFB1.213" advise="1">
        <values>
          <value t="str">
            <val xml:space="preserve"> -</val>
          </value>
        </values>
      </ddeItem>
      <ddeItem name="HLFB1.214" advise="1">
        <values>
          <value t="str">
            <val xml:space="preserve"> -</val>
          </value>
        </values>
      </ddeItem>
      <ddeItem name="HLFB1.215" advise="1">
        <values>
          <value t="str">
            <val xml:space="preserve"> -</val>
          </value>
        </values>
      </ddeItem>
      <ddeItem name="HLFB1.221" advise="1">
        <values>
          <value t="str">
            <val>-</val>
          </value>
        </values>
      </ddeItem>
      <ddeItem name="HLFB1.222" advise="1">
        <values>
          <value t="str">
            <val>-</val>
          </value>
        </values>
      </ddeItem>
      <ddeItem name="HLFB1.223" advise="1">
        <values>
          <value t="str">
            <val>-</val>
          </value>
        </values>
      </ddeItem>
      <ddeItem name="HLFB1.224" advise="1">
        <values>
          <value t="str">
            <val>-</val>
          </value>
        </values>
      </ddeItem>
      <ddeItem name="HLFB1.225" advise="1">
        <values>
          <value t="str">
            <val>-</val>
          </value>
        </values>
      </ddeItem>
      <ddeItem name="HLFB1.231" advise="1">
        <values>
          <value t="str">
            <val>-</val>
          </value>
        </values>
      </ddeItem>
      <ddeItem name="HLFB1.232" advise="1">
        <values>
          <value t="str">
            <val>-</val>
          </value>
        </values>
      </ddeItem>
      <ddeItem name="HLFB1.233" advise="1">
        <values>
          <value t="str">
            <val>-</val>
          </value>
        </values>
      </ddeItem>
      <ddeItem name="HLFB1.234" advise="1">
        <values>
          <value t="str">
            <val>-</val>
          </value>
        </values>
      </ddeItem>
      <ddeItem name="HLFB1.235" advise="1">
        <values>
          <value t="str">
            <val>-</val>
          </value>
        </values>
      </ddeItem>
      <ddeItem name="HLFB1.402" advise="1">
        <values>
          <value t="str">
            <val>不含金電</val>
          </value>
        </values>
      </ddeItem>
      <ddeItem name="HLFB1.406" advise="1">
        <values>
          <value t="str">
            <val xml:space="preserve"> -</val>
          </value>
        </values>
      </ddeItem>
      <ddeItem name="HLFB1.407" advise="1">
        <values>
          <value t="str">
            <val xml:space="preserve"> -</val>
          </value>
        </values>
      </ddeItem>
      <ddeItem name="HLFB1.431" advise="1">
        <values>
          <value t="str">
            <val>-</val>
          </value>
        </values>
      </ddeItem>
      <ddeItem name="HLFB1.437" advise="1">
        <values>
          <value t="str">
            <val xml:space="preserve"> -</val>
          </value>
        </values>
      </ddeItem>
      <ddeItem name="HOFB1.123" advise="1">
        <values>
          <value>
            <val>100145</val>
          </value>
        </values>
      </ddeItem>
      <ddeItem name="HOFB1.124" advise="1">
        <values>
          <value>
            <val>13895.21</val>
          </value>
        </values>
      </ddeItem>
      <ddeItem name="HOFB1.125" advise="1">
        <values>
          <value>
            <val>8.6300000000000008</val>
          </value>
        </values>
      </ddeItem>
      <ddeItem name="HOFB1.128" advise="1">
        <values>
          <value>
            <val>435</val>
          </value>
        </values>
      </ddeItem>
      <ddeItem name="HOFB1.130" advise="1">
        <values>
          <value>
            <val>13893.03</val>
          </value>
        </values>
      </ddeItem>
      <ddeItem name="HOFB1.131" advise="1">
        <values>
          <value>
            <val>13945.78</val>
          </value>
        </values>
      </ddeItem>
      <ddeItem name="HOFB1.132" advise="1">
        <values>
          <value>
            <val>13875.82</val>
          </value>
        </values>
      </ddeItem>
      <ddeItem name="HOFB1.133" advise="1">
        <values>
          <value>
            <val>872940</val>
          </value>
        </values>
      </ddeItem>
      <ddeItem name="HOFB1.135" advise="1">
        <values>
          <value t="str">
            <val xml:space="preserve"> -</val>
          </value>
        </values>
      </ddeItem>
      <ddeItem name="HOFB1.136" advise="1">
        <values>
          <value t="str">
            <val xml:space="preserve"> -</val>
          </value>
        </values>
      </ddeItem>
      <ddeItem name="HOFB1.201" advise="1">
        <values>
          <value t="str">
            <val xml:space="preserve"> -</val>
          </value>
        </values>
      </ddeItem>
      <ddeItem name="HOFB1.202" advise="1">
        <values>
          <value t="str">
            <val xml:space="preserve"> -</val>
          </value>
        </values>
      </ddeItem>
      <ddeItem name="HOFB1.203" advise="1">
        <values>
          <value t="str">
            <val xml:space="preserve"> -</val>
          </value>
        </values>
      </ddeItem>
      <ddeItem name="HOFB1.204" advise="1">
        <values>
          <value t="str">
            <val xml:space="preserve"> -</val>
          </value>
        </values>
      </ddeItem>
      <ddeItem name="HOFB1.205" advise="1">
        <values>
          <value t="str">
            <val xml:space="preserve"> -</val>
          </value>
        </values>
      </ddeItem>
      <ddeItem name="HOFB1.211" advise="1">
        <values>
          <value t="str">
            <val xml:space="preserve"> -</val>
          </value>
        </values>
      </ddeItem>
      <ddeItem name="HOFB1.212" advise="1">
        <values>
          <value t="str">
            <val xml:space="preserve"> -</val>
          </value>
        </values>
      </ddeItem>
      <ddeItem name="HOFB1.213" advise="1">
        <values>
          <value t="str">
            <val xml:space="preserve"> -</val>
          </value>
        </values>
      </ddeItem>
      <ddeItem name="HOFB1.214" advise="1">
        <values>
          <value t="str">
            <val xml:space="preserve"> -</val>
          </value>
        </values>
      </ddeItem>
      <ddeItem name="HOFB1.215" advise="1">
        <values>
          <value t="str">
            <val xml:space="preserve"> -</val>
          </value>
        </values>
      </ddeItem>
      <ddeItem name="HOFB1.221" advise="1">
        <values>
          <value t="str">
            <val>-</val>
          </value>
        </values>
      </ddeItem>
      <ddeItem name="HOFB1.222" advise="1">
        <values>
          <value t="str">
            <val>-</val>
          </value>
        </values>
      </ddeItem>
      <ddeItem name="HOFB1.223" advise="1">
        <values>
          <value t="str">
            <val>-</val>
          </value>
        </values>
      </ddeItem>
      <ddeItem name="HOFB1.224" advise="1">
        <values>
          <value t="str">
            <val>-</val>
          </value>
        </values>
      </ddeItem>
      <ddeItem name="HOFB1.225" advise="1">
        <values>
          <value t="str">
            <val>-</val>
          </value>
        </values>
      </ddeItem>
      <ddeItem name="HOFB1.231" advise="1">
        <values>
          <value t="str">
            <val>-</val>
          </value>
        </values>
      </ddeItem>
      <ddeItem name="HOFB1.232" advise="1">
        <values>
          <value t="str">
            <val>-</val>
          </value>
        </values>
      </ddeItem>
      <ddeItem name="HOFB1.233" advise="1">
        <values>
          <value t="str">
            <val>-</val>
          </value>
        </values>
      </ddeItem>
      <ddeItem name="HOFB1.234" advise="1">
        <values>
          <value t="str">
            <val>-</val>
          </value>
        </values>
      </ddeItem>
      <ddeItem name="HOFB1.235" advise="1">
        <values>
          <value t="str">
            <val>-</val>
          </value>
        </values>
      </ddeItem>
      <ddeItem name="HOFB1.402" advise="1">
        <values>
          <value t="str">
            <val>不含金電</val>
          </value>
        </values>
      </ddeItem>
      <ddeItem name="HOFB1.406" advise="1">
        <values>
          <value t="str">
            <val xml:space="preserve"> -</val>
          </value>
        </values>
      </ddeItem>
      <ddeItem name="HOFB1.407" advise="1">
        <values>
          <value t="str">
            <val xml:space="preserve"> -</val>
          </value>
        </values>
      </ddeItem>
      <ddeItem name="HOFB1.431" advise="1">
        <values>
          <value t="str">
            <val>-</val>
          </value>
        </values>
      </ddeItem>
      <ddeItem name="HOFB1.437" advise="1">
        <values>
          <value t="str">
            <val xml:space="preserve"> -</val>
          </value>
        </values>
      </ddeItem>
      <ddeItem name="HSFB1.123" advise="1">
        <values>
          <value>
            <val>100140</val>
          </value>
        </values>
      </ddeItem>
      <ddeItem name="HSFB1.124" advise="1">
        <values>
          <value>
            <val>16428.68</val>
          </value>
        </values>
      </ddeItem>
      <ddeItem name="HSFB1.125" advise="1">
        <values>
          <value>
            <val>-14.72</val>
          </value>
        </values>
      </ddeItem>
      <ddeItem name="HSFB1.128" advise="1">
        <values>
          <value>
            <val>2686</val>
          </value>
        </values>
      </ddeItem>
      <ddeItem name="HSFB1.130" advise="1">
        <values>
          <value>
            <val>16329.54</val>
          </value>
        </values>
      </ddeItem>
      <ddeItem name="HSFB1.131" advise="1">
        <values>
          <value>
            <val>16456.939999999999</val>
          </value>
        </values>
      </ddeItem>
      <ddeItem name="HSFB1.132" advise="1">
        <values>
          <value>
            <val>16329.54</val>
          </value>
        </values>
      </ddeItem>
      <ddeItem name="HSFB1.133" advise="1">
        <values>
          <value>
            <val>4022793</val>
          </value>
        </values>
      </ddeItem>
      <ddeItem name="HSFB1.135" advise="1">
        <values>
          <value t="str">
            <val xml:space="preserve"> -</val>
          </value>
        </values>
      </ddeItem>
      <ddeItem name="HSFB1.136" advise="1">
        <values>
          <value t="str">
            <val xml:space="preserve"> -</val>
          </value>
        </values>
      </ddeItem>
      <ddeItem name="HSFB1.201" advise="1">
        <values>
          <value t="str">
            <val xml:space="preserve"> -</val>
          </value>
        </values>
      </ddeItem>
      <ddeItem name="HSFB1.202" advise="1">
        <values>
          <value t="str">
            <val xml:space="preserve"> -</val>
          </value>
        </values>
      </ddeItem>
      <ddeItem name="HSFB1.203" advise="1">
        <values>
          <value t="str">
            <val xml:space="preserve"> -</val>
          </value>
        </values>
      </ddeItem>
      <ddeItem name="HSFB1.204" advise="1">
        <values>
          <value t="str">
            <val xml:space="preserve"> -</val>
          </value>
        </values>
      </ddeItem>
      <ddeItem name="HSFB1.205" advise="1">
        <values>
          <value t="str">
            <val xml:space="preserve"> -</val>
          </value>
        </values>
      </ddeItem>
      <ddeItem name="HSFB1.211" advise="1">
        <values>
          <value t="str">
            <val xml:space="preserve"> -</val>
          </value>
        </values>
      </ddeItem>
      <ddeItem name="HSFB1.212" advise="1">
        <values>
          <value t="str">
            <val xml:space="preserve"> -</val>
          </value>
        </values>
      </ddeItem>
      <ddeItem name="HSFB1.213" advise="1">
        <values>
          <value t="str">
            <val xml:space="preserve"> -</val>
          </value>
        </values>
      </ddeItem>
      <ddeItem name="HSFB1.214" advise="1">
        <values>
          <value t="str">
            <val xml:space="preserve"> -</val>
          </value>
        </values>
      </ddeItem>
      <ddeItem name="HSFB1.215" advise="1">
        <values>
          <value t="str">
            <val xml:space="preserve"> -</val>
          </value>
        </values>
      </ddeItem>
      <ddeItem name="HSFB1.221" advise="1">
        <values>
          <value t="str">
            <val>-</val>
          </value>
        </values>
      </ddeItem>
      <ddeItem name="HSFB1.222" advise="1">
        <values>
          <value t="str">
            <val>-</val>
          </value>
        </values>
      </ddeItem>
      <ddeItem name="HSFB1.223" advise="1">
        <values>
          <value t="str">
            <val>-</val>
          </value>
        </values>
      </ddeItem>
      <ddeItem name="HSFB1.224" advise="1">
        <values>
          <value t="str">
            <val>-</val>
          </value>
        </values>
      </ddeItem>
      <ddeItem name="HSFB1.225" advise="1">
        <values>
          <value t="str">
            <val>-</val>
          </value>
        </values>
      </ddeItem>
      <ddeItem name="HSFB1.231" advise="1">
        <values>
          <value t="str">
            <val>-</val>
          </value>
        </values>
      </ddeItem>
      <ddeItem name="HSFB1.232" advise="1">
        <values>
          <value t="str">
            <val>-</val>
          </value>
        </values>
      </ddeItem>
      <ddeItem name="HSFB1.233" advise="1">
        <values>
          <value t="str">
            <val>-</val>
          </value>
        </values>
      </ddeItem>
      <ddeItem name="HSFB1.234" advise="1">
        <values>
          <value t="str">
            <val>-</val>
          </value>
        </values>
      </ddeItem>
      <ddeItem name="HSFB1.235" advise="1">
        <values>
          <value t="str">
            <val>-</val>
          </value>
        </values>
      </ddeItem>
      <ddeItem name="HSFB1.402" advise="1">
        <values>
          <value t="str">
            <val>加權指數</val>
          </value>
        </values>
      </ddeItem>
      <ddeItem name="HSFB1.406" advise="1">
        <values>
          <value t="str">
            <val xml:space="preserve"> -</val>
          </value>
        </values>
      </ddeItem>
      <ddeItem name="HSFB1.407" advise="1">
        <values>
          <value t="str">
            <val xml:space="preserve"> -</val>
          </value>
        </values>
      </ddeItem>
      <ddeItem name="HSFB1.431" advise="1">
        <values>
          <value t="str">
            <val>-</val>
          </value>
        </values>
      </ddeItem>
      <ddeItem name="HSFB1.437" advise="1">
        <values>
          <value t="str">
            <val xml:space="preserve"> -</val>
          </value>
        </values>
      </ddeItem>
      <ddeItem name="HY1C1.123" advise="1">
        <values>
          <value>
            <val>0</val>
          </value>
        </values>
      </ddeItem>
      <ddeItem name="HY1C1.124" advise="1">
        <values>
          <value t="str">
            <val xml:space="preserve"> </val>
          </value>
        </values>
      </ddeItem>
      <ddeItem name="HY1C1.125" advise="1">
        <values>
          <value>
            <val>0</val>
          </value>
        </values>
      </ddeItem>
      <ddeItem name="HY1C1.128" advise="1">
        <values>
          <value>
            <val>0</val>
          </value>
        </values>
      </ddeItem>
      <ddeItem name="HY1C1.130" advise="1">
        <values>
          <value t="str">
            <val xml:space="preserve"> </val>
          </value>
        </values>
      </ddeItem>
      <ddeItem name="HY1C1.131" advise="1">
        <values>
          <value t="str">
            <val xml:space="preserve"> </val>
          </value>
        </values>
      </ddeItem>
      <ddeItem name="HY1C1.132" advise="1">
        <values>
          <value t="str">
            <val xml:space="preserve"> </val>
          </value>
        </values>
      </ddeItem>
      <ddeItem name="HY1C1.133" advise="1">
        <values>
          <value>
            <val>0</val>
          </value>
        </values>
      </ddeItem>
      <ddeItem name="HY1C1.135" advise="1">
        <values>
          <value>
            <val>22.85</val>
          </value>
        </values>
      </ddeItem>
      <ddeItem name="HY1C1.136" advise="1">
        <values>
          <value>
            <val>23</val>
          </value>
        </values>
      </ddeItem>
      <ddeItem name="HY1C1.201" advise="1">
        <values>
          <value>
            <val>22.85</val>
          </value>
        </values>
      </ddeItem>
      <ddeItem name="HY1C1.202" advise="1">
        <values>
          <value t="str">
            <val xml:space="preserve"> </val>
          </value>
        </values>
      </ddeItem>
      <ddeItem name="HY1C1.203" advise="1">
        <values>
          <value t="str">
            <val xml:space="preserve"> </val>
          </value>
        </values>
      </ddeItem>
      <ddeItem name="HY1C1.204" advise="1">
        <values>
          <value t="str">
            <val xml:space="preserve"> </val>
          </value>
        </values>
      </ddeItem>
      <ddeItem name="HY1C1.205" advise="1">
        <values>
          <value t="str">
            <val xml:space="preserve"> </val>
          </value>
        </values>
      </ddeItem>
      <ddeItem name="HY1C1.211" advise="1">
        <values>
          <value>
            <val>23</val>
          </value>
        </values>
      </ddeItem>
      <ddeItem name="HY1C1.212" advise="1">
        <values>
          <value>
            <val>23.1</val>
          </value>
        </values>
      </ddeItem>
      <ddeItem name="HY1C1.213" advise="1">
        <values>
          <value t="str">
            <val xml:space="preserve"> </val>
          </value>
        </values>
      </ddeItem>
      <ddeItem name="HY1C1.214" advise="1">
        <values>
          <value t="str">
            <val xml:space="preserve"> </val>
          </value>
        </values>
      </ddeItem>
      <ddeItem name="HY1C1.215" advise="1">
        <values>
          <value t="str">
            <val xml:space="preserve"> </val>
          </value>
        </values>
      </ddeItem>
      <ddeItem name="HY1C1.221" advise="1">
        <values>
          <value>
            <val>1</val>
          </value>
        </values>
      </ddeItem>
      <ddeItem name="HY1C1.222" advise="1">
        <values>
          <value>
            <val>0</val>
          </value>
        </values>
      </ddeItem>
      <ddeItem name="HY1C1.223" advise="1">
        <values>
          <value>
            <val>0</val>
          </value>
        </values>
      </ddeItem>
      <ddeItem name="HY1C1.224" advise="1">
        <values>
          <value>
            <val>0</val>
          </value>
        </values>
      </ddeItem>
      <ddeItem name="HY1C1.225" advise="1">
        <values>
          <value>
            <val>0</val>
          </value>
        </values>
      </ddeItem>
      <ddeItem name="HY1C1.231" advise="1">
        <values>
          <value>
            <val>6</val>
          </value>
        </values>
      </ddeItem>
      <ddeItem name="HY1C1.232" advise="1">
        <values>
          <value>
            <val>1</val>
          </value>
        </values>
      </ddeItem>
      <ddeItem name="HY1C1.233" advise="1">
        <values>
          <value>
            <val>0</val>
          </value>
        </values>
      </ddeItem>
      <ddeItem name="HY1C1.234" advise="1">
        <values>
          <value>
            <val>0</val>
          </value>
        </values>
      </ddeItem>
      <ddeItem name="HY1C1.235" advise="1">
        <values>
          <value>
            <val>0</val>
          </value>
        </values>
      </ddeItem>
      <ddeItem name="HY1C1.402" advise="1">
        <values>
          <value t="str">
            <val>中壽1-03</val>
          </value>
        </values>
      </ddeItem>
      <ddeItem name="HY1C1.406" advise="1">
        <values>
          <value>
            <val>25.2</val>
          </value>
        </values>
      </ddeItem>
      <ddeItem name="HY1C1.407" advise="1">
        <values>
          <value>
            <val>20.7</val>
          </value>
        </values>
      </ddeItem>
      <ddeItem name="HY1C1.431" advise="1">
        <values>
          <value>
            <val>20210224</val>
          </value>
        </values>
      </ddeItem>
      <ddeItem name="HY1C1.437" advise="1">
        <values>
          <value>
            <val>22.97</val>
          </value>
        </values>
      </ddeItem>
      <ddeItem name="HYFB1.123" advise="1">
        <values>
          <value>
            <val>100135</val>
          </value>
        </values>
      </ddeItem>
      <ddeItem name="HYFB1.124" advise="1">
        <values>
          <value>
            <val>16424.64</val>
          </value>
        </values>
      </ddeItem>
      <ddeItem name="HYFB1.125" advise="1">
        <values>
          <value>
            <val>-18.760000000000002</val>
          </value>
        </values>
      </ddeItem>
      <ddeItem name="HYFB1.128" advise="1">
        <values>
          <value>
            <val>1648</val>
          </value>
        </values>
      </ddeItem>
      <ddeItem name="HYFB1.130" advise="1">
        <values>
          <value>
            <val>16329.54</val>
          </value>
        </values>
      </ddeItem>
      <ddeItem name="HYFB1.131" advise="1">
        <values>
          <value>
            <val>16456.939999999999</val>
          </value>
        </values>
      </ddeItem>
      <ddeItem name="HYFB1.132" advise="1">
        <values>
          <value>
            <val>16329.54</val>
          </value>
        </values>
      </ddeItem>
      <ddeItem name="HYFB1.133" advise="1">
        <values>
          <value>
            <val>4020107</val>
          </value>
        </values>
      </ddeItem>
      <ddeItem name="HYFB1.135" advise="1">
        <values>
          <value t="str">
            <val xml:space="preserve"> -</val>
          </value>
        </values>
      </ddeItem>
      <ddeItem name="HYFB1.136" advise="1">
        <values>
          <value t="str">
            <val xml:space="preserve"> -</val>
          </value>
        </values>
      </ddeItem>
      <ddeItem name="HYFB1.201" advise="1">
        <values>
          <value t="str">
            <val xml:space="preserve"> -</val>
          </value>
        </values>
      </ddeItem>
      <ddeItem name="HYFB1.202" advise="1">
        <values>
          <value t="str">
            <val xml:space="preserve"> -</val>
          </value>
        </values>
      </ddeItem>
      <ddeItem name="HYFB1.203" advise="1">
        <values>
          <value t="str">
            <val xml:space="preserve"> -</val>
          </value>
        </values>
      </ddeItem>
      <ddeItem name="HYFB1.204" advise="1">
        <values>
          <value t="str">
            <val xml:space="preserve"> -</val>
          </value>
        </values>
      </ddeItem>
      <ddeItem name="HYFB1.205" advise="1">
        <values>
          <value t="str">
            <val xml:space="preserve"> -</val>
          </value>
        </values>
      </ddeItem>
      <ddeItem name="HYFB1.211" advise="1">
        <values>
          <value t="str">
            <val xml:space="preserve"> -</val>
          </value>
        </values>
      </ddeItem>
      <ddeItem name="HYFB1.212" advise="1">
        <values>
          <value t="str">
            <val xml:space="preserve"> -</val>
          </value>
        </values>
      </ddeItem>
      <ddeItem name="HYFB1.213" advise="1">
        <values>
          <value t="str">
            <val xml:space="preserve"> -</val>
          </value>
        </values>
      </ddeItem>
      <ddeItem name="HYFB1.214" advise="1">
        <values>
          <value t="str">
            <val xml:space="preserve"> -</val>
          </value>
        </values>
      </ddeItem>
      <ddeItem name="HYFB1.215" advise="1">
        <values>
          <value t="str">
            <val xml:space="preserve"> -</val>
          </value>
        </values>
      </ddeItem>
      <ddeItem name="HYFB1.221" advise="1">
        <values>
          <value t="str">
            <val>-</val>
          </value>
        </values>
      </ddeItem>
      <ddeItem name="HYFB1.222" advise="1">
        <values>
          <value t="str">
            <val>-</val>
          </value>
        </values>
      </ddeItem>
      <ddeItem name="HYFB1.223" advise="1">
        <values>
          <value t="str">
            <val>-</val>
          </value>
        </values>
      </ddeItem>
      <ddeItem name="HYFB1.224" advise="1">
        <values>
          <value t="str">
            <val>-</val>
          </value>
        </values>
      </ddeItem>
      <ddeItem name="HYFB1.225" advise="1">
        <values>
          <value t="str">
            <val>-</val>
          </value>
        </values>
      </ddeItem>
      <ddeItem name="HYFB1.231" advise="1">
        <values>
          <value t="str">
            <val>-</val>
          </value>
        </values>
      </ddeItem>
      <ddeItem name="HYFB1.232" advise="1">
        <values>
          <value t="str">
            <val>-</val>
          </value>
        </values>
      </ddeItem>
      <ddeItem name="HYFB1.233" advise="1">
        <values>
          <value t="str">
            <val>-</val>
          </value>
        </values>
      </ddeItem>
      <ddeItem name="HYFB1.234" advise="1">
        <values>
          <value t="str">
            <val>-</val>
          </value>
        </values>
      </ddeItem>
      <ddeItem name="HYFB1.235" advise="1">
        <values>
          <value t="str">
            <val>-</val>
          </value>
        </values>
      </ddeItem>
      <ddeItem name="HYFB1.402" advise="1">
        <values>
          <value t="str">
            <val>加權指數</val>
          </value>
        </values>
      </ddeItem>
      <ddeItem name="HYFB1.406" advise="1">
        <values>
          <value t="str">
            <val xml:space="preserve"> -</val>
          </value>
        </values>
      </ddeItem>
      <ddeItem name="HYFB1.407" advise="1">
        <values>
          <value t="str">
            <val xml:space="preserve"> -</val>
          </value>
        </values>
      </ddeItem>
      <ddeItem name="HYFB1.431" advise="1">
        <values>
          <value t="str">
            <val>-</val>
          </value>
        </values>
      </ddeItem>
      <ddeItem name="HYFB1.437" advise="1">
        <values>
          <value t="str">
            <val xml:space="preserve"> -</val>
          </value>
        </values>
      </ddeItem>
      <ddeItem name="IA1C1.123" advise="1">
        <values>
          <value>
            <val>0</val>
          </value>
        </values>
      </ddeItem>
      <ddeItem name="IA1C1.124" advise="1">
        <values>
          <value t="str">
            <val xml:space="preserve"> </val>
          </value>
        </values>
      </ddeItem>
      <ddeItem name="IA1C1.125" advise="1">
        <values>
          <value>
            <val>0</val>
          </value>
        </values>
      </ddeItem>
      <ddeItem name="IA1C1.128" advise="1">
        <values>
          <value>
            <val>0</val>
          </value>
        </values>
      </ddeItem>
      <ddeItem name="IA1C1.130" advise="1">
        <values>
          <value t="str">
            <val xml:space="preserve"> </val>
          </value>
        </values>
      </ddeItem>
      <ddeItem name="IA1C1.131" advise="1">
        <values>
          <value t="str">
            <val xml:space="preserve"> </val>
          </value>
        </values>
      </ddeItem>
      <ddeItem name="IA1C1.132" advise="1">
        <values>
          <value t="str">
            <val xml:space="preserve"> </val>
          </value>
        </values>
      </ddeItem>
      <ddeItem name="IA1C1.133" advise="1">
        <values>
          <value>
            <val>0</val>
          </value>
        </values>
      </ddeItem>
      <ddeItem name="IA1C1.135" advise="1">
        <values>
          <value>
            <val>9.64</val>
          </value>
        </values>
      </ddeItem>
      <ddeItem name="IA1C1.136" advise="1">
        <values>
          <value>
            <val>9.6999999999999993</val>
          </value>
        </values>
      </ddeItem>
      <ddeItem name="IA1C1.201" advise="1">
        <values>
          <value>
            <val>9.64</val>
          </value>
        </values>
      </ddeItem>
      <ddeItem name="IA1C1.202" advise="1">
        <values>
          <value t="str">
            <val xml:space="preserve"> </val>
          </value>
        </values>
      </ddeItem>
      <ddeItem name="IA1C1.203" advise="1">
        <values>
          <value t="str">
            <val xml:space="preserve"> </val>
          </value>
        </values>
      </ddeItem>
      <ddeItem name="IA1C1.204" advise="1">
        <values>
          <value t="str">
            <val xml:space="preserve"> </val>
          </value>
        </values>
      </ddeItem>
      <ddeItem name="IA1C1.205" advise="1">
        <values>
          <value t="str">
            <val xml:space="preserve"> </val>
          </value>
        </values>
      </ddeItem>
      <ddeItem name="IA1C1.211" advise="1">
        <values>
          <value>
            <val>9.6999999999999993</val>
          </value>
        </values>
      </ddeItem>
      <ddeItem name="IA1C1.212" advise="1">
        <values>
          <value t="str">
            <val xml:space="preserve"> </val>
          </value>
        </values>
      </ddeItem>
      <ddeItem name="IA1C1.213" advise="1">
        <values>
          <value t="str">
            <val xml:space="preserve"> </val>
          </value>
        </values>
      </ddeItem>
      <ddeItem name="IA1C1.214" advise="1">
        <values>
          <value t="str">
            <val xml:space="preserve"> </val>
          </value>
        </values>
      </ddeItem>
      <ddeItem name="IA1C1.215" advise="1">
        <values>
          <value t="str">
            <val xml:space="preserve"> </val>
          </value>
        </values>
      </ddeItem>
      <ddeItem name="IA1C1.221" advise="1">
        <values>
          <value>
            <val>1</val>
          </value>
        </values>
      </ddeItem>
      <ddeItem name="IA1C1.222" advise="1">
        <values>
          <value>
            <val>0</val>
          </value>
        </values>
      </ddeItem>
      <ddeItem name="IA1C1.223" advise="1">
        <values>
          <value>
            <val>0</val>
          </value>
        </values>
      </ddeItem>
      <ddeItem name="IA1C1.224" advise="1">
        <values>
          <value>
            <val>0</val>
          </value>
        </values>
      </ddeItem>
      <ddeItem name="IA1C1.225" advise="1">
        <values>
          <value>
            <val>0</val>
          </value>
        </values>
      </ddeItem>
      <ddeItem name="IA1C1.231" advise="1">
        <values>
          <value>
            <val>1</val>
          </value>
        </values>
      </ddeItem>
      <ddeItem name="IA1C1.232" advise="1">
        <values>
          <value>
            <val>0</val>
          </value>
        </values>
      </ddeItem>
      <ddeItem name="IA1C1.233" advise="1">
        <values>
          <value>
            <val>0</val>
          </value>
        </values>
      </ddeItem>
      <ddeItem name="IA1C1.234" advise="1">
        <values>
          <value>
            <val>0</val>
          </value>
        </values>
      </ddeItem>
      <ddeItem name="IA1C1.235" advise="1">
        <values>
          <value>
            <val>0</val>
          </value>
        </values>
      </ddeItem>
      <ddeItem name="IA1C1.402" advise="1">
        <values>
          <value t="str">
            <val>臺企銀1-03</val>
          </value>
        </values>
      </ddeItem>
      <ddeItem name="IA1C1.406" advise="1">
        <values>
          <value>
            <val>10.45</val>
          </value>
        </values>
      </ddeItem>
      <ddeItem name="IA1C1.407" advise="1">
        <values>
          <value>
            <val>8.56</val>
          </value>
        </values>
      </ddeItem>
      <ddeItem name="IA1C1.431" advise="1">
        <values>
          <value>
            <val>20210224</val>
          </value>
        </values>
      </ddeItem>
      <ddeItem name="IA1C1.437" advise="1">
        <values>
          <value>
            <val>9.66</val>
          </value>
        </values>
      </ddeItem>
      <ddeItem name="IAFB1.123" advise="1">
        <values>
          <value>
            <val>100140</val>
          </value>
        </values>
      </ddeItem>
      <ddeItem name="IAFB1.124" advise="1">
        <values>
          <value>
            <val>16428.68</val>
          </value>
        </values>
      </ddeItem>
      <ddeItem name="IAFB1.125" advise="1">
        <values>
          <value>
            <val>-14.72</val>
          </value>
        </values>
      </ddeItem>
      <ddeItem name="IAFB1.128" advise="1">
        <values>
          <value>
            <val>2686</val>
          </value>
        </values>
      </ddeItem>
      <ddeItem name="IAFB1.130" advise="1">
        <values>
          <value>
            <val>16329.54</val>
          </value>
        </values>
      </ddeItem>
      <ddeItem name="IAFB1.131" advise="1">
        <values>
          <value>
            <val>16456.939999999999</val>
          </value>
        </values>
      </ddeItem>
      <ddeItem name="IAFB1.132" advise="1">
        <values>
          <value>
            <val>16329.54</val>
          </value>
        </values>
      </ddeItem>
      <ddeItem name="IAFB1.133" advise="1">
        <values>
          <value>
            <val>4022793</val>
          </value>
        </values>
      </ddeItem>
      <ddeItem name="IAFB1.135" advise="1">
        <values>
          <value t="str">
            <val xml:space="preserve"> -</val>
          </value>
        </values>
      </ddeItem>
      <ddeItem name="IAFB1.136" advise="1">
        <values>
          <value t="str">
            <val xml:space="preserve"> -</val>
          </value>
        </values>
      </ddeItem>
      <ddeItem name="IAFB1.201" advise="1">
        <values>
          <value t="str">
            <val xml:space="preserve"> -</val>
          </value>
        </values>
      </ddeItem>
      <ddeItem name="IAFB1.202" advise="1">
        <values>
          <value t="str">
            <val xml:space="preserve"> -</val>
          </value>
        </values>
      </ddeItem>
      <ddeItem name="IAFB1.203" advise="1">
        <values>
          <value t="str">
            <val xml:space="preserve"> -</val>
          </value>
        </values>
      </ddeItem>
      <ddeItem name="IAFB1.204" advise="1">
        <values>
          <value t="str">
            <val xml:space="preserve"> -</val>
          </value>
        </values>
      </ddeItem>
      <ddeItem name="IAFB1.205" advise="1">
        <values>
          <value t="str">
            <val xml:space="preserve"> -</val>
          </value>
        </values>
      </ddeItem>
      <ddeItem name="IAFB1.211" advise="1">
        <values>
          <value t="str">
            <val xml:space="preserve"> -</val>
          </value>
        </values>
      </ddeItem>
      <ddeItem name="IAFB1.212" advise="1">
        <values>
          <value t="str">
            <val xml:space="preserve"> -</val>
          </value>
        </values>
      </ddeItem>
      <ddeItem name="IAFB1.213" advise="1">
        <values>
          <value t="str">
            <val xml:space="preserve"> -</val>
          </value>
        </values>
      </ddeItem>
      <ddeItem name="IAFB1.214" advise="1">
        <values>
          <value t="str">
            <val xml:space="preserve"> -</val>
          </value>
        </values>
      </ddeItem>
      <ddeItem name="IAFB1.215" advise="1">
        <values>
          <value t="str">
            <val xml:space="preserve"> -</val>
          </value>
        </values>
      </ddeItem>
      <ddeItem name="IAFB1.221" advise="1">
        <values>
          <value t="str">
            <val>-</val>
          </value>
        </values>
      </ddeItem>
      <ddeItem name="IAFB1.222" advise="1">
        <values>
          <value t="str">
            <val>-</val>
          </value>
        </values>
      </ddeItem>
      <ddeItem name="IAFB1.223" advise="1">
        <values>
          <value t="str">
            <val>-</val>
          </value>
        </values>
      </ddeItem>
      <ddeItem name="IAFB1.224" advise="1">
        <values>
          <value t="str">
            <val>-</val>
          </value>
        </values>
      </ddeItem>
      <ddeItem name="IAFB1.225" advise="1">
        <values>
          <value t="str">
            <val>-</val>
          </value>
        </values>
      </ddeItem>
      <ddeItem name="IAFB1.231" advise="1">
        <values>
          <value t="str">
            <val>-</val>
          </value>
        </values>
      </ddeItem>
      <ddeItem name="IAFB1.232" advise="1">
        <values>
          <value t="str">
            <val>-</val>
          </value>
        </values>
      </ddeItem>
      <ddeItem name="IAFB1.233" advise="1">
        <values>
          <value t="str">
            <val>-</val>
          </value>
        </values>
      </ddeItem>
      <ddeItem name="IAFB1.234" advise="1">
        <values>
          <value t="str">
            <val>-</val>
          </value>
        </values>
      </ddeItem>
      <ddeItem name="IAFB1.235" advise="1">
        <values>
          <value t="str">
            <val>-</val>
          </value>
        </values>
      </ddeItem>
      <ddeItem name="IAFB1.402" advise="1">
        <values>
          <value t="str">
            <val>加權指數</val>
          </value>
        </values>
      </ddeItem>
      <ddeItem name="IAFB1.406" advise="1">
        <values>
          <value t="str">
            <val xml:space="preserve"> -</val>
          </value>
        </values>
      </ddeItem>
      <ddeItem name="IAFB1.407" advise="1">
        <values>
          <value t="str">
            <val xml:space="preserve"> -</val>
          </value>
        </values>
      </ddeItem>
      <ddeItem name="IAFB1.431" advise="1">
        <values>
          <value t="str">
            <val>-</val>
          </value>
        </values>
      </ddeItem>
      <ddeItem name="IAFB1.437" advise="1">
        <values>
          <value t="str">
            <val xml:space="preserve"> -</val>
          </value>
        </values>
      </ddeItem>
      <ddeItem name="IHFB1.123" advise="1">
        <values>
          <value>
            <val>0</val>
          </value>
        </values>
      </ddeItem>
      <ddeItem name="IHFB1.124" advise="1">
        <values>
          <value>
            <val>20878632</val>
          </value>
        </values>
      </ddeItem>
      <ddeItem name="IHFB1.125" advise="1">
        <values>
          <value t="str">
            <val xml:space="preserve"> </val>
          </value>
        </values>
      </ddeItem>
      <ddeItem name="IHFB1.128" advise="1">
        <values>
          <value>
            <val>1212870150</val>
          </value>
        </values>
      </ddeItem>
      <ddeItem name="IHFB1.130" advise="1">
        <values>
          <value>
            <val>20803788</val>
          </value>
        </values>
      </ddeItem>
      <ddeItem name="IHFB1.131" advise="1">
        <values>
          <value>
            <val>20804690</val>
          </value>
        </values>
      </ddeItem>
      <ddeItem name="IHFB1.132" advise="1">
        <values>
          <value>
            <val>10989732</val>
          </value>
        </values>
      </ddeItem>
      <ddeItem name="IHFB1.133" advise="1">
        <values>
          <value>
            <val>2088371110</val>
          </value>
        </values>
      </ddeItem>
      <ddeItem name="IHFB1.135" advise="1">
        <values>
          <value t="str">
            <val xml:space="preserve"> -</val>
          </value>
        </values>
      </ddeItem>
      <ddeItem name="IHFB1.136" advise="1">
        <values>
          <value t="str">
            <val xml:space="preserve"> -</val>
          </value>
        </values>
      </ddeItem>
      <ddeItem name="IHFB1.201" advise="1">
        <values>
          <value t="str">
            <val xml:space="preserve"> -</val>
          </value>
        </values>
      </ddeItem>
      <ddeItem name="IHFB1.202" advise="1">
        <values>
          <value t="str">
            <val xml:space="preserve"> -</val>
          </value>
        </values>
      </ddeItem>
      <ddeItem name="IHFB1.203" advise="1">
        <values>
          <value t="str">
            <val xml:space="preserve"> -</val>
          </value>
        </values>
      </ddeItem>
      <ddeItem name="IHFB1.204" advise="1">
        <values>
          <value t="str">
            <val xml:space="preserve"> -</val>
          </value>
        </values>
      </ddeItem>
      <ddeItem name="IHFB1.205" advise="1">
        <values>
          <value t="str">
            <val xml:space="preserve"> -</val>
          </value>
        </values>
      </ddeItem>
      <ddeItem name="IHFB1.211" advise="1">
        <values>
          <value t="str">
            <val xml:space="preserve"> -</val>
          </value>
        </values>
      </ddeItem>
      <ddeItem name="IHFB1.212" advise="1">
        <values>
          <value t="str">
            <val xml:space="preserve"> -</val>
          </value>
        </values>
      </ddeItem>
      <ddeItem name="IHFB1.213" advise="1">
        <values>
          <value t="str">
            <val xml:space="preserve"> -</val>
          </value>
        </values>
      </ddeItem>
      <ddeItem name="IHFB1.214" advise="1">
        <values>
          <value t="str">
            <val xml:space="preserve"> -</val>
          </value>
        </values>
      </ddeItem>
      <ddeItem name="IHFB1.215" advise="1">
        <values>
          <value t="str">
            <val xml:space="preserve"> -</val>
          </value>
        </values>
      </ddeItem>
      <ddeItem name="IHFB1.221" advise="1">
        <values>
          <value t="str">
            <val>-</val>
          </value>
        </values>
      </ddeItem>
      <ddeItem name="IHFB1.222" advise="1">
        <values>
          <value t="str">
            <val>-</val>
          </value>
        </values>
      </ddeItem>
      <ddeItem name="IHFB1.223" advise="1">
        <values>
          <value t="str">
            <val>-</val>
          </value>
        </values>
      </ddeItem>
      <ddeItem name="IHFB1.224" advise="1">
        <values>
          <value t="str">
            <val>-</val>
          </value>
        </values>
      </ddeItem>
      <ddeItem name="IHFB1.225" advise="1">
        <values>
          <value t="str">
            <val>-</val>
          </value>
        </values>
      </ddeItem>
      <ddeItem name="IHFB1.231" advise="1">
        <values>
          <value t="str">
            <val>-</val>
          </value>
        </values>
      </ddeItem>
      <ddeItem name="IHFB1.232" advise="1">
        <values>
          <value t="str">
            <val>-</val>
          </value>
        </values>
      </ddeItem>
      <ddeItem name="IHFB1.233" advise="1">
        <values>
          <value t="str">
            <val>-</val>
          </value>
        </values>
      </ddeItem>
      <ddeItem name="IHFB1.234" advise="1">
        <values>
          <value t="str">
            <val>-</val>
          </value>
        </values>
      </ddeItem>
      <ddeItem name="IHFB1.235" advise="1">
        <values>
          <value t="str">
            <val>-</val>
          </value>
        </values>
      </ddeItem>
      <ddeItem name="IHFB1.402" advise="1"/>
      <ddeItem name="IHFB1.406" advise="1">
        <values>
          <value t="str">
            <val xml:space="preserve"> -</val>
          </value>
        </values>
      </ddeItem>
      <ddeItem name="IHFB1.407" advise="1">
        <values>
          <value t="str">
            <val xml:space="preserve"> -</val>
          </value>
        </values>
      </ddeItem>
      <ddeItem name="IHFB1.431" advise="1">
        <values>
          <value t="str">
            <val>-</val>
          </value>
        </values>
      </ddeItem>
      <ddeItem name="IHFB1.437" advise="1">
        <values>
          <value t="str">
            <val xml:space="preserve"> -</val>
          </value>
        </values>
      </ddeItem>
      <ddeItem name="IIFB1.123" advise="1">
        <values>
          <value>
            <val>100135</val>
          </value>
        </values>
      </ddeItem>
      <ddeItem name="IIFB1.124" advise="1">
        <values>
          <value>
            <val>16424.64</val>
          </value>
        </values>
      </ddeItem>
      <ddeItem name="IIFB1.125" advise="1">
        <values>
          <value>
            <val>-18.760000000000002</val>
          </value>
        </values>
      </ddeItem>
      <ddeItem name="IIFB1.128" advise="1">
        <values>
          <value>
            <val>1648</val>
          </value>
        </values>
      </ddeItem>
      <ddeItem name="IIFB1.130" advise="1">
        <values>
          <value>
            <val>16329.54</val>
          </value>
        </values>
      </ddeItem>
      <ddeItem name="IIFB1.131" advise="1">
        <values>
          <value>
            <val>16456.939999999999</val>
          </value>
        </values>
      </ddeItem>
      <ddeItem name="IIFB1.132" advise="1">
        <values>
          <value>
            <val>16329.54</val>
          </value>
        </values>
      </ddeItem>
      <ddeItem name="IIFB1.133" advise="1">
        <values>
          <value>
            <val>4020107</val>
          </value>
        </values>
      </ddeItem>
      <ddeItem name="IIFB1.135" advise="1">
        <values>
          <value t="str">
            <val xml:space="preserve"> -</val>
          </value>
        </values>
      </ddeItem>
      <ddeItem name="IIFB1.136" advise="1">
        <values>
          <value t="str">
            <val xml:space="preserve"> -</val>
          </value>
        </values>
      </ddeItem>
      <ddeItem name="IIFB1.201" advise="1">
        <values>
          <value t="str">
            <val xml:space="preserve"> -</val>
          </value>
        </values>
      </ddeItem>
      <ddeItem name="IIFB1.202" advise="1">
        <values>
          <value t="str">
            <val xml:space="preserve"> -</val>
          </value>
        </values>
      </ddeItem>
      <ddeItem name="IIFB1.203" advise="1">
        <values>
          <value t="str">
            <val xml:space="preserve"> -</val>
          </value>
        </values>
      </ddeItem>
      <ddeItem name="IIFB1.204" advise="1">
        <values>
          <value t="str">
            <val xml:space="preserve"> -</val>
          </value>
        </values>
      </ddeItem>
      <ddeItem name="IIFB1.205" advise="1">
        <values>
          <value t="str">
            <val xml:space="preserve"> -</val>
          </value>
        </values>
      </ddeItem>
      <ddeItem name="IIFB1.211" advise="1">
        <values>
          <value t="str">
            <val xml:space="preserve"> -</val>
          </value>
        </values>
      </ddeItem>
      <ddeItem name="IIFB1.212" advise="1">
        <values>
          <value t="str">
            <val xml:space="preserve"> -</val>
          </value>
        </values>
      </ddeItem>
      <ddeItem name="IIFB1.213" advise="1">
        <values>
          <value t="str">
            <val xml:space="preserve"> -</val>
          </value>
        </values>
      </ddeItem>
      <ddeItem name="IIFB1.214" advise="1">
        <values>
          <value t="str">
            <val xml:space="preserve"> -</val>
          </value>
        </values>
      </ddeItem>
      <ddeItem name="IIFB1.215" advise="1">
        <values>
          <value t="str">
            <val xml:space="preserve"> -</val>
          </value>
        </values>
      </ddeItem>
      <ddeItem name="IIFB1.221" advise="1">
        <values>
          <value t="str">
            <val>-</val>
          </value>
        </values>
      </ddeItem>
      <ddeItem name="IIFB1.222" advise="1">
        <values>
          <value t="str">
            <val>-</val>
          </value>
        </values>
      </ddeItem>
      <ddeItem name="IIFB1.223" advise="1">
        <values>
          <value t="str">
            <val>-</val>
          </value>
        </values>
      </ddeItem>
      <ddeItem name="IIFB1.224" advise="1">
        <values>
          <value t="str">
            <val>-</val>
          </value>
        </values>
      </ddeItem>
      <ddeItem name="IIFB1.225" advise="1">
        <values>
          <value t="str">
            <val>-</val>
          </value>
        </values>
      </ddeItem>
      <ddeItem name="IIFB1.231" advise="1">
        <values>
          <value t="str">
            <val>-</val>
          </value>
        </values>
      </ddeItem>
      <ddeItem name="IIFB1.232" advise="1">
        <values>
          <value t="str">
            <val>-</val>
          </value>
        </values>
      </ddeItem>
      <ddeItem name="IIFB1.233" advise="1">
        <values>
          <value t="str">
            <val>-</val>
          </value>
        </values>
      </ddeItem>
      <ddeItem name="IIFB1.234" advise="1">
        <values>
          <value t="str">
            <val>-</val>
          </value>
        </values>
      </ddeItem>
      <ddeItem name="IIFB1.235" advise="1">
        <values>
          <value t="str">
            <val>-</val>
          </value>
        </values>
      </ddeItem>
      <ddeItem name="IIFB1.402" advise="1">
        <values>
          <value t="str">
            <val>加權指數</val>
          </value>
        </values>
      </ddeItem>
      <ddeItem name="IIFB1.406" advise="1">
        <values>
          <value t="str">
            <val xml:space="preserve"> -</val>
          </value>
        </values>
      </ddeItem>
      <ddeItem name="IIFB1.407" advise="1">
        <values>
          <value t="str">
            <val xml:space="preserve"> -</val>
          </value>
        </values>
      </ddeItem>
      <ddeItem name="IIFB1.431" advise="1">
        <values>
          <value t="str">
            <val>-</val>
          </value>
        </values>
      </ddeItem>
      <ddeItem name="IIFB1.437" advise="1">
        <values>
          <value t="str">
            <val xml:space="preserve"> -</val>
          </value>
        </values>
      </ddeItem>
      <ddeItem name="IJFB1.123" advise="1">
        <values>
          <value>
            <val>100130</val>
          </value>
        </values>
      </ddeItem>
      <ddeItem name="IJFB1.124" advise="1">
        <values>
          <value>
            <val>16422.080000000002</val>
          </value>
        </values>
      </ddeItem>
      <ddeItem name="IJFB1.125" advise="1">
        <values>
          <value>
            <val>-21.32</val>
          </value>
        </values>
      </ddeItem>
      <ddeItem name="IJFB1.128" advise="1">
        <values>
          <value>
            <val>3347</val>
          </value>
        </values>
      </ddeItem>
      <ddeItem name="IJFB1.130" advise="1">
        <values>
          <value>
            <val>16329.54</val>
          </value>
        </values>
      </ddeItem>
      <ddeItem name="IJFB1.131" advise="1">
        <values>
          <value>
            <val>16456.939999999999</val>
          </value>
        </values>
      </ddeItem>
      <ddeItem name="IJFB1.132" advise="1">
        <values>
          <value>
            <val>16329.54</val>
          </value>
        </values>
      </ddeItem>
      <ddeItem name="IJFB1.133" advise="1">
        <values>
          <value>
            <val>4018459</val>
          </value>
        </values>
      </ddeItem>
      <ddeItem name="IJFB1.135" advise="1">
        <values>
          <value t="str">
            <val xml:space="preserve"> -</val>
          </value>
        </values>
      </ddeItem>
      <ddeItem name="IJFB1.136" advise="1">
        <values>
          <value t="str">
            <val xml:space="preserve"> -</val>
          </value>
        </values>
      </ddeItem>
      <ddeItem name="IJFB1.201" advise="1">
        <values>
          <value t="str">
            <val xml:space="preserve"> -</val>
          </value>
        </values>
      </ddeItem>
      <ddeItem name="IJFB1.202" advise="1">
        <values>
          <value t="str">
            <val xml:space="preserve"> -</val>
          </value>
        </values>
      </ddeItem>
      <ddeItem name="IJFB1.203" advise="1">
        <values>
          <value t="str">
            <val xml:space="preserve"> -</val>
          </value>
        </values>
      </ddeItem>
      <ddeItem name="IJFB1.204" advise="1">
        <values>
          <value t="str">
            <val xml:space="preserve"> -</val>
          </value>
        </values>
      </ddeItem>
      <ddeItem name="IJFB1.205" advise="1">
        <values>
          <value t="str">
            <val xml:space="preserve"> -</val>
          </value>
        </values>
      </ddeItem>
      <ddeItem name="IJFB1.211" advise="1">
        <values>
          <value t="str">
            <val xml:space="preserve"> -</val>
          </value>
        </values>
      </ddeItem>
      <ddeItem name="IJFB1.212" advise="1">
        <values>
          <value t="str">
            <val xml:space="preserve"> -</val>
          </value>
        </values>
      </ddeItem>
      <ddeItem name="IJFB1.213" advise="1">
        <values>
          <value t="str">
            <val xml:space="preserve"> -</val>
          </value>
        </values>
      </ddeItem>
      <ddeItem name="IJFB1.214" advise="1">
        <values>
          <value t="str">
            <val xml:space="preserve"> -</val>
          </value>
        </values>
      </ddeItem>
      <ddeItem name="IJFB1.215" advise="1">
        <values>
          <value t="str">
            <val xml:space="preserve"> -</val>
          </value>
        </values>
      </ddeItem>
      <ddeItem name="IJFB1.221" advise="1">
        <values>
          <value t="str">
            <val>-</val>
          </value>
        </values>
      </ddeItem>
      <ddeItem name="IJFB1.222" advise="1">
        <values>
          <value t="str">
            <val>-</val>
          </value>
        </values>
      </ddeItem>
      <ddeItem name="IJFB1.223" advise="1">
        <values>
          <value t="str">
            <val>-</val>
          </value>
        </values>
      </ddeItem>
      <ddeItem name="IJFB1.224" advise="1">
        <values>
          <value t="str">
            <val>-</val>
          </value>
        </values>
      </ddeItem>
      <ddeItem name="IJFB1.225" advise="1">
        <values>
          <value t="str">
            <val>-</val>
          </value>
        </values>
      </ddeItem>
      <ddeItem name="IJFB1.231" advise="1">
        <values>
          <value t="str">
            <val>-</val>
          </value>
        </values>
      </ddeItem>
      <ddeItem name="IJFB1.232" advise="1">
        <values>
          <value t="str">
            <val>-</val>
          </value>
        </values>
      </ddeItem>
      <ddeItem name="IJFB1.233" advise="1">
        <values>
          <value t="str">
            <val>-</val>
          </value>
        </values>
      </ddeItem>
      <ddeItem name="IJFB1.234" advise="1">
        <values>
          <value t="str">
            <val>-</val>
          </value>
        </values>
      </ddeItem>
      <ddeItem name="IJFB1.235" advise="1">
        <values>
          <value t="str">
            <val>-</val>
          </value>
        </values>
      </ddeItem>
      <ddeItem name="IJFB1.402" advise="1">
        <values>
          <value t="str">
            <val>加權指數</val>
          </value>
        </values>
      </ddeItem>
      <ddeItem name="IJFB1.406" advise="1">
        <values>
          <value t="str">
            <val xml:space="preserve"> -</val>
          </value>
        </values>
      </ddeItem>
      <ddeItem name="IJFB1.407" advise="1">
        <values>
          <value t="str">
            <val xml:space="preserve"> -</val>
          </value>
        </values>
      </ddeItem>
      <ddeItem name="IJFB1.431" advise="1">
        <values>
          <value t="str">
            <val>-</val>
          </value>
        </values>
      </ddeItem>
      <ddeItem name="IJFB1.437" advise="1">
        <values>
          <value t="str">
            <val xml:space="preserve"> -</val>
          </value>
        </values>
      </ddeItem>
      <ddeItem name="IMFB1.123" advise="1">
        <values>
          <value>
            <val>100150</val>
          </value>
        </values>
      </ddeItem>
      <ddeItem name="IMFB1.124" advise="1">
        <values>
          <value>
            <val>16421.62</val>
          </value>
        </values>
      </ddeItem>
      <ddeItem name="IMFB1.125" advise="1">
        <values>
          <value>
            <val>-21.78</val>
          </value>
        </values>
      </ddeItem>
      <ddeItem name="IMFB1.128" advise="1">
        <values>
          <value>
            <val>2439</val>
          </value>
        </values>
      </ddeItem>
      <ddeItem name="IMFB1.130" advise="1">
        <values>
          <value>
            <val>16329.54</val>
          </value>
        </values>
      </ddeItem>
      <ddeItem name="IMFB1.131" advise="1">
        <values>
          <value>
            <val>16456.939999999999</val>
          </value>
        </values>
      </ddeItem>
      <ddeItem name="IMFB1.132" advise="1">
        <values>
          <value>
            <val>16329.54</val>
          </value>
        </values>
      </ddeItem>
      <ddeItem name="IMFB1.133" advise="1">
        <values>
          <value>
            <val>4027056</val>
          </value>
        </values>
      </ddeItem>
      <ddeItem name="IMFB1.135" advise="1">
        <values>
          <value t="str">
            <val xml:space="preserve"> -</val>
          </value>
        </values>
      </ddeItem>
      <ddeItem name="IMFB1.136" advise="1">
        <values>
          <value t="str">
            <val xml:space="preserve"> -</val>
          </value>
        </values>
      </ddeItem>
      <ddeItem name="IMFB1.201" advise="1">
        <values>
          <value t="str">
            <val xml:space="preserve"> -</val>
          </value>
        </values>
      </ddeItem>
      <ddeItem name="IMFB1.202" advise="1">
        <values>
          <value t="str">
            <val xml:space="preserve"> -</val>
          </value>
        </values>
      </ddeItem>
      <ddeItem name="IMFB1.203" advise="1">
        <values>
          <value t="str">
            <val xml:space="preserve"> -</val>
          </value>
        </values>
      </ddeItem>
      <ddeItem name="IMFB1.204" advise="1">
        <values>
          <value t="str">
            <val xml:space="preserve"> -</val>
          </value>
        </values>
      </ddeItem>
      <ddeItem name="IMFB1.205" advise="1">
        <values>
          <value t="str">
            <val xml:space="preserve"> -</val>
          </value>
        </values>
      </ddeItem>
      <ddeItem name="IMFB1.211" advise="1">
        <values>
          <value t="str">
            <val xml:space="preserve"> -</val>
          </value>
        </values>
      </ddeItem>
      <ddeItem name="IMFB1.212" advise="1">
        <values>
          <value t="str">
            <val xml:space="preserve"> -</val>
          </value>
        </values>
      </ddeItem>
      <ddeItem name="IMFB1.213" advise="1">
        <values>
          <value t="str">
            <val xml:space="preserve"> -</val>
          </value>
        </values>
      </ddeItem>
      <ddeItem name="IMFB1.214" advise="1">
        <values>
          <value t="str">
            <val xml:space="preserve"> -</val>
          </value>
        </values>
      </ddeItem>
      <ddeItem name="IMFB1.215" advise="1">
        <values>
          <value t="str">
            <val xml:space="preserve"> -</val>
          </value>
        </values>
      </ddeItem>
      <ddeItem name="IMFB1.221" advise="1">
        <values>
          <value t="str">
            <val>-</val>
          </value>
        </values>
      </ddeItem>
      <ddeItem name="IMFB1.222" advise="1">
        <values>
          <value t="str">
            <val>-</val>
          </value>
        </values>
      </ddeItem>
      <ddeItem name="IMFB1.223" advise="1">
        <values>
          <value t="str">
            <val>-</val>
          </value>
        </values>
      </ddeItem>
      <ddeItem name="IMFB1.224" advise="1">
        <values>
          <value t="str">
            <val>-</val>
          </value>
        </values>
      </ddeItem>
      <ddeItem name="IMFB1.225" advise="1">
        <values>
          <value t="str">
            <val>-</val>
          </value>
        </values>
      </ddeItem>
      <ddeItem name="IMFB1.231" advise="1">
        <values>
          <value t="str">
            <val>-</val>
          </value>
        </values>
      </ddeItem>
      <ddeItem name="IMFB1.232" advise="1">
        <values>
          <value t="str">
            <val>-</val>
          </value>
        </values>
      </ddeItem>
      <ddeItem name="IMFB1.233" advise="1">
        <values>
          <value t="str">
            <val>-</val>
          </value>
        </values>
      </ddeItem>
      <ddeItem name="IMFB1.234" advise="1">
        <values>
          <value t="str">
            <val>-</val>
          </value>
        </values>
      </ddeItem>
      <ddeItem name="IMFB1.235" advise="1">
        <values>
          <value t="str">
            <val>-</val>
          </value>
        </values>
      </ddeItem>
      <ddeItem name="IMFB1.402" advise="1">
        <values>
          <value t="str">
            <val>加權指數</val>
          </value>
        </values>
      </ddeItem>
      <ddeItem name="IMFB1.406" advise="1">
        <values>
          <value t="str">
            <val xml:space="preserve"> -</val>
          </value>
        </values>
      </ddeItem>
      <ddeItem name="IMFB1.407" advise="1">
        <values>
          <value t="str">
            <val xml:space="preserve"> -</val>
          </value>
        </values>
      </ddeItem>
      <ddeItem name="IMFB1.431" advise="1">
        <values>
          <value t="str">
            <val>-</val>
          </value>
        </values>
      </ddeItem>
      <ddeItem name="IMFB1.437" advise="1">
        <values>
          <value t="str">
            <val xml:space="preserve"> -</val>
          </value>
        </values>
      </ddeItem>
      <ddeItem name="IOFB1.123" advise="1">
        <values>
          <value>
            <val>0</val>
          </value>
        </values>
      </ddeItem>
      <ddeItem name="IOFB1.124" advise="1">
        <values>
          <value>
            <val>20878632</val>
          </value>
        </values>
      </ddeItem>
      <ddeItem name="IOFB1.125" advise="1">
        <values>
          <value t="str">
            <val xml:space="preserve"> </val>
          </value>
        </values>
      </ddeItem>
      <ddeItem name="IOFB1.128" advise="1">
        <values>
          <value>
            <val>1212870150</val>
          </value>
        </values>
      </ddeItem>
      <ddeItem name="IOFB1.130" advise="1">
        <values>
          <value>
            <val>20803788</val>
          </value>
        </values>
      </ddeItem>
      <ddeItem name="IOFB1.131" advise="1">
        <values>
          <value>
            <val>20804690</val>
          </value>
        </values>
      </ddeItem>
      <ddeItem name="IOFB1.132" advise="1">
        <values>
          <value>
            <val>10989732</val>
          </value>
        </values>
      </ddeItem>
      <ddeItem name="IOFB1.133" advise="1">
        <values>
          <value>
            <val>2088371110</val>
          </value>
        </values>
      </ddeItem>
      <ddeItem name="IOFB1.135" advise="1">
        <values>
          <value t="str">
            <val xml:space="preserve"> -</val>
          </value>
        </values>
      </ddeItem>
      <ddeItem name="IOFB1.136" advise="1">
        <values>
          <value t="str">
            <val xml:space="preserve"> -</val>
          </value>
        </values>
      </ddeItem>
      <ddeItem name="IOFB1.201" advise="1">
        <values>
          <value t="str">
            <val xml:space="preserve"> -</val>
          </value>
        </values>
      </ddeItem>
      <ddeItem name="IOFB1.202" advise="1">
        <values>
          <value t="str">
            <val xml:space="preserve"> -</val>
          </value>
        </values>
      </ddeItem>
      <ddeItem name="IOFB1.203" advise="1">
        <values>
          <value t="str">
            <val xml:space="preserve"> -</val>
          </value>
        </values>
      </ddeItem>
      <ddeItem name="IOFB1.204" advise="1">
        <values>
          <value t="str">
            <val xml:space="preserve"> -</val>
          </value>
        </values>
      </ddeItem>
      <ddeItem name="IOFB1.205" advise="1">
        <values>
          <value t="str">
            <val xml:space="preserve"> -</val>
          </value>
        </values>
      </ddeItem>
      <ddeItem name="IOFB1.211" advise="1">
        <values>
          <value t="str">
            <val xml:space="preserve"> -</val>
          </value>
        </values>
      </ddeItem>
      <ddeItem name="IOFB1.212" advise="1">
        <values>
          <value t="str">
            <val xml:space="preserve"> -</val>
          </value>
        </values>
      </ddeItem>
      <ddeItem name="IOFB1.213" advise="1">
        <values>
          <value t="str">
            <val xml:space="preserve"> -</val>
          </value>
        </values>
      </ddeItem>
      <ddeItem name="IOFB1.214" advise="1">
        <values>
          <value t="str">
            <val xml:space="preserve"> -</val>
          </value>
        </values>
      </ddeItem>
      <ddeItem name="IOFB1.215" advise="1">
        <values>
          <value t="str">
            <val xml:space="preserve"> -</val>
          </value>
        </values>
      </ddeItem>
      <ddeItem name="IOFB1.221" advise="1">
        <values>
          <value t="str">
            <val>-</val>
          </value>
        </values>
      </ddeItem>
      <ddeItem name="IOFB1.222" advise="1">
        <values>
          <value t="str">
            <val>-</val>
          </value>
        </values>
      </ddeItem>
      <ddeItem name="IOFB1.223" advise="1">
        <values>
          <value t="str">
            <val>-</val>
          </value>
        </values>
      </ddeItem>
      <ddeItem name="IOFB1.224" advise="1">
        <values>
          <value t="str">
            <val>-</val>
          </value>
        </values>
      </ddeItem>
      <ddeItem name="IOFB1.225" advise="1">
        <values>
          <value t="str">
            <val>-</val>
          </value>
        </values>
      </ddeItem>
      <ddeItem name="IOFB1.231" advise="1">
        <values>
          <value t="str">
            <val>-</val>
          </value>
        </values>
      </ddeItem>
      <ddeItem name="IOFB1.232" advise="1">
        <values>
          <value t="str">
            <val>-</val>
          </value>
        </values>
      </ddeItem>
      <ddeItem name="IOFB1.233" advise="1">
        <values>
          <value t="str">
            <val>-</val>
          </value>
        </values>
      </ddeItem>
      <ddeItem name="IOFB1.234" advise="1">
        <values>
          <value t="str">
            <val>-</val>
          </value>
        </values>
      </ddeItem>
      <ddeItem name="IOFB1.235" advise="1">
        <values>
          <value t="str">
            <val>-</val>
          </value>
        </values>
      </ddeItem>
      <ddeItem name="IOFB1.402" advise="1"/>
      <ddeItem name="IOFB1.406" advise="1">
        <values>
          <value t="str">
            <val xml:space="preserve"> -</val>
          </value>
        </values>
      </ddeItem>
      <ddeItem name="IOFB1.407" advise="1">
        <values>
          <value t="str">
            <val xml:space="preserve"> -</val>
          </value>
        </values>
      </ddeItem>
      <ddeItem name="IOFB1.431" advise="1">
        <values>
          <value t="str">
            <val>-</val>
          </value>
        </values>
      </ddeItem>
      <ddeItem name="IOFB1.437" advise="1">
        <values>
          <value t="str">
            <val xml:space="preserve"> -</val>
          </value>
        </values>
      </ddeItem>
      <ddeItem name="IPFB1.123" advise="1">
        <values>
          <value>
            <val>100145</val>
          </value>
        </values>
      </ddeItem>
      <ddeItem name="IPFB1.124" advise="1">
        <values>
          <value>
            <val>13895.21</val>
          </value>
        </values>
      </ddeItem>
      <ddeItem name="IPFB1.125" advise="1">
        <values>
          <value>
            <val>8.6300000000000008</val>
          </value>
        </values>
      </ddeItem>
      <ddeItem name="IPFB1.128" advise="1">
        <values>
          <value>
            <val>435</val>
          </value>
        </values>
      </ddeItem>
      <ddeItem name="IPFB1.130" advise="1">
        <values>
          <value>
            <val>13893.03</val>
          </value>
        </values>
      </ddeItem>
      <ddeItem name="IPFB1.131" advise="1">
        <values>
          <value>
            <val>13945.78</val>
          </value>
        </values>
      </ddeItem>
      <ddeItem name="IPFB1.132" advise="1">
        <values>
          <value>
            <val>13875.82</val>
          </value>
        </values>
      </ddeItem>
      <ddeItem name="IPFB1.133" advise="1">
        <values>
          <value>
            <val>872940</val>
          </value>
        </values>
      </ddeItem>
      <ddeItem name="IPFB1.135" advise="1">
        <values>
          <value t="str">
            <val xml:space="preserve"> -</val>
          </value>
        </values>
      </ddeItem>
      <ddeItem name="IPFB1.136" advise="1">
        <values>
          <value t="str">
            <val xml:space="preserve"> -</val>
          </value>
        </values>
      </ddeItem>
      <ddeItem name="IPFB1.201" advise="1">
        <values>
          <value t="str">
            <val xml:space="preserve"> -</val>
          </value>
        </values>
      </ddeItem>
      <ddeItem name="IPFB1.202" advise="1">
        <values>
          <value t="str">
            <val xml:space="preserve"> -</val>
          </value>
        </values>
      </ddeItem>
      <ddeItem name="IPFB1.203" advise="1">
        <values>
          <value t="str">
            <val xml:space="preserve"> -</val>
          </value>
        </values>
      </ddeItem>
      <ddeItem name="IPFB1.204" advise="1">
        <values>
          <value t="str">
            <val xml:space="preserve"> -</val>
          </value>
        </values>
      </ddeItem>
      <ddeItem name="IPFB1.205" advise="1">
        <values>
          <value t="str">
            <val xml:space="preserve"> -</val>
          </value>
        </values>
      </ddeItem>
      <ddeItem name="IPFB1.211" advise="1">
        <values>
          <value t="str">
            <val xml:space="preserve"> -</val>
          </value>
        </values>
      </ddeItem>
      <ddeItem name="IPFB1.212" advise="1">
        <values>
          <value t="str">
            <val xml:space="preserve"> -</val>
          </value>
        </values>
      </ddeItem>
      <ddeItem name="IPFB1.213" advise="1">
        <values>
          <value t="str">
            <val xml:space="preserve"> -</val>
          </value>
        </values>
      </ddeItem>
      <ddeItem name="IPFB1.214" advise="1">
        <values>
          <value t="str">
            <val xml:space="preserve"> -</val>
          </value>
        </values>
      </ddeItem>
      <ddeItem name="IPFB1.215" advise="1">
        <values>
          <value t="str">
            <val xml:space="preserve"> -</val>
          </value>
        </values>
      </ddeItem>
      <ddeItem name="IPFB1.221" advise="1">
        <values>
          <value t="str">
            <val>-</val>
          </value>
        </values>
      </ddeItem>
      <ddeItem name="IPFB1.222" advise="1">
        <values>
          <value t="str">
            <val>-</val>
          </value>
        </values>
      </ddeItem>
      <ddeItem name="IPFB1.223" advise="1">
        <values>
          <value t="str">
            <val>-</val>
          </value>
        </values>
      </ddeItem>
      <ddeItem name="IPFB1.224" advise="1">
        <values>
          <value t="str">
            <val>-</val>
          </value>
        </values>
      </ddeItem>
      <ddeItem name="IPFB1.225" advise="1">
        <values>
          <value t="str">
            <val>-</val>
          </value>
        </values>
      </ddeItem>
      <ddeItem name="IPFB1.231" advise="1">
        <values>
          <value t="str">
            <val>-</val>
          </value>
        </values>
      </ddeItem>
      <ddeItem name="IPFB1.232" advise="1">
        <values>
          <value t="str">
            <val>-</val>
          </value>
        </values>
      </ddeItem>
      <ddeItem name="IPFB1.233" advise="1">
        <values>
          <value t="str">
            <val>-</val>
          </value>
        </values>
      </ddeItem>
      <ddeItem name="IPFB1.234" advise="1">
        <values>
          <value t="str">
            <val>-</val>
          </value>
        </values>
      </ddeItem>
      <ddeItem name="IPFB1.235" advise="1">
        <values>
          <value t="str">
            <val>-</val>
          </value>
        </values>
      </ddeItem>
      <ddeItem name="IPFB1.402" advise="1">
        <values>
          <value t="str">
            <val>不含金電</val>
          </value>
        </values>
      </ddeItem>
      <ddeItem name="IPFB1.406" advise="1">
        <values>
          <value t="str">
            <val xml:space="preserve"> -</val>
          </value>
        </values>
      </ddeItem>
      <ddeItem name="IPFB1.407" advise="1">
        <values>
          <value t="str">
            <val xml:space="preserve"> -</val>
          </value>
        </values>
      </ddeItem>
      <ddeItem name="IPFB1.431" advise="1">
        <values>
          <value t="str">
            <val>-</val>
          </value>
        </values>
      </ddeItem>
      <ddeItem name="IPFB1.437" advise="1">
        <values>
          <value t="str">
            <val xml:space="preserve"> -</val>
          </value>
        </values>
      </ddeItem>
      <ddeItem name="IQFB1.123" advise="1">
        <values>
          <value>
            <val>100145</val>
          </value>
        </values>
      </ddeItem>
      <ddeItem name="IQFB1.124" advise="1">
        <values>
          <value>
            <val>16422.560000000001</val>
          </value>
        </values>
      </ddeItem>
      <ddeItem name="IQFB1.125" advise="1">
        <values>
          <value>
            <val>-20.84</val>
          </value>
        </values>
      </ddeItem>
      <ddeItem name="IQFB1.128" advise="1">
        <values>
          <value>
            <val>1824</val>
          </value>
        </values>
      </ddeItem>
      <ddeItem name="IQFB1.130" advise="1">
        <values>
          <value>
            <val>16329.54</val>
          </value>
        </values>
      </ddeItem>
      <ddeItem name="IQFB1.131" advise="1">
        <values>
          <value>
            <val>16456.939999999999</val>
          </value>
        </values>
      </ddeItem>
      <ddeItem name="IQFB1.132" advise="1">
        <values>
          <value>
            <val>16329.54</val>
          </value>
        </values>
      </ddeItem>
      <ddeItem name="IQFB1.133" advise="1">
        <values>
          <value>
            <val>4024617</val>
          </value>
        </values>
      </ddeItem>
      <ddeItem name="IQFB1.135" advise="1">
        <values>
          <value t="str">
            <val xml:space="preserve"> -</val>
          </value>
        </values>
      </ddeItem>
      <ddeItem name="IQFB1.136" advise="1">
        <values>
          <value t="str">
            <val xml:space="preserve"> -</val>
          </value>
        </values>
      </ddeItem>
      <ddeItem name="IQFB1.201" advise="1">
        <values>
          <value t="str">
            <val xml:space="preserve"> -</val>
          </value>
        </values>
      </ddeItem>
      <ddeItem name="IQFB1.202" advise="1">
        <values>
          <value t="str">
            <val xml:space="preserve"> -</val>
          </value>
        </values>
      </ddeItem>
      <ddeItem name="IQFB1.203" advise="1">
        <values>
          <value t="str">
            <val xml:space="preserve"> -</val>
          </value>
        </values>
      </ddeItem>
      <ddeItem name="IQFB1.204" advise="1">
        <values>
          <value t="str">
            <val xml:space="preserve"> -</val>
          </value>
        </values>
      </ddeItem>
      <ddeItem name="IQFB1.205" advise="1">
        <values>
          <value t="str">
            <val xml:space="preserve"> -</val>
          </value>
        </values>
      </ddeItem>
      <ddeItem name="IQFB1.211" advise="1">
        <values>
          <value t="str">
            <val xml:space="preserve"> -</val>
          </value>
        </values>
      </ddeItem>
      <ddeItem name="IQFB1.212" advise="1">
        <values>
          <value t="str">
            <val xml:space="preserve"> -</val>
          </value>
        </values>
      </ddeItem>
      <ddeItem name="IQFB1.213" advise="1">
        <values>
          <value t="str">
            <val xml:space="preserve"> -</val>
          </value>
        </values>
      </ddeItem>
      <ddeItem name="IQFB1.214" advise="1">
        <values>
          <value t="str">
            <val xml:space="preserve"> -</val>
          </value>
        </values>
      </ddeItem>
      <ddeItem name="IQFB1.215" advise="1">
        <values>
          <value t="str">
            <val xml:space="preserve"> -</val>
          </value>
        </values>
      </ddeItem>
      <ddeItem name="IQFB1.221" advise="1">
        <values>
          <value t="str">
            <val>-</val>
          </value>
        </values>
      </ddeItem>
      <ddeItem name="IQFB1.222" advise="1">
        <values>
          <value t="str">
            <val>-</val>
          </value>
        </values>
      </ddeItem>
      <ddeItem name="IQFB1.223" advise="1">
        <values>
          <value t="str">
            <val>-</val>
          </value>
        </values>
      </ddeItem>
      <ddeItem name="IQFB1.224" advise="1">
        <values>
          <value t="str">
            <val>-</val>
          </value>
        </values>
      </ddeItem>
      <ddeItem name="IQFB1.225" advise="1">
        <values>
          <value t="str">
            <val>-</val>
          </value>
        </values>
      </ddeItem>
      <ddeItem name="IQFB1.231" advise="1">
        <values>
          <value t="str">
            <val>-</val>
          </value>
        </values>
      </ddeItem>
      <ddeItem name="IQFB1.232" advise="1">
        <values>
          <value t="str">
            <val>-</val>
          </value>
        </values>
      </ddeItem>
      <ddeItem name="IQFB1.233" advise="1">
        <values>
          <value t="str">
            <val>-</val>
          </value>
        </values>
      </ddeItem>
      <ddeItem name="IQFB1.234" advise="1">
        <values>
          <value t="str">
            <val>-</val>
          </value>
        </values>
      </ddeItem>
      <ddeItem name="IQFB1.235" advise="1">
        <values>
          <value t="str">
            <val>-</val>
          </value>
        </values>
      </ddeItem>
      <ddeItem name="IQFB1.402" advise="1">
        <values>
          <value t="str">
            <val>加權指數</val>
          </value>
        </values>
      </ddeItem>
      <ddeItem name="IQFB1.406" advise="1">
        <values>
          <value t="str">
            <val xml:space="preserve"> -</val>
          </value>
        </values>
      </ddeItem>
      <ddeItem name="IQFB1.407" advise="1">
        <values>
          <value t="str">
            <val xml:space="preserve"> -</val>
          </value>
        </values>
      </ddeItem>
      <ddeItem name="IQFB1.431" advise="1">
        <values>
          <value t="str">
            <val>-</val>
          </value>
        </values>
      </ddeItem>
      <ddeItem name="IQFB1.437" advise="1">
        <values>
          <value t="str">
            <val xml:space="preserve"> -</val>
          </value>
        </values>
      </ddeItem>
      <ddeItem name="IRFB1.123" advise="1">
        <values>
          <value>
            <val>100140</val>
          </value>
        </values>
      </ddeItem>
      <ddeItem name="IRFB1.124" advise="1">
        <values>
          <value>
            <val>13893.18</val>
          </value>
        </values>
      </ddeItem>
      <ddeItem name="IRFB1.125" advise="1">
        <values>
          <value>
            <val>6.6</val>
          </value>
        </values>
      </ddeItem>
      <ddeItem name="IRFB1.128" advise="1">
        <values>
          <value>
            <val>720</val>
          </value>
        </values>
      </ddeItem>
      <ddeItem name="IRFB1.130" advise="1">
        <values>
          <value>
            <val>13893.03</val>
          </value>
        </values>
      </ddeItem>
      <ddeItem name="IRFB1.131" advise="1">
        <values>
          <value>
            <val>13945.78</val>
          </value>
        </values>
      </ddeItem>
      <ddeItem name="IRFB1.132" advise="1">
        <values>
          <value>
            <val>13875.82</val>
          </value>
        </values>
      </ddeItem>
      <ddeItem name="IRFB1.133" advise="1">
        <values>
          <value>
            <val>872505</val>
          </value>
        </values>
      </ddeItem>
      <ddeItem name="IRFB1.135" advise="1">
        <values>
          <value t="str">
            <val xml:space="preserve"> -</val>
          </value>
        </values>
      </ddeItem>
      <ddeItem name="IRFB1.136" advise="1">
        <values>
          <value t="str">
            <val xml:space="preserve"> -</val>
          </value>
        </values>
      </ddeItem>
      <ddeItem name="IRFB1.201" advise="1">
        <values>
          <value t="str">
            <val xml:space="preserve"> -</val>
          </value>
        </values>
      </ddeItem>
      <ddeItem name="IRFB1.202" advise="1">
        <values>
          <value t="str">
            <val xml:space="preserve"> -</val>
          </value>
        </values>
      </ddeItem>
      <ddeItem name="IRFB1.203" advise="1">
        <values>
          <value t="str">
            <val xml:space="preserve"> -</val>
          </value>
        </values>
      </ddeItem>
      <ddeItem name="IRFB1.204" advise="1">
        <values>
          <value t="str">
            <val xml:space="preserve"> -</val>
          </value>
        </values>
      </ddeItem>
      <ddeItem name="IRFB1.205" advise="1">
        <values>
          <value t="str">
            <val xml:space="preserve"> -</val>
          </value>
        </values>
      </ddeItem>
      <ddeItem name="IRFB1.211" advise="1">
        <values>
          <value t="str">
            <val xml:space="preserve"> -</val>
          </value>
        </values>
      </ddeItem>
      <ddeItem name="IRFB1.212" advise="1">
        <values>
          <value t="str">
            <val xml:space="preserve"> -</val>
          </value>
        </values>
      </ddeItem>
      <ddeItem name="IRFB1.213" advise="1">
        <values>
          <value t="str">
            <val xml:space="preserve"> -</val>
          </value>
        </values>
      </ddeItem>
      <ddeItem name="IRFB1.214" advise="1">
        <values>
          <value t="str">
            <val xml:space="preserve"> -</val>
          </value>
        </values>
      </ddeItem>
      <ddeItem name="IRFB1.215" advise="1">
        <values>
          <value t="str">
            <val xml:space="preserve"> -</val>
          </value>
        </values>
      </ddeItem>
      <ddeItem name="IRFB1.221" advise="1">
        <values>
          <value t="str">
            <val>-</val>
          </value>
        </values>
      </ddeItem>
      <ddeItem name="IRFB1.222" advise="1">
        <values>
          <value t="str">
            <val>-</val>
          </value>
        </values>
      </ddeItem>
      <ddeItem name="IRFB1.223" advise="1">
        <values>
          <value t="str">
            <val>-</val>
          </value>
        </values>
      </ddeItem>
      <ddeItem name="IRFB1.224" advise="1">
        <values>
          <value t="str">
            <val>-</val>
          </value>
        </values>
      </ddeItem>
      <ddeItem name="IRFB1.225" advise="1">
        <values>
          <value t="str">
            <val>-</val>
          </value>
        </values>
      </ddeItem>
      <ddeItem name="IRFB1.231" advise="1">
        <values>
          <value t="str">
            <val>-</val>
          </value>
        </values>
      </ddeItem>
      <ddeItem name="IRFB1.232" advise="1">
        <values>
          <value t="str">
            <val>-</val>
          </value>
        </values>
      </ddeItem>
      <ddeItem name="IRFB1.233" advise="1">
        <values>
          <value t="str">
            <val>-</val>
          </value>
        </values>
      </ddeItem>
      <ddeItem name="IRFB1.234" advise="1">
        <values>
          <value t="str">
            <val>-</val>
          </value>
        </values>
      </ddeItem>
      <ddeItem name="IRFB1.235" advise="1">
        <values>
          <value t="str">
            <val>-</val>
          </value>
        </values>
      </ddeItem>
      <ddeItem name="IRFB1.402" advise="1">
        <values>
          <value t="str">
            <val>不含金電</val>
          </value>
        </values>
      </ddeItem>
      <ddeItem name="IRFB1.406" advise="1">
        <values>
          <value t="str">
            <val xml:space="preserve"> -</val>
          </value>
        </values>
      </ddeItem>
      <ddeItem name="IRFB1.407" advise="1">
        <values>
          <value t="str">
            <val xml:space="preserve"> -</val>
          </value>
        </values>
      </ddeItem>
      <ddeItem name="IRFB1.431" advise="1">
        <values>
          <value t="str">
            <val>-</val>
          </value>
        </values>
      </ddeItem>
      <ddeItem name="IRFB1.437" advise="1">
        <values>
          <value t="str">
            <val xml:space="preserve"> -</val>
          </value>
        </values>
      </ddeItem>
      <ddeItem name="ITFB1.123" advise="1">
        <values>
          <value>
            <val>100140</val>
          </value>
        </values>
      </ddeItem>
      <ddeItem name="ITFB1.124" advise="1">
        <values>
          <value>
            <val>16428.68</val>
          </value>
        </values>
      </ddeItem>
      <ddeItem name="ITFB1.125" advise="1">
        <values>
          <value>
            <val>-14.72</val>
          </value>
        </values>
      </ddeItem>
      <ddeItem name="ITFB1.128" advise="1">
        <values>
          <value>
            <val>2686</val>
          </value>
        </values>
      </ddeItem>
      <ddeItem name="ITFB1.130" advise="1">
        <values>
          <value>
            <val>16329.54</val>
          </value>
        </values>
      </ddeItem>
      <ddeItem name="ITFB1.131" advise="1">
        <values>
          <value>
            <val>16456.939999999999</val>
          </value>
        </values>
      </ddeItem>
      <ddeItem name="ITFB1.132" advise="1">
        <values>
          <value>
            <val>16329.54</val>
          </value>
        </values>
      </ddeItem>
      <ddeItem name="ITFB1.133" advise="1">
        <values>
          <value>
            <val>4022793</val>
          </value>
        </values>
      </ddeItem>
      <ddeItem name="ITFB1.135" advise="1">
        <values>
          <value t="str">
            <val xml:space="preserve"> -</val>
          </value>
        </values>
      </ddeItem>
      <ddeItem name="ITFB1.136" advise="1">
        <values>
          <value t="str">
            <val xml:space="preserve"> -</val>
          </value>
        </values>
      </ddeItem>
      <ddeItem name="ITFB1.201" advise="1">
        <values>
          <value t="str">
            <val xml:space="preserve"> -</val>
          </value>
        </values>
      </ddeItem>
      <ddeItem name="ITFB1.202" advise="1">
        <values>
          <value t="str">
            <val xml:space="preserve"> -</val>
          </value>
        </values>
      </ddeItem>
      <ddeItem name="ITFB1.203" advise="1">
        <values>
          <value t="str">
            <val xml:space="preserve"> -</val>
          </value>
        </values>
      </ddeItem>
      <ddeItem name="ITFB1.204" advise="1">
        <values>
          <value t="str">
            <val xml:space="preserve"> -</val>
          </value>
        </values>
      </ddeItem>
      <ddeItem name="ITFB1.205" advise="1">
        <values>
          <value t="str">
            <val xml:space="preserve"> -</val>
          </value>
        </values>
      </ddeItem>
      <ddeItem name="ITFB1.211" advise="1">
        <values>
          <value t="str">
            <val xml:space="preserve"> -</val>
          </value>
        </values>
      </ddeItem>
      <ddeItem name="ITFB1.212" advise="1">
        <values>
          <value t="str">
            <val xml:space="preserve"> -</val>
          </value>
        </values>
      </ddeItem>
      <ddeItem name="ITFB1.213" advise="1">
        <values>
          <value t="str">
            <val xml:space="preserve"> -</val>
          </value>
        </values>
      </ddeItem>
      <ddeItem name="ITFB1.214" advise="1">
        <values>
          <value t="str">
            <val xml:space="preserve"> -</val>
          </value>
        </values>
      </ddeItem>
      <ddeItem name="ITFB1.215" advise="1">
        <values>
          <value t="str">
            <val xml:space="preserve"> -</val>
          </value>
        </values>
      </ddeItem>
      <ddeItem name="ITFB1.221" advise="1">
        <values>
          <value t="str">
            <val>-</val>
          </value>
        </values>
      </ddeItem>
      <ddeItem name="ITFB1.222" advise="1">
        <values>
          <value t="str">
            <val>-</val>
          </value>
        </values>
      </ddeItem>
      <ddeItem name="ITFB1.223" advise="1">
        <values>
          <value t="str">
            <val>-</val>
          </value>
        </values>
      </ddeItem>
      <ddeItem name="ITFB1.224" advise="1">
        <values>
          <value t="str">
            <val>-</val>
          </value>
        </values>
      </ddeItem>
      <ddeItem name="ITFB1.225" advise="1">
        <values>
          <value t="str">
            <val>-</val>
          </value>
        </values>
      </ddeItem>
      <ddeItem name="ITFB1.231" advise="1">
        <values>
          <value t="str">
            <val>-</val>
          </value>
        </values>
      </ddeItem>
      <ddeItem name="ITFB1.232" advise="1">
        <values>
          <value t="str">
            <val>-</val>
          </value>
        </values>
      </ddeItem>
      <ddeItem name="ITFB1.233" advise="1">
        <values>
          <value t="str">
            <val>-</val>
          </value>
        </values>
      </ddeItem>
      <ddeItem name="ITFB1.234" advise="1">
        <values>
          <value t="str">
            <val>-</val>
          </value>
        </values>
      </ddeItem>
      <ddeItem name="ITFB1.235" advise="1">
        <values>
          <value t="str">
            <val>-</val>
          </value>
        </values>
      </ddeItem>
      <ddeItem name="ITFB1.402" advise="1">
        <values>
          <value t="str">
            <val>加權指數</val>
          </value>
        </values>
      </ddeItem>
      <ddeItem name="ITFB1.406" advise="1">
        <values>
          <value t="str">
            <val xml:space="preserve"> -</val>
          </value>
        </values>
      </ddeItem>
      <ddeItem name="ITFB1.407" advise="1">
        <values>
          <value t="str">
            <val xml:space="preserve"> -</val>
          </value>
        </values>
      </ddeItem>
      <ddeItem name="ITFB1.431" advise="1">
        <values>
          <value t="str">
            <val>-</val>
          </value>
        </values>
      </ddeItem>
      <ddeItem name="ITFB1.437" advise="1">
        <values>
          <value t="str">
            <val xml:space="preserve"> -</val>
          </value>
        </values>
      </ddeItem>
      <ddeItem name="IXFB1.123" advise="1">
        <values>
          <value>
            <val>0</val>
          </value>
        </values>
      </ddeItem>
      <ddeItem name="IXFB1.124" advise="1">
        <values>
          <value>
            <val>20878632</val>
          </value>
        </values>
      </ddeItem>
      <ddeItem name="IXFB1.125" advise="1">
        <values>
          <value t="str">
            <val xml:space="preserve"> </val>
          </value>
        </values>
      </ddeItem>
      <ddeItem name="IXFB1.128" advise="1">
        <values>
          <value>
            <val>1212870150</val>
          </value>
        </values>
      </ddeItem>
      <ddeItem name="IXFB1.130" advise="1">
        <values>
          <value>
            <val>20803788</val>
          </value>
        </values>
      </ddeItem>
      <ddeItem name="IXFB1.131" advise="1">
        <values>
          <value>
            <val>20804690</val>
          </value>
        </values>
      </ddeItem>
      <ddeItem name="IXFB1.132" advise="1">
        <values>
          <value>
            <val>10989732</val>
          </value>
        </values>
      </ddeItem>
      <ddeItem name="IXFB1.133" advise="1">
        <values>
          <value>
            <val>2088371110</val>
          </value>
        </values>
      </ddeItem>
      <ddeItem name="IXFB1.135" advise="1">
        <values>
          <value t="str">
            <val xml:space="preserve"> -</val>
          </value>
        </values>
      </ddeItem>
      <ddeItem name="IXFB1.136" advise="1">
        <values>
          <value t="str">
            <val xml:space="preserve"> -</val>
          </value>
        </values>
      </ddeItem>
      <ddeItem name="IXFB1.201" advise="1">
        <values>
          <value t="str">
            <val xml:space="preserve"> -</val>
          </value>
        </values>
      </ddeItem>
      <ddeItem name="IXFB1.202" advise="1">
        <values>
          <value t="str">
            <val xml:space="preserve"> -</val>
          </value>
        </values>
      </ddeItem>
      <ddeItem name="IXFB1.203" advise="1">
        <values>
          <value t="str">
            <val xml:space="preserve"> -</val>
          </value>
        </values>
      </ddeItem>
      <ddeItem name="IXFB1.204" advise="1">
        <values>
          <value t="str">
            <val xml:space="preserve"> -</val>
          </value>
        </values>
      </ddeItem>
      <ddeItem name="IXFB1.205" advise="1">
        <values>
          <value t="str">
            <val xml:space="preserve"> -</val>
          </value>
        </values>
      </ddeItem>
      <ddeItem name="IXFB1.211" advise="1">
        <values>
          <value t="str">
            <val xml:space="preserve"> -</val>
          </value>
        </values>
      </ddeItem>
      <ddeItem name="IXFB1.212" advise="1">
        <values>
          <value t="str">
            <val xml:space="preserve"> -</val>
          </value>
        </values>
      </ddeItem>
      <ddeItem name="IXFB1.213" advise="1">
        <values>
          <value t="str">
            <val xml:space="preserve"> -</val>
          </value>
        </values>
      </ddeItem>
      <ddeItem name="IXFB1.214" advise="1">
        <values>
          <value t="str">
            <val xml:space="preserve"> -</val>
          </value>
        </values>
      </ddeItem>
      <ddeItem name="IXFB1.215" advise="1">
        <values>
          <value t="str">
            <val xml:space="preserve"> -</val>
          </value>
        </values>
      </ddeItem>
      <ddeItem name="IXFB1.221" advise="1">
        <values>
          <value t="str">
            <val>-</val>
          </value>
        </values>
      </ddeItem>
      <ddeItem name="IXFB1.222" advise="1">
        <values>
          <value t="str">
            <val>-</val>
          </value>
        </values>
      </ddeItem>
      <ddeItem name="IXFB1.223" advise="1">
        <values>
          <value t="str">
            <val>-</val>
          </value>
        </values>
      </ddeItem>
      <ddeItem name="IXFB1.224" advise="1">
        <values>
          <value t="str">
            <val>-</val>
          </value>
        </values>
      </ddeItem>
      <ddeItem name="IXFB1.225" advise="1">
        <values>
          <value t="str">
            <val>-</val>
          </value>
        </values>
      </ddeItem>
      <ddeItem name="IXFB1.231" advise="1">
        <values>
          <value t="str">
            <val>-</val>
          </value>
        </values>
      </ddeItem>
      <ddeItem name="IXFB1.232" advise="1">
        <values>
          <value t="str">
            <val>-</val>
          </value>
        </values>
      </ddeItem>
      <ddeItem name="IXFB1.233" advise="1">
        <values>
          <value t="str">
            <val>-</val>
          </value>
        </values>
      </ddeItem>
      <ddeItem name="IXFB1.234" advise="1">
        <values>
          <value t="str">
            <val>-</val>
          </value>
        </values>
      </ddeItem>
      <ddeItem name="IXFB1.235" advise="1">
        <values>
          <value t="str">
            <val>-</val>
          </value>
        </values>
      </ddeItem>
      <ddeItem name="IXFB1.402" advise="1"/>
      <ddeItem name="IXFB1.406" advise="1">
        <values>
          <value t="str">
            <val xml:space="preserve"> -</val>
          </value>
        </values>
      </ddeItem>
      <ddeItem name="IXFB1.407" advise="1">
        <values>
          <value t="str">
            <val xml:space="preserve"> -</val>
          </value>
        </values>
      </ddeItem>
      <ddeItem name="IXFB1.431" advise="1">
        <values>
          <value t="str">
            <val>-</val>
          </value>
        </values>
      </ddeItem>
      <ddeItem name="IXFB1.437" advise="1">
        <values>
          <value t="str">
            <val xml:space="preserve"> -</val>
          </value>
        </values>
      </ddeItem>
      <ddeItem name="IYFB1.123" advise="1">
        <values>
          <value>
            <val>100135</val>
          </value>
        </values>
      </ddeItem>
      <ddeItem name="IYFB1.124" advise="1">
        <values>
          <value>
            <val>13893.65</val>
          </value>
        </values>
      </ddeItem>
      <ddeItem name="IYFB1.125" advise="1">
        <values>
          <value>
            <val>7.07</val>
          </value>
        </values>
      </ddeItem>
      <ddeItem name="IYFB1.128" advise="1">
        <values>
          <value>
            <val>611</val>
          </value>
        </values>
      </ddeItem>
      <ddeItem name="IYFB1.130" advise="1">
        <values>
          <value>
            <val>13893.03</val>
          </value>
        </values>
      </ddeItem>
      <ddeItem name="IYFB1.131" advise="1">
        <values>
          <value>
            <val>13945.78</val>
          </value>
        </values>
      </ddeItem>
      <ddeItem name="IYFB1.132" advise="1">
        <values>
          <value>
            <val>13875.82</val>
          </value>
        </values>
      </ddeItem>
      <ddeItem name="IYFB1.133" advise="1">
        <values>
          <value>
            <val>871785</val>
          </value>
        </values>
      </ddeItem>
      <ddeItem name="IYFB1.135" advise="1">
        <values>
          <value t="str">
            <val xml:space="preserve"> -</val>
          </value>
        </values>
      </ddeItem>
      <ddeItem name="IYFB1.136" advise="1">
        <values>
          <value t="str">
            <val xml:space="preserve"> -</val>
          </value>
        </values>
      </ddeItem>
      <ddeItem name="IYFB1.201" advise="1">
        <values>
          <value t="str">
            <val xml:space="preserve"> -</val>
          </value>
        </values>
      </ddeItem>
      <ddeItem name="IYFB1.202" advise="1">
        <values>
          <value t="str">
            <val xml:space="preserve"> -</val>
          </value>
        </values>
      </ddeItem>
      <ddeItem name="IYFB1.203" advise="1">
        <values>
          <value t="str">
            <val xml:space="preserve"> -</val>
          </value>
        </values>
      </ddeItem>
      <ddeItem name="IYFB1.204" advise="1">
        <values>
          <value t="str">
            <val xml:space="preserve"> -</val>
          </value>
        </values>
      </ddeItem>
      <ddeItem name="IYFB1.205" advise="1">
        <values>
          <value t="str">
            <val xml:space="preserve"> -</val>
          </value>
        </values>
      </ddeItem>
      <ddeItem name="IYFB1.211" advise="1">
        <values>
          <value t="str">
            <val xml:space="preserve"> -</val>
          </value>
        </values>
      </ddeItem>
      <ddeItem name="IYFB1.212" advise="1">
        <values>
          <value t="str">
            <val xml:space="preserve"> -</val>
          </value>
        </values>
      </ddeItem>
      <ddeItem name="IYFB1.213" advise="1">
        <values>
          <value t="str">
            <val xml:space="preserve"> -</val>
          </value>
        </values>
      </ddeItem>
      <ddeItem name="IYFB1.214" advise="1">
        <values>
          <value t="str">
            <val xml:space="preserve"> -</val>
          </value>
        </values>
      </ddeItem>
      <ddeItem name="IYFB1.215" advise="1">
        <values>
          <value t="str">
            <val xml:space="preserve"> -</val>
          </value>
        </values>
      </ddeItem>
      <ddeItem name="IYFB1.221" advise="1">
        <values>
          <value t="str">
            <val>-</val>
          </value>
        </values>
      </ddeItem>
      <ddeItem name="IYFB1.222" advise="1">
        <values>
          <value t="str">
            <val>-</val>
          </value>
        </values>
      </ddeItem>
      <ddeItem name="IYFB1.223" advise="1">
        <values>
          <value t="str">
            <val>-</val>
          </value>
        </values>
      </ddeItem>
      <ddeItem name="IYFB1.224" advise="1">
        <values>
          <value t="str">
            <val>-</val>
          </value>
        </values>
      </ddeItem>
      <ddeItem name="IYFB1.225" advise="1">
        <values>
          <value t="str">
            <val>-</val>
          </value>
        </values>
      </ddeItem>
      <ddeItem name="IYFB1.231" advise="1">
        <values>
          <value t="str">
            <val>-</val>
          </value>
        </values>
      </ddeItem>
      <ddeItem name="IYFB1.232" advise="1">
        <values>
          <value t="str">
            <val>-</val>
          </value>
        </values>
      </ddeItem>
      <ddeItem name="IYFB1.233" advise="1">
        <values>
          <value t="str">
            <val>-</val>
          </value>
        </values>
      </ddeItem>
      <ddeItem name="IYFB1.234" advise="1">
        <values>
          <value t="str">
            <val>-</val>
          </value>
        </values>
      </ddeItem>
      <ddeItem name="IYFB1.235" advise="1">
        <values>
          <value t="str">
            <val>-</val>
          </value>
        </values>
      </ddeItem>
      <ddeItem name="IYFB1.402" advise="1">
        <values>
          <value t="str">
            <val>不含金電</val>
          </value>
        </values>
      </ddeItem>
      <ddeItem name="IYFB1.406" advise="1">
        <values>
          <value t="str">
            <val xml:space="preserve"> -</val>
          </value>
        </values>
      </ddeItem>
      <ddeItem name="IYFB1.407" advise="1">
        <values>
          <value t="str">
            <val xml:space="preserve"> -</val>
          </value>
        </values>
      </ddeItem>
      <ddeItem name="IYFB1.431" advise="1">
        <values>
          <value t="str">
            <val>-</val>
          </value>
        </values>
      </ddeItem>
      <ddeItem name="IYFB1.437" advise="1">
        <values>
          <value t="str">
            <val xml:space="preserve"> -</val>
          </value>
        </values>
      </ddeItem>
      <ddeItem name="IZFB1.123" advise="1">
        <values>
          <value>
            <val>100135</val>
          </value>
        </values>
      </ddeItem>
      <ddeItem name="IZFB1.124" advise="1">
        <values>
          <value>
            <val>16424.64</val>
          </value>
        </values>
      </ddeItem>
      <ddeItem name="IZFB1.125" advise="1">
        <values>
          <value>
            <val>-18.760000000000002</val>
          </value>
        </values>
      </ddeItem>
      <ddeItem name="IZFB1.128" advise="1">
        <values>
          <value>
            <val>1648</val>
          </value>
        </values>
      </ddeItem>
      <ddeItem name="IZFB1.130" advise="1">
        <values>
          <value>
            <val>16329.54</val>
          </value>
        </values>
      </ddeItem>
      <ddeItem name="IZFB1.131" advise="1">
        <values>
          <value>
            <val>16456.939999999999</val>
          </value>
        </values>
      </ddeItem>
      <ddeItem name="IZFB1.132" advise="1">
        <values>
          <value>
            <val>16329.54</val>
          </value>
        </values>
      </ddeItem>
      <ddeItem name="IZFB1.133" advise="1">
        <values>
          <value>
            <val>4020107</val>
          </value>
        </values>
      </ddeItem>
      <ddeItem name="IZFB1.135" advise="1">
        <values>
          <value t="str">
            <val xml:space="preserve"> -</val>
          </value>
        </values>
      </ddeItem>
      <ddeItem name="IZFB1.136" advise="1">
        <values>
          <value t="str">
            <val xml:space="preserve"> -</val>
          </value>
        </values>
      </ddeItem>
      <ddeItem name="IZFB1.201" advise="1">
        <values>
          <value t="str">
            <val xml:space="preserve"> -</val>
          </value>
        </values>
      </ddeItem>
      <ddeItem name="IZFB1.202" advise="1">
        <values>
          <value t="str">
            <val xml:space="preserve"> -</val>
          </value>
        </values>
      </ddeItem>
      <ddeItem name="IZFB1.203" advise="1">
        <values>
          <value t="str">
            <val xml:space="preserve"> -</val>
          </value>
        </values>
      </ddeItem>
      <ddeItem name="IZFB1.204" advise="1">
        <values>
          <value t="str">
            <val xml:space="preserve"> -</val>
          </value>
        </values>
      </ddeItem>
      <ddeItem name="IZFB1.205" advise="1">
        <values>
          <value t="str">
            <val xml:space="preserve"> -</val>
          </value>
        </values>
      </ddeItem>
      <ddeItem name="IZFB1.211" advise="1">
        <values>
          <value t="str">
            <val xml:space="preserve"> -</val>
          </value>
        </values>
      </ddeItem>
      <ddeItem name="IZFB1.212" advise="1">
        <values>
          <value t="str">
            <val xml:space="preserve"> -</val>
          </value>
        </values>
      </ddeItem>
      <ddeItem name="IZFB1.213" advise="1">
        <values>
          <value t="str">
            <val xml:space="preserve"> -</val>
          </value>
        </values>
      </ddeItem>
      <ddeItem name="IZFB1.214" advise="1">
        <values>
          <value t="str">
            <val xml:space="preserve"> -</val>
          </value>
        </values>
      </ddeItem>
      <ddeItem name="IZFB1.215" advise="1">
        <values>
          <value t="str">
            <val xml:space="preserve"> -</val>
          </value>
        </values>
      </ddeItem>
      <ddeItem name="IZFB1.221" advise="1">
        <values>
          <value t="str">
            <val>-</val>
          </value>
        </values>
      </ddeItem>
      <ddeItem name="IZFB1.222" advise="1">
        <values>
          <value t="str">
            <val>-</val>
          </value>
        </values>
      </ddeItem>
      <ddeItem name="IZFB1.223" advise="1">
        <values>
          <value t="str">
            <val>-</val>
          </value>
        </values>
      </ddeItem>
      <ddeItem name="IZFB1.224" advise="1">
        <values>
          <value t="str">
            <val>-</val>
          </value>
        </values>
      </ddeItem>
      <ddeItem name="IZFB1.225" advise="1">
        <values>
          <value t="str">
            <val>-</val>
          </value>
        </values>
      </ddeItem>
      <ddeItem name="IZFB1.231" advise="1">
        <values>
          <value t="str">
            <val>-</val>
          </value>
        </values>
      </ddeItem>
      <ddeItem name="IZFB1.232" advise="1">
        <values>
          <value t="str">
            <val>-</val>
          </value>
        </values>
      </ddeItem>
      <ddeItem name="IZFB1.233" advise="1">
        <values>
          <value t="str">
            <val>-</val>
          </value>
        </values>
      </ddeItem>
      <ddeItem name="IZFB1.234" advise="1">
        <values>
          <value t="str">
            <val>-</val>
          </value>
        </values>
      </ddeItem>
      <ddeItem name="IZFB1.235" advise="1">
        <values>
          <value t="str">
            <val>-</val>
          </value>
        </values>
      </ddeItem>
      <ddeItem name="IZFB1.402" advise="1">
        <values>
          <value t="str">
            <val>加權指數</val>
          </value>
        </values>
      </ddeItem>
      <ddeItem name="IZFB1.406" advise="1">
        <values>
          <value t="str">
            <val xml:space="preserve"> -</val>
          </value>
        </values>
      </ddeItem>
      <ddeItem name="IZFB1.407" advise="1">
        <values>
          <value t="str">
            <val xml:space="preserve"> -</val>
          </value>
        </values>
      </ddeItem>
      <ddeItem name="IZFB1.431" advise="1">
        <values>
          <value t="str">
            <val>-</val>
          </value>
        </values>
      </ddeItem>
      <ddeItem name="IZFB1.437" advise="1">
        <values>
          <value t="str">
            <val xml:space="preserve"> -</val>
          </value>
        </values>
      </ddeItem>
      <ddeItem name="JBFB1.123" advise="1">
        <values>
          <value>
            <val>100140</val>
          </value>
        </values>
      </ddeItem>
      <ddeItem name="JBFB1.124" advise="1">
        <values>
          <value>
            <val>16428.68</val>
          </value>
        </values>
      </ddeItem>
      <ddeItem name="JBFB1.125" advise="1">
        <values>
          <value>
            <val>-14.72</val>
          </value>
        </values>
      </ddeItem>
      <ddeItem name="JBFB1.128" advise="1">
        <values>
          <value>
            <val>2686</val>
          </value>
        </values>
      </ddeItem>
      <ddeItem name="JBFB1.130" advise="1">
        <values>
          <value>
            <val>16329.54</val>
          </value>
        </values>
      </ddeItem>
      <ddeItem name="JBFB1.131" advise="1">
        <values>
          <value>
            <val>16456.939999999999</val>
          </value>
        </values>
      </ddeItem>
      <ddeItem name="JBFB1.132" advise="1">
        <values>
          <value>
            <val>16329.54</val>
          </value>
        </values>
      </ddeItem>
      <ddeItem name="JBFB1.133" advise="1">
        <values>
          <value>
            <val>4022793</val>
          </value>
        </values>
      </ddeItem>
      <ddeItem name="JBFB1.135" advise="1">
        <values>
          <value t="str">
            <val xml:space="preserve"> -</val>
          </value>
        </values>
      </ddeItem>
      <ddeItem name="JBFB1.136" advise="1">
        <values>
          <value t="str">
            <val xml:space="preserve"> -</val>
          </value>
        </values>
      </ddeItem>
      <ddeItem name="JBFB1.201" advise="1">
        <values>
          <value t="str">
            <val xml:space="preserve"> -</val>
          </value>
        </values>
      </ddeItem>
      <ddeItem name="JBFB1.202" advise="1">
        <values>
          <value t="str">
            <val xml:space="preserve"> -</val>
          </value>
        </values>
      </ddeItem>
      <ddeItem name="JBFB1.203" advise="1">
        <values>
          <value t="str">
            <val xml:space="preserve"> -</val>
          </value>
        </values>
      </ddeItem>
      <ddeItem name="JBFB1.204" advise="1">
        <values>
          <value t="str">
            <val xml:space="preserve"> -</val>
          </value>
        </values>
      </ddeItem>
      <ddeItem name="JBFB1.205" advise="1">
        <values>
          <value t="str">
            <val xml:space="preserve"> -</val>
          </value>
        </values>
      </ddeItem>
      <ddeItem name="JBFB1.211" advise="1">
        <values>
          <value t="str">
            <val xml:space="preserve"> -</val>
          </value>
        </values>
      </ddeItem>
      <ddeItem name="JBFB1.212" advise="1">
        <values>
          <value t="str">
            <val xml:space="preserve"> -</val>
          </value>
        </values>
      </ddeItem>
      <ddeItem name="JBFB1.213" advise="1">
        <values>
          <value t="str">
            <val xml:space="preserve"> -</val>
          </value>
        </values>
      </ddeItem>
      <ddeItem name="JBFB1.214" advise="1">
        <values>
          <value t="str">
            <val xml:space="preserve"> -</val>
          </value>
        </values>
      </ddeItem>
      <ddeItem name="JBFB1.215" advise="1">
        <values>
          <value t="str">
            <val xml:space="preserve"> -</val>
          </value>
        </values>
      </ddeItem>
      <ddeItem name="JBFB1.221" advise="1">
        <values>
          <value t="str">
            <val>-</val>
          </value>
        </values>
      </ddeItem>
      <ddeItem name="JBFB1.222" advise="1">
        <values>
          <value t="str">
            <val>-</val>
          </value>
        </values>
      </ddeItem>
      <ddeItem name="JBFB1.223" advise="1">
        <values>
          <value t="str">
            <val>-</val>
          </value>
        </values>
      </ddeItem>
      <ddeItem name="JBFB1.224" advise="1">
        <values>
          <value t="str">
            <val>-</val>
          </value>
        </values>
      </ddeItem>
      <ddeItem name="JBFB1.225" advise="1">
        <values>
          <value t="str">
            <val>-</val>
          </value>
        </values>
      </ddeItem>
      <ddeItem name="JBFB1.231" advise="1">
        <values>
          <value t="str">
            <val>-</val>
          </value>
        </values>
      </ddeItem>
      <ddeItem name="JBFB1.232" advise="1">
        <values>
          <value t="str">
            <val>-</val>
          </value>
        </values>
      </ddeItem>
      <ddeItem name="JBFB1.233" advise="1">
        <values>
          <value t="str">
            <val>-</val>
          </value>
        </values>
      </ddeItem>
      <ddeItem name="JBFB1.234" advise="1">
        <values>
          <value t="str">
            <val>-</val>
          </value>
        </values>
      </ddeItem>
      <ddeItem name="JBFB1.235" advise="1">
        <values>
          <value t="str">
            <val>-</val>
          </value>
        </values>
      </ddeItem>
      <ddeItem name="JBFB1.402" advise="1">
        <values>
          <value t="str">
            <val>加權指數</val>
          </value>
        </values>
      </ddeItem>
      <ddeItem name="JBFB1.406" advise="1">
        <values>
          <value t="str">
            <val xml:space="preserve"> -</val>
          </value>
        </values>
      </ddeItem>
      <ddeItem name="JBFB1.407" advise="1">
        <values>
          <value t="str">
            <val xml:space="preserve"> -</val>
          </value>
        </values>
      </ddeItem>
      <ddeItem name="JBFB1.431" advise="1">
        <values>
          <value t="str">
            <val>-</val>
          </value>
        </values>
      </ddeItem>
      <ddeItem name="JBFB1.437" advise="1">
        <values>
          <value t="str">
            <val xml:space="preserve"> -</val>
          </value>
        </values>
      </ddeItem>
      <ddeItem name="JFFB1.123" advise="1">
        <values>
          <value>
            <val>100135</val>
          </value>
        </values>
      </ddeItem>
      <ddeItem name="JFFB1.124" advise="1">
        <values>
          <value>
            <val>16424.64</val>
          </value>
        </values>
      </ddeItem>
      <ddeItem name="JFFB1.125" advise="1">
        <values>
          <value>
            <val>-18.760000000000002</val>
          </value>
        </values>
      </ddeItem>
      <ddeItem name="JFFB1.128" advise="1">
        <values>
          <value>
            <val>1648</val>
          </value>
        </values>
      </ddeItem>
      <ddeItem name="JFFB1.130" advise="1">
        <values>
          <value>
            <val>16329.54</val>
          </value>
        </values>
      </ddeItem>
      <ddeItem name="JFFB1.131" advise="1">
        <values>
          <value>
            <val>16456.939999999999</val>
          </value>
        </values>
      </ddeItem>
      <ddeItem name="JFFB1.132" advise="1">
        <values>
          <value>
            <val>16329.54</val>
          </value>
        </values>
      </ddeItem>
      <ddeItem name="JFFB1.133" advise="1">
        <values>
          <value>
            <val>4020107</val>
          </value>
        </values>
      </ddeItem>
      <ddeItem name="JFFB1.135" advise="1">
        <values>
          <value t="str">
            <val xml:space="preserve"> -</val>
          </value>
        </values>
      </ddeItem>
      <ddeItem name="JFFB1.136" advise="1">
        <values>
          <value t="str">
            <val xml:space="preserve"> -</val>
          </value>
        </values>
      </ddeItem>
      <ddeItem name="JFFB1.201" advise="1">
        <values>
          <value t="str">
            <val xml:space="preserve"> -</val>
          </value>
        </values>
      </ddeItem>
      <ddeItem name="JFFB1.202" advise="1">
        <values>
          <value t="str">
            <val xml:space="preserve"> -</val>
          </value>
        </values>
      </ddeItem>
      <ddeItem name="JFFB1.203" advise="1">
        <values>
          <value t="str">
            <val xml:space="preserve"> -</val>
          </value>
        </values>
      </ddeItem>
      <ddeItem name="JFFB1.204" advise="1">
        <values>
          <value t="str">
            <val xml:space="preserve"> -</val>
          </value>
        </values>
      </ddeItem>
      <ddeItem name="JFFB1.205" advise="1">
        <values>
          <value t="str">
            <val xml:space="preserve"> -</val>
          </value>
        </values>
      </ddeItem>
      <ddeItem name="JFFB1.211" advise="1">
        <values>
          <value t="str">
            <val xml:space="preserve"> -</val>
          </value>
        </values>
      </ddeItem>
      <ddeItem name="JFFB1.212" advise="1">
        <values>
          <value t="str">
            <val xml:space="preserve"> -</val>
          </value>
        </values>
      </ddeItem>
      <ddeItem name="JFFB1.213" advise="1">
        <values>
          <value t="str">
            <val xml:space="preserve"> -</val>
          </value>
        </values>
      </ddeItem>
      <ddeItem name="JFFB1.214" advise="1">
        <values>
          <value t="str">
            <val xml:space="preserve"> -</val>
          </value>
        </values>
      </ddeItem>
      <ddeItem name="JFFB1.215" advise="1">
        <values>
          <value t="str">
            <val xml:space="preserve"> -</val>
          </value>
        </values>
      </ddeItem>
      <ddeItem name="JFFB1.221" advise="1">
        <values>
          <value t="str">
            <val>-</val>
          </value>
        </values>
      </ddeItem>
      <ddeItem name="JFFB1.222" advise="1">
        <values>
          <value t="str">
            <val>-</val>
          </value>
        </values>
      </ddeItem>
      <ddeItem name="JFFB1.223" advise="1">
        <values>
          <value t="str">
            <val>-</val>
          </value>
        </values>
      </ddeItem>
      <ddeItem name="JFFB1.224" advise="1">
        <values>
          <value t="str">
            <val>-</val>
          </value>
        </values>
      </ddeItem>
      <ddeItem name="JFFB1.225" advise="1">
        <values>
          <value t="str">
            <val>-</val>
          </value>
        </values>
      </ddeItem>
      <ddeItem name="JFFB1.231" advise="1">
        <values>
          <value t="str">
            <val>-</val>
          </value>
        </values>
      </ddeItem>
      <ddeItem name="JFFB1.232" advise="1">
        <values>
          <value t="str">
            <val>-</val>
          </value>
        </values>
      </ddeItem>
      <ddeItem name="JFFB1.233" advise="1">
        <values>
          <value t="str">
            <val>-</val>
          </value>
        </values>
      </ddeItem>
      <ddeItem name="JFFB1.234" advise="1">
        <values>
          <value t="str">
            <val>-</val>
          </value>
        </values>
      </ddeItem>
      <ddeItem name="JFFB1.235" advise="1">
        <values>
          <value t="str">
            <val>-</val>
          </value>
        </values>
      </ddeItem>
      <ddeItem name="JFFB1.402" advise="1">
        <values>
          <value t="str">
            <val>加權指數</val>
          </value>
        </values>
      </ddeItem>
      <ddeItem name="JFFB1.406" advise="1">
        <values>
          <value t="str">
            <val xml:space="preserve"> -</val>
          </value>
        </values>
      </ddeItem>
      <ddeItem name="JFFB1.407" advise="1">
        <values>
          <value t="str">
            <val xml:space="preserve"> -</val>
          </value>
        </values>
      </ddeItem>
      <ddeItem name="JFFB1.431" advise="1">
        <values>
          <value t="str">
            <val>-</val>
          </value>
        </values>
      </ddeItem>
      <ddeItem name="JFFB1.437" advise="1">
        <values>
          <value t="str">
            <val xml:space="preserve"> -</val>
          </value>
        </values>
      </ddeItem>
      <ddeItem name="JMFB1.123" advise="1">
        <values>
          <value>
            <val>0</val>
          </value>
        </values>
      </ddeItem>
      <ddeItem name="JMFB1.124" advise="1">
        <values>
          <value>
            <val>20878632</val>
          </value>
        </values>
      </ddeItem>
      <ddeItem name="JMFB1.125" advise="1">
        <values>
          <value t="str">
            <val xml:space="preserve"> </val>
          </value>
        </values>
      </ddeItem>
      <ddeItem name="JMFB1.128" advise="1">
        <values>
          <value>
            <val>1212870150</val>
          </value>
        </values>
      </ddeItem>
      <ddeItem name="JMFB1.130" advise="1">
        <values>
          <value>
            <val>20803788</val>
          </value>
        </values>
      </ddeItem>
      <ddeItem name="JMFB1.131" advise="1">
        <values>
          <value>
            <val>20804690</val>
          </value>
        </values>
      </ddeItem>
      <ddeItem name="JMFB1.132" advise="1">
        <values>
          <value>
            <val>10989732</val>
          </value>
        </values>
      </ddeItem>
      <ddeItem name="JMFB1.133" advise="1">
        <values>
          <value>
            <val>2088371110</val>
          </value>
        </values>
      </ddeItem>
      <ddeItem name="JMFB1.135" advise="1">
        <values>
          <value t="str">
            <val xml:space="preserve"> -</val>
          </value>
        </values>
      </ddeItem>
      <ddeItem name="JMFB1.136" advise="1">
        <values>
          <value t="str">
            <val xml:space="preserve"> -</val>
          </value>
        </values>
      </ddeItem>
      <ddeItem name="JMFB1.201" advise="1">
        <values>
          <value t="str">
            <val xml:space="preserve"> -</val>
          </value>
        </values>
      </ddeItem>
      <ddeItem name="JMFB1.202" advise="1">
        <values>
          <value t="str">
            <val xml:space="preserve"> -</val>
          </value>
        </values>
      </ddeItem>
      <ddeItem name="JMFB1.203" advise="1">
        <values>
          <value t="str">
            <val xml:space="preserve"> -</val>
          </value>
        </values>
      </ddeItem>
      <ddeItem name="JMFB1.204" advise="1">
        <values>
          <value t="str">
            <val xml:space="preserve"> -</val>
          </value>
        </values>
      </ddeItem>
      <ddeItem name="JMFB1.205" advise="1">
        <values>
          <value t="str">
            <val xml:space="preserve"> -</val>
          </value>
        </values>
      </ddeItem>
      <ddeItem name="JMFB1.211" advise="1">
        <values>
          <value t="str">
            <val xml:space="preserve"> -</val>
          </value>
        </values>
      </ddeItem>
      <ddeItem name="JMFB1.212" advise="1">
        <values>
          <value t="str">
            <val xml:space="preserve"> -</val>
          </value>
        </values>
      </ddeItem>
      <ddeItem name="JMFB1.213" advise="1">
        <values>
          <value t="str">
            <val xml:space="preserve"> -</val>
          </value>
        </values>
      </ddeItem>
      <ddeItem name="JMFB1.214" advise="1">
        <values>
          <value t="str">
            <val xml:space="preserve"> -</val>
          </value>
        </values>
      </ddeItem>
      <ddeItem name="JMFB1.215" advise="1">
        <values>
          <value t="str">
            <val xml:space="preserve"> -</val>
          </value>
        </values>
      </ddeItem>
      <ddeItem name="JMFB1.221" advise="1">
        <values>
          <value t="str">
            <val>-</val>
          </value>
        </values>
      </ddeItem>
      <ddeItem name="JMFB1.222" advise="1">
        <values>
          <value t="str">
            <val>-</val>
          </value>
        </values>
      </ddeItem>
      <ddeItem name="JMFB1.223" advise="1">
        <values>
          <value t="str">
            <val>-</val>
          </value>
        </values>
      </ddeItem>
      <ddeItem name="JMFB1.224" advise="1">
        <values>
          <value t="str">
            <val>-</val>
          </value>
        </values>
      </ddeItem>
      <ddeItem name="JMFB1.225" advise="1">
        <values>
          <value t="str">
            <val>-</val>
          </value>
        </values>
      </ddeItem>
      <ddeItem name="JMFB1.231" advise="1">
        <values>
          <value t="str">
            <val>-</val>
          </value>
        </values>
      </ddeItem>
      <ddeItem name="JMFB1.232" advise="1">
        <values>
          <value t="str">
            <val>-</val>
          </value>
        </values>
      </ddeItem>
      <ddeItem name="JMFB1.233" advise="1">
        <values>
          <value t="str">
            <val>-</val>
          </value>
        </values>
      </ddeItem>
      <ddeItem name="JMFB1.234" advise="1">
        <values>
          <value t="str">
            <val>-</val>
          </value>
        </values>
      </ddeItem>
      <ddeItem name="JMFB1.235" advise="1">
        <values>
          <value t="str">
            <val>-</val>
          </value>
        </values>
      </ddeItem>
      <ddeItem name="JMFB1.402" advise="1"/>
      <ddeItem name="JMFB1.406" advise="1">
        <values>
          <value t="str">
            <val xml:space="preserve"> -</val>
          </value>
        </values>
      </ddeItem>
      <ddeItem name="JMFB1.407" advise="1">
        <values>
          <value t="str">
            <val xml:space="preserve"> -</val>
          </value>
        </values>
      </ddeItem>
      <ddeItem name="JMFB1.431" advise="1">
        <values>
          <value t="str">
            <val>-</val>
          </value>
        </values>
      </ddeItem>
      <ddeItem name="JMFB1.437" advise="1">
        <values>
          <value t="str">
            <val xml:space="preserve"> -</val>
          </value>
        </values>
      </ddeItem>
      <ddeItem name="JNFB1.123" advise="1">
        <values>
          <value>
            <val>0</val>
          </value>
        </values>
      </ddeItem>
      <ddeItem name="JNFB1.124" advise="1">
        <values>
          <value>
            <val>20878632</val>
          </value>
        </values>
      </ddeItem>
      <ddeItem name="JNFB1.125" advise="1">
        <values>
          <value t="str">
            <val xml:space="preserve"> </val>
          </value>
        </values>
      </ddeItem>
      <ddeItem name="JNFB1.128" advise="1">
        <values>
          <value>
            <val>1212870150</val>
          </value>
        </values>
      </ddeItem>
      <ddeItem name="JNFB1.130" advise="1">
        <values>
          <value>
            <val>20803788</val>
          </value>
        </values>
      </ddeItem>
      <ddeItem name="JNFB1.131" advise="1">
        <values>
          <value>
            <val>20804690</val>
          </value>
        </values>
      </ddeItem>
      <ddeItem name="JNFB1.132" advise="1">
        <values>
          <value>
            <val>10989732</val>
          </value>
        </values>
      </ddeItem>
      <ddeItem name="JNFB1.133" advise="1">
        <values>
          <value>
            <val>2088371110</val>
          </value>
        </values>
      </ddeItem>
      <ddeItem name="JNFB1.135" advise="1">
        <values>
          <value t="str">
            <val xml:space="preserve"> -</val>
          </value>
        </values>
      </ddeItem>
      <ddeItem name="JNFB1.136" advise="1">
        <values>
          <value t="str">
            <val xml:space="preserve"> -</val>
          </value>
        </values>
      </ddeItem>
      <ddeItem name="JNFB1.201" advise="1">
        <values>
          <value t="str">
            <val xml:space="preserve"> -</val>
          </value>
        </values>
      </ddeItem>
      <ddeItem name="JNFB1.202" advise="1">
        <values>
          <value t="str">
            <val xml:space="preserve"> -</val>
          </value>
        </values>
      </ddeItem>
      <ddeItem name="JNFB1.203" advise="1">
        <values>
          <value t="str">
            <val xml:space="preserve"> -</val>
          </value>
        </values>
      </ddeItem>
      <ddeItem name="JNFB1.204" advise="1">
        <values>
          <value t="str">
            <val xml:space="preserve"> -</val>
          </value>
        </values>
      </ddeItem>
      <ddeItem name="JNFB1.205" advise="1">
        <values>
          <value t="str">
            <val xml:space="preserve"> -</val>
          </value>
        </values>
      </ddeItem>
      <ddeItem name="JNFB1.211" advise="1">
        <values>
          <value t="str">
            <val xml:space="preserve"> -</val>
          </value>
        </values>
      </ddeItem>
      <ddeItem name="JNFB1.212" advise="1">
        <values>
          <value t="str">
            <val xml:space="preserve"> -</val>
          </value>
        </values>
      </ddeItem>
      <ddeItem name="JNFB1.213" advise="1">
        <values>
          <value t="str">
            <val xml:space="preserve"> -</val>
          </value>
        </values>
      </ddeItem>
      <ddeItem name="JNFB1.214" advise="1">
        <values>
          <value t="str">
            <val xml:space="preserve"> -</val>
          </value>
        </values>
      </ddeItem>
      <ddeItem name="JNFB1.215" advise="1">
        <values>
          <value t="str">
            <val xml:space="preserve"> -</val>
          </value>
        </values>
      </ddeItem>
      <ddeItem name="JNFB1.221" advise="1">
        <values>
          <value t="str">
            <val>-</val>
          </value>
        </values>
      </ddeItem>
      <ddeItem name="JNFB1.222" advise="1">
        <values>
          <value t="str">
            <val>-</val>
          </value>
        </values>
      </ddeItem>
      <ddeItem name="JNFB1.223" advise="1">
        <values>
          <value t="str">
            <val>-</val>
          </value>
        </values>
      </ddeItem>
      <ddeItem name="JNFB1.224" advise="1">
        <values>
          <value t="str">
            <val>-</val>
          </value>
        </values>
      </ddeItem>
      <ddeItem name="JNFB1.225" advise="1">
        <values>
          <value t="str">
            <val>-</val>
          </value>
        </values>
      </ddeItem>
      <ddeItem name="JNFB1.231" advise="1">
        <values>
          <value t="str">
            <val>-</val>
          </value>
        </values>
      </ddeItem>
      <ddeItem name="JNFB1.232" advise="1">
        <values>
          <value t="str">
            <val>-</val>
          </value>
        </values>
      </ddeItem>
      <ddeItem name="JNFB1.233" advise="1">
        <values>
          <value t="str">
            <val>-</val>
          </value>
        </values>
      </ddeItem>
      <ddeItem name="JNFB1.234" advise="1">
        <values>
          <value t="str">
            <val>-</val>
          </value>
        </values>
      </ddeItem>
      <ddeItem name="JNFB1.235" advise="1">
        <values>
          <value t="str">
            <val>-</val>
          </value>
        </values>
      </ddeItem>
      <ddeItem name="JNFB1.402" advise="1"/>
      <ddeItem name="JNFB1.406" advise="1">
        <values>
          <value t="str">
            <val xml:space="preserve"> -</val>
          </value>
        </values>
      </ddeItem>
      <ddeItem name="JNFB1.407" advise="1">
        <values>
          <value t="str">
            <val xml:space="preserve"> -</val>
          </value>
        </values>
      </ddeItem>
      <ddeItem name="JNFB1.431" advise="1">
        <values>
          <value t="str">
            <val>-</val>
          </value>
        </values>
      </ddeItem>
      <ddeItem name="JNFB1.437" advise="1">
        <values>
          <value t="str">
            <val xml:space="preserve"> -</val>
          </value>
        </values>
      </ddeItem>
      <ddeItem name="JPFB1.123" advise="1">
        <values>
          <value>
            <val>100145</val>
          </value>
        </values>
      </ddeItem>
      <ddeItem name="JPFB1.124" advise="1">
        <values>
          <value>
            <val>16422.560000000001</val>
          </value>
        </values>
      </ddeItem>
      <ddeItem name="JPFB1.125" advise="1">
        <values>
          <value>
            <val>-20.84</val>
          </value>
        </values>
      </ddeItem>
      <ddeItem name="JPFB1.128" advise="1">
        <values>
          <value>
            <val>1824</val>
          </value>
        </values>
      </ddeItem>
      <ddeItem name="JPFB1.130" advise="1">
        <values>
          <value>
            <val>16329.54</val>
          </value>
        </values>
      </ddeItem>
      <ddeItem name="JPFB1.131" advise="1">
        <values>
          <value>
            <val>16456.939999999999</val>
          </value>
        </values>
      </ddeItem>
      <ddeItem name="JPFB1.132" advise="1">
        <values>
          <value>
            <val>16329.54</val>
          </value>
        </values>
      </ddeItem>
      <ddeItem name="JPFB1.133" advise="1">
        <values>
          <value>
            <val>4024617</val>
          </value>
        </values>
      </ddeItem>
      <ddeItem name="JPFB1.135" advise="1">
        <values>
          <value t="str">
            <val xml:space="preserve"> -</val>
          </value>
        </values>
      </ddeItem>
      <ddeItem name="JPFB1.136" advise="1">
        <values>
          <value t="str">
            <val xml:space="preserve"> -</val>
          </value>
        </values>
      </ddeItem>
      <ddeItem name="JPFB1.201" advise="1">
        <values>
          <value t="str">
            <val xml:space="preserve"> -</val>
          </value>
        </values>
      </ddeItem>
      <ddeItem name="JPFB1.202" advise="1">
        <values>
          <value t="str">
            <val xml:space="preserve"> -</val>
          </value>
        </values>
      </ddeItem>
      <ddeItem name="JPFB1.203" advise="1">
        <values>
          <value t="str">
            <val xml:space="preserve"> -</val>
          </value>
        </values>
      </ddeItem>
      <ddeItem name="JPFB1.204" advise="1">
        <values>
          <value t="str">
            <val xml:space="preserve"> -</val>
          </value>
        </values>
      </ddeItem>
      <ddeItem name="JPFB1.205" advise="1">
        <values>
          <value t="str">
            <val xml:space="preserve"> -</val>
          </value>
        </values>
      </ddeItem>
      <ddeItem name="JPFB1.211" advise="1">
        <values>
          <value t="str">
            <val xml:space="preserve"> -</val>
          </value>
        </values>
      </ddeItem>
      <ddeItem name="JPFB1.212" advise="1">
        <values>
          <value t="str">
            <val xml:space="preserve"> -</val>
          </value>
        </values>
      </ddeItem>
      <ddeItem name="JPFB1.213" advise="1">
        <values>
          <value t="str">
            <val xml:space="preserve"> -</val>
          </value>
        </values>
      </ddeItem>
      <ddeItem name="JPFB1.214" advise="1">
        <values>
          <value t="str">
            <val xml:space="preserve"> -</val>
          </value>
        </values>
      </ddeItem>
      <ddeItem name="JPFB1.215" advise="1">
        <values>
          <value t="str">
            <val xml:space="preserve"> -</val>
          </value>
        </values>
      </ddeItem>
      <ddeItem name="JPFB1.221" advise="1">
        <values>
          <value t="str">
            <val>-</val>
          </value>
        </values>
      </ddeItem>
      <ddeItem name="JPFB1.222" advise="1">
        <values>
          <value t="str">
            <val>-</val>
          </value>
        </values>
      </ddeItem>
      <ddeItem name="JPFB1.223" advise="1">
        <values>
          <value t="str">
            <val>-</val>
          </value>
        </values>
      </ddeItem>
      <ddeItem name="JPFB1.224" advise="1">
        <values>
          <value t="str">
            <val>-</val>
          </value>
        </values>
      </ddeItem>
      <ddeItem name="JPFB1.225" advise="1">
        <values>
          <value t="str">
            <val>-</val>
          </value>
        </values>
      </ddeItem>
      <ddeItem name="JPFB1.231" advise="1">
        <values>
          <value t="str">
            <val>-</val>
          </value>
        </values>
      </ddeItem>
      <ddeItem name="JPFB1.232" advise="1">
        <values>
          <value t="str">
            <val>-</val>
          </value>
        </values>
      </ddeItem>
      <ddeItem name="JPFB1.233" advise="1">
        <values>
          <value t="str">
            <val>-</val>
          </value>
        </values>
      </ddeItem>
      <ddeItem name="JPFB1.234" advise="1">
        <values>
          <value t="str">
            <val>-</val>
          </value>
        </values>
      </ddeItem>
      <ddeItem name="JPFB1.235" advise="1">
        <values>
          <value t="str">
            <val>-</val>
          </value>
        </values>
      </ddeItem>
      <ddeItem name="JPFB1.402" advise="1">
        <values>
          <value t="str">
            <val>加權指數</val>
          </value>
        </values>
      </ddeItem>
      <ddeItem name="JPFB1.406" advise="1">
        <values>
          <value t="str">
            <val xml:space="preserve"> -</val>
          </value>
        </values>
      </ddeItem>
      <ddeItem name="JPFB1.407" advise="1">
        <values>
          <value t="str">
            <val xml:space="preserve"> -</val>
          </value>
        </values>
      </ddeItem>
      <ddeItem name="JPFB1.431" advise="1">
        <values>
          <value t="str">
            <val>-</val>
          </value>
        </values>
      </ddeItem>
      <ddeItem name="JPFB1.437" advise="1">
        <values>
          <value t="str">
            <val xml:space="preserve"> -</val>
          </value>
        </values>
      </ddeItem>
      <ddeItem name="JSFB1.123" advise="1">
        <values>
          <value>
            <val>100140</val>
          </value>
        </values>
      </ddeItem>
      <ddeItem name="JSFB1.124" advise="1">
        <values>
          <value>
            <val>16428.68</val>
          </value>
        </values>
      </ddeItem>
      <ddeItem name="JSFB1.125" advise="1">
        <values>
          <value>
            <val>-14.72</val>
          </value>
        </values>
      </ddeItem>
      <ddeItem name="JSFB1.128" advise="1">
        <values>
          <value>
            <val>2686</val>
          </value>
        </values>
      </ddeItem>
      <ddeItem name="JSFB1.130" advise="1">
        <values>
          <value>
            <val>16329.54</val>
          </value>
        </values>
      </ddeItem>
      <ddeItem name="JSFB1.131" advise="1">
        <values>
          <value>
            <val>16456.939999999999</val>
          </value>
        </values>
      </ddeItem>
      <ddeItem name="JSFB1.132" advise="1">
        <values>
          <value>
            <val>16329.54</val>
          </value>
        </values>
      </ddeItem>
      <ddeItem name="JSFB1.133" advise="1">
        <values>
          <value>
            <val>4022793</val>
          </value>
        </values>
      </ddeItem>
      <ddeItem name="JSFB1.135" advise="1">
        <values>
          <value t="str">
            <val xml:space="preserve"> -</val>
          </value>
        </values>
      </ddeItem>
      <ddeItem name="JSFB1.136" advise="1">
        <values>
          <value t="str">
            <val xml:space="preserve"> -</val>
          </value>
        </values>
      </ddeItem>
      <ddeItem name="JSFB1.201" advise="1">
        <values>
          <value t="str">
            <val xml:space="preserve"> -</val>
          </value>
        </values>
      </ddeItem>
      <ddeItem name="JSFB1.202" advise="1">
        <values>
          <value t="str">
            <val xml:space="preserve"> -</val>
          </value>
        </values>
      </ddeItem>
      <ddeItem name="JSFB1.203" advise="1">
        <values>
          <value t="str">
            <val xml:space="preserve"> -</val>
          </value>
        </values>
      </ddeItem>
      <ddeItem name="JSFB1.204" advise="1">
        <values>
          <value t="str">
            <val xml:space="preserve"> -</val>
          </value>
        </values>
      </ddeItem>
      <ddeItem name="JSFB1.205" advise="1">
        <values>
          <value t="str">
            <val xml:space="preserve"> -</val>
          </value>
        </values>
      </ddeItem>
      <ddeItem name="JSFB1.211" advise="1">
        <values>
          <value t="str">
            <val xml:space="preserve"> -</val>
          </value>
        </values>
      </ddeItem>
      <ddeItem name="JSFB1.212" advise="1">
        <values>
          <value t="str">
            <val xml:space="preserve"> -</val>
          </value>
        </values>
      </ddeItem>
      <ddeItem name="JSFB1.213" advise="1">
        <values>
          <value t="str">
            <val xml:space="preserve"> -</val>
          </value>
        </values>
      </ddeItem>
      <ddeItem name="JSFB1.214" advise="1">
        <values>
          <value t="str">
            <val xml:space="preserve"> -</val>
          </value>
        </values>
      </ddeItem>
      <ddeItem name="JSFB1.215" advise="1">
        <values>
          <value t="str">
            <val xml:space="preserve"> -</val>
          </value>
        </values>
      </ddeItem>
      <ddeItem name="JSFB1.221" advise="1">
        <values>
          <value t="str">
            <val>-</val>
          </value>
        </values>
      </ddeItem>
      <ddeItem name="JSFB1.222" advise="1">
        <values>
          <value t="str">
            <val>-</val>
          </value>
        </values>
      </ddeItem>
      <ddeItem name="JSFB1.223" advise="1">
        <values>
          <value t="str">
            <val>-</val>
          </value>
        </values>
      </ddeItem>
      <ddeItem name="JSFB1.224" advise="1">
        <values>
          <value t="str">
            <val>-</val>
          </value>
        </values>
      </ddeItem>
      <ddeItem name="JSFB1.225" advise="1">
        <values>
          <value t="str">
            <val>-</val>
          </value>
        </values>
      </ddeItem>
      <ddeItem name="JSFB1.231" advise="1">
        <values>
          <value t="str">
            <val>-</val>
          </value>
        </values>
      </ddeItem>
      <ddeItem name="JSFB1.232" advise="1">
        <values>
          <value t="str">
            <val>-</val>
          </value>
        </values>
      </ddeItem>
      <ddeItem name="JSFB1.233" advise="1">
        <values>
          <value t="str">
            <val>-</val>
          </value>
        </values>
      </ddeItem>
      <ddeItem name="JSFB1.234" advise="1">
        <values>
          <value t="str">
            <val>-</val>
          </value>
        </values>
      </ddeItem>
      <ddeItem name="JSFB1.235" advise="1">
        <values>
          <value t="str">
            <val>-</val>
          </value>
        </values>
      </ddeItem>
      <ddeItem name="JSFB1.402" advise="1">
        <values>
          <value t="str">
            <val>加權指數</val>
          </value>
        </values>
      </ddeItem>
      <ddeItem name="JSFB1.406" advise="1">
        <values>
          <value t="str">
            <val xml:space="preserve"> -</val>
          </value>
        </values>
      </ddeItem>
      <ddeItem name="JSFB1.407" advise="1">
        <values>
          <value t="str">
            <val xml:space="preserve"> -</val>
          </value>
        </values>
      </ddeItem>
      <ddeItem name="JSFB1.431" advise="1">
        <values>
          <value t="str">
            <val>-</val>
          </value>
        </values>
      </ddeItem>
      <ddeItem name="JSFB1.437" advise="1">
        <values>
          <value t="str">
            <val xml:space="preserve"> -</val>
          </value>
        </values>
      </ddeItem>
      <ddeItem name="JWFB1.123" advise="1">
        <values>
          <value>
            <val>100135</val>
          </value>
        </values>
      </ddeItem>
      <ddeItem name="JWFB1.124" advise="1">
        <values>
          <value>
            <val>16424.64</val>
          </value>
        </values>
      </ddeItem>
      <ddeItem name="JWFB1.125" advise="1">
        <values>
          <value>
            <val>-18.760000000000002</val>
          </value>
        </values>
      </ddeItem>
      <ddeItem name="JWFB1.128" advise="1">
        <values>
          <value>
            <val>1648</val>
          </value>
        </values>
      </ddeItem>
      <ddeItem name="JWFB1.130" advise="1">
        <values>
          <value>
            <val>16329.54</val>
          </value>
        </values>
      </ddeItem>
      <ddeItem name="JWFB1.131" advise="1">
        <values>
          <value>
            <val>16456.939999999999</val>
          </value>
        </values>
      </ddeItem>
      <ddeItem name="JWFB1.132" advise="1">
        <values>
          <value>
            <val>16329.54</val>
          </value>
        </values>
      </ddeItem>
      <ddeItem name="JWFB1.133" advise="1">
        <values>
          <value>
            <val>4020107</val>
          </value>
        </values>
      </ddeItem>
      <ddeItem name="JWFB1.135" advise="1">
        <values>
          <value t="str">
            <val xml:space="preserve"> -</val>
          </value>
        </values>
      </ddeItem>
      <ddeItem name="JWFB1.136" advise="1">
        <values>
          <value t="str">
            <val xml:space="preserve"> -</val>
          </value>
        </values>
      </ddeItem>
      <ddeItem name="JWFB1.201" advise="1">
        <values>
          <value t="str">
            <val xml:space="preserve"> -</val>
          </value>
        </values>
      </ddeItem>
      <ddeItem name="JWFB1.202" advise="1">
        <values>
          <value t="str">
            <val xml:space="preserve"> -</val>
          </value>
        </values>
      </ddeItem>
      <ddeItem name="JWFB1.203" advise="1">
        <values>
          <value t="str">
            <val xml:space="preserve"> -</val>
          </value>
        </values>
      </ddeItem>
      <ddeItem name="JWFB1.204" advise="1">
        <values>
          <value t="str">
            <val xml:space="preserve"> -</val>
          </value>
        </values>
      </ddeItem>
      <ddeItem name="JWFB1.205" advise="1">
        <values>
          <value t="str">
            <val xml:space="preserve"> -</val>
          </value>
        </values>
      </ddeItem>
      <ddeItem name="JWFB1.211" advise="1">
        <values>
          <value t="str">
            <val xml:space="preserve"> -</val>
          </value>
        </values>
      </ddeItem>
      <ddeItem name="JWFB1.212" advise="1">
        <values>
          <value t="str">
            <val xml:space="preserve"> -</val>
          </value>
        </values>
      </ddeItem>
      <ddeItem name="JWFB1.213" advise="1">
        <values>
          <value t="str">
            <val xml:space="preserve"> -</val>
          </value>
        </values>
      </ddeItem>
      <ddeItem name="JWFB1.214" advise="1">
        <values>
          <value t="str">
            <val xml:space="preserve"> -</val>
          </value>
        </values>
      </ddeItem>
      <ddeItem name="JWFB1.215" advise="1">
        <values>
          <value t="str">
            <val xml:space="preserve"> -</val>
          </value>
        </values>
      </ddeItem>
      <ddeItem name="JWFB1.221" advise="1">
        <values>
          <value t="str">
            <val>-</val>
          </value>
        </values>
      </ddeItem>
      <ddeItem name="JWFB1.222" advise="1">
        <values>
          <value t="str">
            <val>-</val>
          </value>
        </values>
      </ddeItem>
      <ddeItem name="JWFB1.223" advise="1">
        <values>
          <value t="str">
            <val>-</val>
          </value>
        </values>
      </ddeItem>
      <ddeItem name="JWFB1.224" advise="1">
        <values>
          <value t="str">
            <val>-</val>
          </value>
        </values>
      </ddeItem>
      <ddeItem name="JWFB1.225" advise="1">
        <values>
          <value t="str">
            <val>-</val>
          </value>
        </values>
      </ddeItem>
      <ddeItem name="JWFB1.231" advise="1">
        <values>
          <value t="str">
            <val>-</val>
          </value>
        </values>
      </ddeItem>
      <ddeItem name="JWFB1.232" advise="1">
        <values>
          <value t="str">
            <val>-</val>
          </value>
        </values>
      </ddeItem>
      <ddeItem name="JWFB1.233" advise="1">
        <values>
          <value t="str">
            <val>-</val>
          </value>
        </values>
      </ddeItem>
      <ddeItem name="JWFB1.234" advise="1">
        <values>
          <value t="str">
            <val>-</val>
          </value>
        </values>
      </ddeItem>
      <ddeItem name="JWFB1.235" advise="1">
        <values>
          <value t="str">
            <val>-</val>
          </value>
        </values>
      </ddeItem>
      <ddeItem name="JWFB1.402" advise="1">
        <values>
          <value t="str">
            <val>加權指數</val>
          </value>
        </values>
      </ddeItem>
      <ddeItem name="JWFB1.406" advise="1">
        <values>
          <value t="str">
            <val xml:space="preserve"> -</val>
          </value>
        </values>
      </ddeItem>
      <ddeItem name="JWFB1.407" advise="1">
        <values>
          <value t="str">
            <val xml:space="preserve"> -</val>
          </value>
        </values>
      </ddeItem>
      <ddeItem name="JWFB1.431" advise="1">
        <values>
          <value t="str">
            <val>-</val>
          </value>
        </values>
      </ddeItem>
      <ddeItem name="JWFB1.437" advise="1">
        <values>
          <value t="str">
            <val xml:space="preserve"> -</val>
          </value>
        </values>
      </ddeItem>
      <ddeItem name="JZFB1.123" advise="1">
        <values>
          <value>
            <val>100135</val>
          </value>
        </values>
      </ddeItem>
      <ddeItem name="JZFB1.124" advise="1">
        <values>
          <value>
            <val>16424.64</val>
          </value>
        </values>
      </ddeItem>
      <ddeItem name="JZFB1.125" advise="1">
        <values>
          <value>
            <val>-18.760000000000002</val>
          </value>
        </values>
      </ddeItem>
      <ddeItem name="JZFB1.128" advise="1">
        <values>
          <value>
            <val>1648</val>
          </value>
        </values>
      </ddeItem>
      <ddeItem name="JZFB1.130" advise="1">
        <values>
          <value>
            <val>16329.54</val>
          </value>
        </values>
      </ddeItem>
      <ddeItem name="JZFB1.131" advise="1">
        <values>
          <value>
            <val>16456.939999999999</val>
          </value>
        </values>
      </ddeItem>
      <ddeItem name="JZFB1.132" advise="1">
        <values>
          <value>
            <val>16329.54</val>
          </value>
        </values>
      </ddeItem>
      <ddeItem name="JZFB1.133" advise="1">
        <values>
          <value>
            <val>4020107</val>
          </value>
        </values>
      </ddeItem>
      <ddeItem name="JZFB1.135" advise="1">
        <values>
          <value t="str">
            <val xml:space="preserve"> -</val>
          </value>
        </values>
      </ddeItem>
      <ddeItem name="JZFB1.136" advise="1">
        <values>
          <value t="str">
            <val xml:space="preserve"> -</val>
          </value>
        </values>
      </ddeItem>
      <ddeItem name="JZFB1.201" advise="1">
        <values>
          <value t="str">
            <val xml:space="preserve"> -</val>
          </value>
        </values>
      </ddeItem>
      <ddeItem name="JZFB1.202" advise="1">
        <values>
          <value t="str">
            <val xml:space="preserve"> -</val>
          </value>
        </values>
      </ddeItem>
      <ddeItem name="JZFB1.203" advise="1">
        <values>
          <value t="str">
            <val xml:space="preserve"> -</val>
          </value>
        </values>
      </ddeItem>
      <ddeItem name="JZFB1.204" advise="1">
        <values>
          <value t="str">
            <val xml:space="preserve"> -</val>
          </value>
        </values>
      </ddeItem>
      <ddeItem name="JZFB1.205" advise="1">
        <values>
          <value t="str">
            <val xml:space="preserve"> -</val>
          </value>
        </values>
      </ddeItem>
      <ddeItem name="JZFB1.211" advise="1">
        <values>
          <value t="str">
            <val xml:space="preserve"> -</val>
          </value>
        </values>
      </ddeItem>
      <ddeItem name="JZFB1.212" advise="1">
        <values>
          <value t="str">
            <val xml:space="preserve"> -</val>
          </value>
        </values>
      </ddeItem>
      <ddeItem name="JZFB1.213" advise="1">
        <values>
          <value t="str">
            <val xml:space="preserve"> -</val>
          </value>
        </values>
      </ddeItem>
      <ddeItem name="JZFB1.214" advise="1">
        <values>
          <value t="str">
            <val xml:space="preserve"> -</val>
          </value>
        </values>
      </ddeItem>
      <ddeItem name="JZFB1.215" advise="1">
        <values>
          <value t="str">
            <val xml:space="preserve"> -</val>
          </value>
        </values>
      </ddeItem>
      <ddeItem name="JZFB1.221" advise="1">
        <values>
          <value t="str">
            <val>-</val>
          </value>
        </values>
      </ddeItem>
      <ddeItem name="JZFB1.222" advise="1">
        <values>
          <value t="str">
            <val>-</val>
          </value>
        </values>
      </ddeItem>
      <ddeItem name="JZFB1.223" advise="1">
        <values>
          <value t="str">
            <val>-</val>
          </value>
        </values>
      </ddeItem>
      <ddeItem name="JZFB1.224" advise="1">
        <values>
          <value t="str">
            <val>-</val>
          </value>
        </values>
      </ddeItem>
      <ddeItem name="JZFB1.225" advise="1">
        <values>
          <value t="str">
            <val>-</val>
          </value>
        </values>
      </ddeItem>
      <ddeItem name="JZFB1.231" advise="1">
        <values>
          <value t="str">
            <val>-</val>
          </value>
        </values>
      </ddeItem>
      <ddeItem name="JZFB1.232" advise="1">
        <values>
          <value t="str">
            <val>-</val>
          </value>
        </values>
      </ddeItem>
      <ddeItem name="JZFB1.233" advise="1">
        <values>
          <value t="str">
            <val>-</val>
          </value>
        </values>
      </ddeItem>
      <ddeItem name="JZFB1.234" advise="1">
        <values>
          <value t="str">
            <val>-</val>
          </value>
        </values>
      </ddeItem>
      <ddeItem name="JZFB1.235" advise="1">
        <values>
          <value t="str">
            <val>-</val>
          </value>
        </values>
      </ddeItem>
      <ddeItem name="JZFB1.402" advise="1">
        <values>
          <value t="str">
            <val>加權指數</val>
          </value>
        </values>
      </ddeItem>
      <ddeItem name="JZFB1.406" advise="1">
        <values>
          <value t="str">
            <val xml:space="preserve"> -</val>
          </value>
        </values>
      </ddeItem>
      <ddeItem name="JZFB1.407" advise="1">
        <values>
          <value t="str">
            <val xml:space="preserve"> -</val>
          </value>
        </values>
      </ddeItem>
      <ddeItem name="JZFB1.431" advise="1">
        <values>
          <value t="str">
            <val>-</val>
          </value>
        </values>
      </ddeItem>
      <ddeItem name="JZFB1.437" advise="1">
        <values>
          <value t="str">
            <val xml:space="preserve"> -</val>
          </value>
        </values>
      </ddeItem>
      <ddeItem name="KAFB1.123" advise="1">
        <values>
          <value>
            <val>100145</val>
          </value>
        </values>
      </ddeItem>
      <ddeItem name="KAFB1.124" advise="1">
        <values>
          <value>
            <val>16422.560000000001</val>
          </value>
        </values>
      </ddeItem>
      <ddeItem name="KAFB1.125" advise="1">
        <values>
          <value>
            <val>-20.84</val>
          </value>
        </values>
      </ddeItem>
      <ddeItem name="KAFB1.128" advise="1">
        <values>
          <value>
            <val>1824</val>
          </value>
        </values>
      </ddeItem>
      <ddeItem name="KAFB1.130" advise="1">
        <values>
          <value>
            <val>16329.54</val>
          </value>
        </values>
      </ddeItem>
      <ddeItem name="KAFB1.131" advise="1">
        <values>
          <value>
            <val>16456.939999999999</val>
          </value>
        </values>
      </ddeItem>
      <ddeItem name="KAFB1.132" advise="1">
        <values>
          <value>
            <val>16329.54</val>
          </value>
        </values>
      </ddeItem>
      <ddeItem name="KAFB1.133" advise="1">
        <values>
          <value>
            <val>4024617</val>
          </value>
        </values>
      </ddeItem>
      <ddeItem name="KAFB1.135" advise="1">
        <values>
          <value t="str">
            <val xml:space="preserve"> -</val>
          </value>
        </values>
      </ddeItem>
      <ddeItem name="KAFB1.136" advise="1">
        <values>
          <value t="str">
            <val xml:space="preserve"> -</val>
          </value>
        </values>
      </ddeItem>
      <ddeItem name="KAFB1.201" advise="1">
        <values>
          <value t="str">
            <val xml:space="preserve"> -</val>
          </value>
        </values>
      </ddeItem>
      <ddeItem name="KAFB1.202" advise="1">
        <values>
          <value t="str">
            <val xml:space="preserve"> -</val>
          </value>
        </values>
      </ddeItem>
      <ddeItem name="KAFB1.203" advise="1">
        <values>
          <value t="str">
            <val xml:space="preserve"> -</val>
          </value>
        </values>
      </ddeItem>
      <ddeItem name="KAFB1.204" advise="1">
        <values>
          <value t="str">
            <val xml:space="preserve"> -</val>
          </value>
        </values>
      </ddeItem>
      <ddeItem name="KAFB1.205" advise="1">
        <values>
          <value t="str">
            <val xml:space="preserve"> -</val>
          </value>
        </values>
      </ddeItem>
      <ddeItem name="KAFB1.211" advise="1">
        <values>
          <value t="str">
            <val xml:space="preserve"> -</val>
          </value>
        </values>
      </ddeItem>
      <ddeItem name="KAFB1.212" advise="1">
        <values>
          <value t="str">
            <val xml:space="preserve"> -</val>
          </value>
        </values>
      </ddeItem>
      <ddeItem name="KAFB1.213" advise="1">
        <values>
          <value t="str">
            <val xml:space="preserve"> -</val>
          </value>
        </values>
      </ddeItem>
      <ddeItem name="KAFB1.214" advise="1">
        <values>
          <value t="str">
            <val xml:space="preserve"> -</val>
          </value>
        </values>
      </ddeItem>
      <ddeItem name="KAFB1.215" advise="1">
        <values>
          <value t="str">
            <val xml:space="preserve"> -</val>
          </value>
        </values>
      </ddeItem>
      <ddeItem name="KAFB1.221" advise="1">
        <values>
          <value t="str">
            <val>-</val>
          </value>
        </values>
      </ddeItem>
      <ddeItem name="KAFB1.222" advise="1">
        <values>
          <value t="str">
            <val>-</val>
          </value>
        </values>
      </ddeItem>
      <ddeItem name="KAFB1.223" advise="1">
        <values>
          <value t="str">
            <val>-</val>
          </value>
        </values>
      </ddeItem>
      <ddeItem name="KAFB1.224" advise="1">
        <values>
          <value t="str">
            <val>-</val>
          </value>
        </values>
      </ddeItem>
      <ddeItem name="KAFB1.225" advise="1">
        <values>
          <value t="str">
            <val>-</val>
          </value>
        </values>
      </ddeItem>
      <ddeItem name="KAFB1.231" advise="1">
        <values>
          <value t="str">
            <val>-</val>
          </value>
        </values>
      </ddeItem>
      <ddeItem name="KAFB1.232" advise="1">
        <values>
          <value t="str">
            <val>-</val>
          </value>
        </values>
      </ddeItem>
      <ddeItem name="KAFB1.233" advise="1">
        <values>
          <value t="str">
            <val>-</val>
          </value>
        </values>
      </ddeItem>
      <ddeItem name="KAFB1.234" advise="1">
        <values>
          <value t="str">
            <val>-</val>
          </value>
        </values>
      </ddeItem>
      <ddeItem name="KAFB1.235" advise="1">
        <values>
          <value t="str">
            <val>-</val>
          </value>
        </values>
      </ddeItem>
      <ddeItem name="KAFB1.402" advise="1">
        <values>
          <value t="str">
            <val>加權指數</val>
          </value>
        </values>
      </ddeItem>
      <ddeItem name="KAFB1.406" advise="1">
        <values>
          <value t="str">
            <val xml:space="preserve"> -</val>
          </value>
        </values>
      </ddeItem>
      <ddeItem name="KAFB1.407" advise="1">
        <values>
          <value t="str">
            <val xml:space="preserve"> -</val>
          </value>
        </values>
      </ddeItem>
      <ddeItem name="KAFB1.431" advise="1">
        <values>
          <value t="str">
            <val>-</val>
          </value>
        </values>
      </ddeItem>
      <ddeItem name="KAFB1.437" advise="1">
        <values>
          <value t="str">
            <val xml:space="preserve"> -</val>
          </value>
        </values>
      </ddeItem>
      <ddeItem name="KBFB1.123" advise="1">
        <values>
          <value>
            <val>0</val>
          </value>
        </values>
      </ddeItem>
      <ddeItem name="KBFB1.124" advise="1">
        <values>
          <value>
            <val>20878632</val>
          </value>
        </values>
      </ddeItem>
      <ddeItem name="KBFB1.125" advise="1">
        <values>
          <value t="str">
            <val xml:space="preserve"> </val>
          </value>
        </values>
      </ddeItem>
      <ddeItem name="KBFB1.128" advise="1">
        <values>
          <value>
            <val>1212870150</val>
          </value>
        </values>
      </ddeItem>
      <ddeItem name="KBFB1.130" advise="1">
        <values>
          <value>
            <val>20803788</val>
          </value>
        </values>
      </ddeItem>
      <ddeItem name="KBFB1.131" advise="1">
        <values>
          <value>
            <val>20804690</val>
          </value>
        </values>
      </ddeItem>
      <ddeItem name="KBFB1.132" advise="1">
        <values>
          <value>
            <val>10989732</val>
          </value>
        </values>
      </ddeItem>
      <ddeItem name="KBFB1.133" advise="1">
        <values>
          <value>
            <val>2088371110</val>
          </value>
        </values>
      </ddeItem>
      <ddeItem name="KBFB1.135" advise="1">
        <values>
          <value t="str">
            <val xml:space="preserve"> -</val>
          </value>
        </values>
      </ddeItem>
      <ddeItem name="KBFB1.136" advise="1">
        <values>
          <value t="str">
            <val xml:space="preserve"> -</val>
          </value>
        </values>
      </ddeItem>
      <ddeItem name="KBFB1.201" advise="1">
        <values>
          <value t="str">
            <val xml:space="preserve"> -</val>
          </value>
        </values>
      </ddeItem>
      <ddeItem name="KBFB1.202" advise="1">
        <values>
          <value t="str">
            <val xml:space="preserve"> -</val>
          </value>
        </values>
      </ddeItem>
      <ddeItem name="KBFB1.203" advise="1">
        <values>
          <value t="str">
            <val xml:space="preserve"> -</val>
          </value>
        </values>
      </ddeItem>
      <ddeItem name="KBFB1.204" advise="1">
        <values>
          <value t="str">
            <val xml:space="preserve"> -</val>
          </value>
        </values>
      </ddeItem>
      <ddeItem name="KBFB1.205" advise="1">
        <values>
          <value t="str">
            <val xml:space="preserve"> -</val>
          </value>
        </values>
      </ddeItem>
      <ddeItem name="KBFB1.211" advise="1">
        <values>
          <value t="str">
            <val xml:space="preserve"> -</val>
          </value>
        </values>
      </ddeItem>
      <ddeItem name="KBFB1.212" advise="1">
        <values>
          <value t="str">
            <val xml:space="preserve"> -</val>
          </value>
        </values>
      </ddeItem>
      <ddeItem name="KBFB1.213" advise="1">
        <values>
          <value t="str">
            <val xml:space="preserve"> -</val>
          </value>
        </values>
      </ddeItem>
      <ddeItem name="KBFB1.214" advise="1">
        <values>
          <value t="str">
            <val xml:space="preserve"> -</val>
          </value>
        </values>
      </ddeItem>
      <ddeItem name="KBFB1.215" advise="1">
        <values>
          <value t="str">
            <val xml:space="preserve"> -</val>
          </value>
        </values>
      </ddeItem>
      <ddeItem name="KBFB1.221" advise="1">
        <values>
          <value t="str">
            <val>-</val>
          </value>
        </values>
      </ddeItem>
      <ddeItem name="KBFB1.222" advise="1">
        <values>
          <value t="str">
            <val>-</val>
          </value>
        </values>
      </ddeItem>
      <ddeItem name="KBFB1.223" advise="1">
        <values>
          <value t="str">
            <val>-</val>
          </value>
        </values>
      </ddeItem>
      <ddeItem name="KBFB1.224" advise="1">
        <values>
          <value t="str">
            <val>-</val>
          </value>
        </values>
      </ddeItem>
      <ddeItem name="KBFB1.225" advise="1">
        <values>
          <value t="str">
            <val>-</val>
          </value>
        </values>
      </ddeItem>
      <ddeItem name="KBFB1.231" advise="1">
        <values>
          <value t="str">
            <val>-</val>
          </value>
        </values>
      </ddeItem>
      <ddeItem name="KBFB1.232" advise="1">
        <values>
          <value t="str">
            <val>-</val>
          </value>
        </values>
      </ddeItem>
      <ddeItem name="KBFB1.233" advise="1">
        <values>
          <value t="str">
            <val>-</val>
          </value>
        </values>
      </ddeItem>
      <ddeItem name="KBFB1.234" advise="1">
        <values>
          <value t="str">
            <val>-</val>
          </value>
        </values>
      </ddeItem>
      <ddeItem name="KBFB1.235" advise="1">
        <values>
          <value t="str">
            <val>-</val>
          </value>
        </values>
      </ddeItem>
      <ddeItem name="KBFB1.402" advise="1"/>
      <ddeItem name="KBFB1.406" advise="1">
        <values>
          <value t="str">
            <val xml:space="preserve"> -</val>
          </value>
        </values>
      </ddeItem>
      <ddeItem name="KBFB1.407" advise="1">
        <values>
          <value t="str">
            <val xml:space="preserve"> -</val>
          </value>
        </values>
      </ddeItem>
      <ddeItem name="KBFB1.431" advise="1">
        <values>
          <value t="str">
            <val>-</val>
          </value>
        </values>
      </ddeItem>
      <ddeItem name="KBFB1.437" advise="1">
        <values>
          <value t="str">
            <val xml:space="preserve"> -</val>
          </value>
        </values>
      </ddeItem>
      <ddeItem name="KCFB1.123" advise="1">
        <values>
          <value>
            <val>100140</val>
          </value>
        </values>
      </ddeItem>
      <ddeItem name="KCFB1.124" advise="1">
        <values>
          <value>
            <val>16428.68</val>
          </value>
        </values>
      </ddeItem>
      <ddeItem name="KCFB1.125" advise="1">
        <values>
          <value>
            <val>-14.72</val>
          </value>
        </values>
      </ddeItem>
      <ddeItem name="KCFB1.128" advise="1">
        <values>
          <value>
            <val>2686</val>
          </value>
        </values>
      </ddeItem>
      <ddeItem name="KCFB1.130" advise="1">
        <values>
          <value>
            <val>16329.54</val>
          </value>
        </values>
      </ddeItem>
      <ddeItem name="KCFB1.131" advise="1">
        <values>
          <value>
            <val>16456.939999999999</val>
          </value>
        </values>
      </ddeItem>
      <ddeItem name="KCFB1.132" advise="1">
        <values>
          <value>
            <val>16329.54</val>
          </value>
        </values>
      </ddeItem>
      <ddeItem name="KCFB1.133" advise="1">
        <values>
          <value>
            <val>4022793</val>
          </value>
        </values>
      </ddeItem>
      <ddeItem name="KCFB1.135" advise="1">
        <values>
          <value t="str">
            <val xml:space="preserve"> -</val>
          </value>
        </values>
      </ddeItem>
      <ddeItem name="KCFB1.136" advise="1">
        <values>
          <value t="str">
            <val xml:space="preserve"> -</val>
          </value>
        </values>
      </ddeItem>
      <ddeItem name="KCFB1.201" advise="1">
        <values>
          <value t="str">
            <val xml:space="preserve"> -</val>
          </value>
        </values>
      </ddeItem>
      <ddeItem name="KCFB1.202" advise="1">
        <values>
          <value t="str">
            <val xml:space="preserve"> -</val>
          </value>
        </values>
      </ddeItem>
      <ddeItem name="KCFB1.203" advise="1">
        <values>
          <value t="str">
            <val xml:space="preserve"> -</val>
          </value>
        </values>
      </ddeItem>
      <ddeItem name="KCFB1.204" advise="1">
        <values>
          <value t="str">
            <val xml:space="preserve"> -</val>
          </value>
        </values>
      </ddeItem>
      <ddeItem name="KCFB1.205" advise="1">
        <values>
          <value t="str">
            <val xml:space="preserve"> -</val>
          </value>
        </values>
      </ddeItem>
      <ddeItem name="KCFB1.211" advise="1">
        <values>
          <value t="str">
            <val xml:space="preserve"> -</val>
          </value>
        </values>
      </ddeItem>
      <ddeItem name="KCFB1.212" advise="1">
        <values>
          <value t="str">
            <val xml:space="preserve"> -</val>
          </value>
        </values>
      </ddeItem>
      <ddeItem name="KCFB1.213" advise="1">
        <values>
          <value t="str">
            <val xml:space="preserve"> -</val>
          </value>
        </values>
      </ddeItem>
      <ddeItem name="KCFB1.214" advise="1">
        <values>
          <value t="str">
            <val xml:space="preserve"> -</val>
          </value>
        </values>
      </ddeItem>
      <ddeItem name="KCFB1.215" advise="1">
        <values>
          <value t="str">
            <val xml:space="preserve"> -</val>
          </value>
        </values>
      </ddeItem>
      <ddeItem name="KCFB1.221" advise="1">
        <values>
          <value t="str">
            <val>-</val>
          </value>
        </values>
      </ddeItem>
      <ddeItem name="KCFB1.222" advise="1">
        <values>
          <value t="str">
            <val>-</val>
          </value>
        </values>
      </ddeItem>
      <ddeItem name="KCFB1.223" advise="1">
        <values>
          <value t="str">
            <val>-</val>
          </value>
        </values>
      </ddeItem>
      <ddeItem name="KCFB1.224" advise="1">
        <values>
          <value t="str">
            <val>-</val>
          </value>
        </values>
      </ddeItem>
      <ddeItem name="KCFB1.225" advise="1">
        <values>
          <value t="str">
            <val>-</val>
          </value>
        </values>
      </ddeItem>
      <ddeItem name="KCFB1.231" advise="1">
        <values>
          <value t="str">
            <val>-</val>
          </value>
        </values>
      </ddeItem>
      <ddeItem name="KCFB1.232" advise="1">
        <values>
          <value t="str">
            <val>-</val>
          </value>
        </values>
      </ddeItem>
      <ddeItem name="KCFB1.233" advise="1">
        <values>
          <value t="str">
            <val>-</val>
          </value>
        </values>
      </ddeItem>
      <ddeItem name="KCFB1.234" advise="1">
        <values>
          <value t="str">
            <val>-</val>
          </value>
        </values>
      </ddeItem>
      <ddeItem name="KCFB1.235" advise="1">
        <values>
          <value t="str">
            <val>-</val>
          </value>
        </values>
      </ddeItem>
      <ddeItem name="KCFB1.402" advise="1">
        <values>
          <value t="str">
            <val>加權指數</val>
          </value>
        </values>
      </ddeItem>
      <ddeItem name="KCFB1.406" advise="1">
        <values>
          <value t="str">
            <val xml:space="preserve"> -</val>
          </value>
        </values>
      </ddeItem>
      <ddeItem name="KCFB1.407" advise="1">
        <values>
          <value t="str">
            <val xml:space="preserve"> -</val>
          </value>
        </values>
      </ddeItem>
      <ddeItem name="KCFB1.431" advise="1">
        <values>
          <value t="str">
            <val>-</val>
          </value>
        </values>
      </ddeItem>
      <ddeItem name="KCFB1.437" advise="1">
        <values>
          <value t="str">
            <val xml:space="preserve"> -</val>
          </value>
        </values>
      </ddeItem>
      <ddeItem name="KDFB1.123" advise="1">
        <values>
          <value>
            <val>100140</val>
          </value>
        </values>
      </ddeItem>
      <ddeItem name="KDFB1.124" advise="1">
        <values>
          <value>
            <val>13893.18</val>
          </value>
        </values>
      </ddeItem>
      <ddeItem name="KDFB1.125" advise="1">
        <values>
          <value>
            <val>6.6</val>
          </value>
        </values>
      </ddeItem>
      <ddeItem name="KDFB1.128" advise="1">
        <values>
          <value>
            <val>720</val>
          </value>
        </values>
      </ddeItem>
      <ddeItem name="KDFB1.130" advise="1">
        <values>
          <value>
            <val>13893.03</val>
          </value>
        </values>
      </ddeItem>
      <ddeItem name="KDFB1.131" advise="1">
        <values>
          <value>
            <val>13945.78</val>
          </value>
        </values>
      </ddeItem>
      <ddeItem name="KDFB1.132" advise="1">
        <values>
          <value>
            <val>13875.82</val>
          </value>
        </values>
      </ddeItem>
      <ddeItem name="KDFB1.133" advise="1">
        <values>
          <value>
            <val>872505</val>
          </value>
        </values>
      </ddeItem>
      <ddeItem name="KDFB1.135" advise="1">
        <values>
          <value t="str">
            <val xml:space="preserve"> -</val>
          </value>
        </values>
      </ddeItem>
      <ddeItem name="KDFB1.136" advise="1">
        <values>
          <value t="str">
            <val xml:space="preserve"> -</val>
          </value>
        </values>
      </ddeItem>
      <ddeItem name="KDFB1.201" advise="1">
        <values>
          <value t="str">
            <val xml:space="preserve"> -</val>
          </value>
        </values>
      </ddeItem>
      <ddeItem name="KDFB1.202" advise="1">
        <values>
          <value t="str">
            <val xml:space="preserve"> -</val>
          </value>
        </values>
      </ddeItem>
      <ddeItem name="KDFB1.203" advise="1">
        <values>
          <value t="str">
            <val xml:space="preserve"> -</val>
          </value>
        </values>
      </ddeItem>
      <ddeItem name="KDFB1.204" advise="1">
        <values>
          <value t="str">
            <val xml:space="preserve"> -</val>
          </value>
        </values>
      </ddeItem>
      <ddeItem name="KDFB1.205" advise="1">
        <values>
          <value t="str">
            <val xml:space="preserve"> -</val>
          </value>
        </values>
      </ddeItem>
      <ddeItem name="KDFB1.211" advise="1">
        <values>
          <value t="str">
            <val xml:space="preserve"> -</val>
          </value>
        </values>
      </ddeItem>
      <ddeItem name="KDFB1.212" advise="1">
        <values>
          <value t="str">
            <val xml:space="preserve"> -</val>
          </value>
        </values>
      </ddeItem>
      <ddeItem name="KDFB1.213" advise="1">
        <values>
          <value t="str">
            <val xml:space="preserve"> -</val>
          </value>
        </values>
      </ddeItem>
      <ddeItem name="KDFB1.214" advise="1">
        <values>
          <value t="str">
            <val xml:space="preserve"> -</val>
          </value>
        </values>
      </ddeItem>
      <ddeItem name="KDFB1.215" advise="1">
        <values>
          <value t="str">
            <val xml:space="preserve"> -</val>
          </value>
        </values>
      </ddeItem>
      <ddeItem name="KDFB1.221" advise="1">
        <values>
          <value t="str">
            <val>-</val>
          </value>
        </values>
      </ddeItem>
      <ddeItem name="KDFB1.222" advise="1">
        <values>
          <value t="str">
            <val>-</val>
          </value>
        </values>
      </ddeItem>
      <ddeItem name="KDFB1.223" advise="1">
        <values>
          <value t="str">
            <val>-</val>
          </value>
        </values>
      </ddeItem>
      <ddeItem name="KDFB1.224" advise="1">
        <values>
          <value t="str">
            <val>-</val>
          </value>
        </values>
      </ddeItem>
      <ddeItem name="KDFB1.225" advise="1">
        <values>
          <value t="str">
            <val>-</val>
          </value>
        </values>
      </ddeItem>
      <ddeItem name="KDFB1.231" advise="1">
        <values>
          <value t="str">
            <val>-</val>
          </value>
        </values>
      </ddeItem>
      <ddeItem name="KDFB1.232" advise="1">
        <values>
          <value t="str">
            <val>-</val>
          </value>
        </values>
      </ddeItem>
      <ddeItem name="KDFB1.233" advise="1">
        <values>
          <value t="str">
            <val>-</val>
          </value>
        </values>
      </ddeItem>
      <ddeItem name="KDFB1.234" advise="1">
        <values>
          <value t="str">
            <val>-</val>
          </value>
        </values>
      </ddeItem>
      <ddeItem name="KDFB1.235" advise="1">
        <values>
          <value t="str">
            <val>-</val>
          </value>
        </values>
      </ddeItem>
      <ddeItem name="KDFB1.402" advise="1">
        <values>
          <value t="str">
            <val>不含金電</val>
          </value>
        </values>
      </ddeItem>
      <ddeItem name="KDFB1.406" advise="1">
        <values>
          <value t="str">
            <val xml:space="preserve"> -</val>
          </value>
        </values>
      </ddeItem>
      <ddeItem name="KDFB1.407" advise="1">
        <values>
          <value t="str">
            <val xml:space="preserve"> -</val>
          </value>
        </values>
      </ddeItem>
      <ddeItem name="KDFB1.431" advise="1">
        <values>
          <value t="str">
            <val>-</val>
          </value>
        </values>
      </ddeItem>
      <ddeItem name="KDFB1.437" advise="1">
        <values>
          <value t="str">
            <val xml:space="preserve"> -</val>
          </value>
        </values>
      </ddeItem>
      <ddeItem name="KEFB1.123" advise="1">
        <values>
          <value>
            <val>100140</val>
          </value>
        </values>
      </ddeItem>
      <ddeItem name="KEFB1.124" advise="1">
        <values>
          <value>
            <val>16428.68</val>
          </value>
        </values>
      </ddeItem>
      <ddeItem name="KEFB1.125" advise="1">
        <values>
          <value>
            <val>-14.72</val>
          </value>
        </values>
      </ddeItem>
      <ddeItem name="KEFB1.128" advise="1">
        <values>
          <value>
            <val>2686</val>
          </value>
        </values>
      </ddeItem>
      <ddeItem name="KEFB1.130" advise="1">
        <values>
          <value>
            <val>16329.54</val>
          </value>
        </values>
      </ddeItem>
      <ddeItem name="KEFB1.131" advise="1">
        <values>
          <value>
            <val>16456.939999999999</val>
          </value>
        </values>
      </ddeItem>
      <ddeItem name="KEFB1.132" advise="1">
        <values>
          <value>
            <val>16329.54</val>
          </value>
        </values>
      </ddeItem>
      <ddeItem name="KEFB1.133" advise="1">
        <values>
          <value>
            <val>4022793</val>
          </value>
        </values>
      </ddeItem>
      <ddeItem name="KEFB1.135" advise="1">
        <values>
          <value t="str">
            <val xml:space="preserve"> -</val>
          </value>
        </values>
      </ddeItem>
      <ddeItem name="KEFB1.136" advise="1">
        <values>
          <value t="str">
            <val xml:space="preserve"> -</val>
          </value>
        </values>
      </ddeItem>
      <ddeItem name="KEFB1.201" advise="1">
        <values>
          <value t="str">
            <val xml:space="preserve"> -</val>
          </value>
        </values>
      </ddeItem>
      <ddeItem name="KEFB1.202" advise="1">
        <values>
          <value t="str">
            <val xml:space="preserve"> -</val>
          </value>
        </values>
      </ddeItem>
      <ddeItem name="KEFB1.203" advise="1">
        <values>
          <value t="str">
            <val xml:space="preserve"> -</val>
          </value>
        </values>
      </ddeItem>
      <ddeItem name="KEFB1.204" advise="1">
        <values>
          <value t="str">
            <val xml:space="preserve"> -</val>
          </value>
        </values>
      </ddeItem>
      <ddeItem name="KEFB1.205" advise="1">
        <values>
          <value t="str">
            <val xml:space="preserve"> -</val>
          </value>
        </values>
      </ddeItem>
      <ddeItem name="KEFB1.211" advise="1">
        <values>
          <value t="str">
            <val xml:space="preserve"> -</val>
          </value>
        </values>
      </ddeItem>
      <ddeItem name="KEFB1.212" advise="1">
        <values>
          <value t="str">
            <val xml:space="preserve"> -</val>
          </value>
        </values>
      </ddeItem>
      <ddeItem name="KEFB1.213" advise="1">
        <values>
          <value t="str">
            <val xml:space="preserve"> -</val>
          </value>
        </values>
      </ddeItem>
      <ddeItem name="KEFB1.214" advise="1">
        <values>
          <value t="str">
            <val xml:space="preserve"> -</val>
          </value>
        </values>
      </ddeItem>
      <ddeItem name="KEFB1.215" advise="1">
        <values>
          <value t="str">
            <val xml:space="preserve"> -</val>
          </value>
        </values>
      </ddeItem>
      <ddeItem name="KEFB1.221" advise="1">
        <values>
          <value t="str">
            <val>-</val>
          </value>
        </values>
      </ddeItem>
      <ddeItem name="KEFB1.222" advise="1">
        <values>
          <value t="str">
            <val>-</val>
          </value>
        </values>
      </ddeItem>
      <ddeItem name="KEFB1.223" advise="1">
        <values>
          <value t="str">
            <val>-</val>
          </value>
        </values>
      </ddeItem>
      <ddeItem name="KEFB1.224" advise="1">
        <values>
          <value t="str">
            <val>-</val>
          </value>
        </values>
      </ddeItem>
      <ddeItem name="KEFB1.225" advise="1">
        <values>
          <value t="str">
            <val>-</val>
          </value>
        </values>
      </ddeItem>
      <ddeItem name="KEFB1.231" advise="1">
        <values>
          <value t="str">
            <val>-</val>
          </value>
        </values>
      </ddeItem>
      <ddeItem name="KEFB1.232" advise="1">
        <values>
          <value t="str">
            <val>-</val>
          </value>
        </values>
      </ddeItem>
      <ddeItem name="KEFB1.233" advise="1">
        <values>
          <value t="str">
            <val>-</val>
          </value>
        </values>
      </ddeItem>
      <ddeItem name="KEFB1.234" advise="1">
        <values>
          <value t="str">
            <val>-</val>
          </value>
        </values>
      </ddeItem>
      <ddeItem name="KEFB1.235" advise="1">
        <values>
          <value t="str">
            <val>-</val>
          </value>
        </values>
      </ddeItem>
      <ddeItem name="KEFB1.402" advise="1">
        <values>
          <value t="str">
            <val>加權指數</val>
          </value>
        </values>
      </ddeItem>
      <ddeItem name="KEFB1.406" advise="1">
        <values>
          <value t="str">
            <val xml:space="preserve"> -</val>
          </value>
        </values>
      </ddeItem>
      <ddeItem name="KEFB1.407" advise="1">
        <values>
          <value t="str">
            <val xml:space="preserve"> -</val>
          </value>
        </values>
      </ddeItem>
      <ddeItem name="KEFB1.431" advise="1">
        <values>
          <value t="str">
            <val>-</val>
          </value>
        </values>
      </ddeItem>
      <ddeItem name="KEFB1.437" advise="1">
        <values>
          <value t="str">
            <val xml:space="preserve"> -</val>
          </value>
        </values>
      </ddeItem>
      <ddeItem name="KFFB1.123" advise="1">
        <values>
          <value>
            <val>100140</val>
          </value>
        </values>
      </ddeItem>
      <ddeItem name="KFFB1.124" advise="1">
        <values>
          <value>
            <val>16428.68</val>
          </value>
        </values>
      </ddeItem>
      <ddeItem name="KFFB1.125" advise="1">
        <values>
          <value>
            <val>-14.72</val>
          </value>
        </values>
      </ddeItem>
      <ddeItem name="KFFB1.128" advise="1">
        <values>
          <value>
            <val>2686</val>
          </value>
        </values>
      </ddeItem>
      <ddeItem name="KFFB1.130" advise="1">
        <values>
          <value>
            <val>16329.54</val>
          </value>
        </values>
      </ddeItem>
      <ddeItem name="KFFB1.131" advise="1">
        <values>
          <value>
            <val>16456.939999999999</val>
          </value>
        </values>
      </ddeItem>
      <ddeItem name="KFFB1.132" advise="1">
        <values>
          <value>
            <val>16329.54</val>
          </value>
        </values>
      </ddeItem>
      <ddeItem name="KFFB1.133" advise="1">
        <values>
          <value>
            <val>4022793</val>
          </value>
        </values>
      </ddeItem>
      <ddeItem name="KFFB1.135" advise="1">
        <values>
          <value t="str">
            <val xml:space="preserve"> -</val>
          </value>
        </values>
      </ddeItem>
      <ddeItem name="KFFB1.136" advise="1">
        <values>
          <value t="str">
            <val xml:space="preserve"> -</val>
          </value>
        </values>
      </ddeItem>
      <ddeItem name="KFFB1.201" advise="1">
        <values>
          <value t="str">
            <val xml:space="preserve"> -</val>
          </value>
        </values>
      </ddeItem>
      <ddeItem name="KFFB1.202" advise="1">
        <values>
          <value t="str">
            <val xml:space="preserve"> -</val>
          </value>
        </values>
      </ddeItem>
      <ddeItem name="KFFB1.203" advise="1">
        <values>
          <value t="str">
            <val xml:space="preserve"> -</val>
          </value>
        </values>
      </ddeItem>
      <ddeItem name="KFFB1.204" advise="1">
        <values>
          <value t="str">
            <val xml:space="preserve"> -</val>
          </value>
        </values>
      </ddeItem>
      <ddeItem name="KFFB1.205" advise="1">
        <values>
          <value t="str">
            <val xml:space="preserve"> -</val>
          </value>
        </values>
      </ddeItem>
      <ddeItem name="KFFB1.211" advise="1">
        <values>
          <value t="str">
            <val xml:space="preserve"> -</val>
          </value>
        </values>
      </ddeItem>
      <ddeItem name="KFFB1.212" advise="1">
        <values>
          <value t="str">
            <val xml:space="preserve"> -</val>
          </value>
        </values>
      </ddeItem>
      <ddeItem name="KFFB1.213" advise="1">
        <values>
          <value t="str">
            <val xml:space="preserve"> -</val>
          </value>
        </values>
      </ddeItem>
      <ddeItem name="KFFB1.214" advise="1">
        <values>
          <value t="str">
            <val xml:space="preserve"> -</val>
          </value>
        </values>
      </ddeItem>
      <ddeItem name="KFFB1.215" advise="1">
        <values>
          <value t="str">
            <val xml:space="preserve"> -</val>
          </value>
        </values>
      </ddeItem>
      <ddeItem name="KFFB1.221" advise="1">
        <values>
          <value t="str">
            <val>-</val>
          </value>
        </values>
      </ddeItem>
      <ddeItem name="KFFB1.222" advise="1">
        <values>
          <value t="str">
            <val>-</val>
          </value>
        </values>
      </ddeItem>
      <ddeItem name="KFFB1.223" advise="1">
        <values>
          <value t="str">
            <val>-</val>
          </value>
        </values>
      </ddeItem>
      <ddeItem name="KFFB1.224" advise="1">
        <values>
          <value t="str">
            <val>-</val>
          </value>
        </values>
      </ddeItem>
      <ddeItem name="KFFB1.225" advise="1">
        <values>
          <value t="str">
            <val>-</val>
          </value>
        </values>
      </ddeItem>
      <ddeItem name="KFFB1.231" advise="1">
        <values>
          <value t="str">
            <val>-</val>
          </value>
        </values>
      </ddeItem>
      <ddeItem name="KFFB1.232" advise="1">
        <values>
          <value t="str">
            <val>-</val>
          </value>
        </values>
      </ddeItem>
      <ddeItem name="KFFB1.233" advise="1">
        <values>
          <value t="str">
            <val>-</val>
          </value>
        </values>
      </ddeItem>
      <ddeItem name="KFFB1.234" advise="1">
        <values>
          <value t="str">
            <val>-</val>
          </value>
        </values>
      </ddeItem>
      <ddeItem name="KFFB1.235" advise="1">
        <values>
          <value t="str">
            <val>-</val>
          </value>
        </values>
      </ddeItem>
      <ddeItem name="KFFB1.402" advise="1">
        <values>
          <value t="str">
            <val>加權指數</val>
          </value>
        </values>
      </ddeItem>
      <ddeItem name="KFFB1.406" advise="1">
        <values>
          <value t="str">
            <val xml:space="preserve"> -</val>
          </value>
        </values>
      </ddeItem>
      <ddeItem name="KFFB1.407" advise="1">
        <values>
          <value t="str">
            <val xml:space="preserve"> -</val>
          </value>
        </values>
      </ddeItem>
      <ddeItem name="KFFB1.431" advise="1">
        <values>
          <value t="str">
            <val>-</val>
          </value>
        </values>
      </ddeItem>
      <ddeItem name="KFFB1.437" advise="1">
        <values>
          <value t="str">
            <val xml:space="preserve"> -</val>
          </value>
        </values>
      </ddeItem>
      <ddeItem name="KGFB1.123" advise="1">
        <values>
          <value>
            <val>100135</val>
          </value>
        </values>
      </ddeItem>
      <ddeItem name="KGFB1.124" advise="1">
        <values>
          <value>
            <val>16424.64</val>
          </value>
        </values>
      </ddeItem>
      <ddeItem name="KGFB1.125" advise="1">
        <values>
          <value>
            <val>-18.760000000000002</val>
          </value>
        </values>
      </ddeItem>
      <ddeItem name="KGFB1.128" advise="1">
        <values>
          <value>
            <val>1648</val>
          </value>
        </values>
      </ddeItem>
      <ddeItem name="KGFB1.130" advise="1">
        <values>
          <value>
            <val>16329.54</val>
          </value>
        </values>
      </ddeItem>
      <ddeItem name="KGFB1.131" advise="1">
        <values>
          <value>
            <val>16456.939999999999</val>
          </value>
        </values>
      </ddeItem>
      <ddeItem name="KGFB1.132" advise="1">
        <values>
          <value>
            <val>16329.54</val>
          </value>
        </values>
      </ddeItem>
      <ddeItem name="KGFB1.133" advise="1">
        <values>
          <value>
            <val>4020107</val>
          </value>
        </values>
      </ddeItem>
      <ddeItem name="KGFB1.135" advise="1">
        <values>
          <value t="str">
            <val xml:space="preserve"> -</val>
          </value>
        </values>
      </ddeItem>
      <ddeItem name="KGFB1.136" advise="1">
        <values>
          <value t="str">
            <val xml:space="preserve"> -</val>
          </value>
        </values>
      </ddeItem>
      <ddeItem name="KGFB1.201" advise="1">
        <values>
          <value t="str">
            <val xml:space="preserve"> -</val>
          </value>
        </values>
      </ddeItem>
      <ddeItem name="KGFB1.202" advise="1">
        <values>
          <value t="str">
            <val xml:space="preserve"> -</val>
          </value>
        </values>
      </ddeItem>
      <ddeItem name="KGFB1.203" advise="1">
        <values>
          <value t="str">
            <val xml:space="preserve"> -</val>
          </value>
        </values>
      </ddeItem>
      <ddeItem name="KGFB1.204" advise="1">
        <values>
          <value t="str">
            <val xml:space="preserve"> -</val>
          </value>
        </values>
      </ddeItem>
      <ddeItem name="KGFB1.205" advise="1">
        <values>
          <value t="str">
            <val xml:space="preserve"> -</val>
          </value>
        </values>
      </ddeItem>
      <ddeItem name="KGFB1.211" advise="1">
        <values>
          <value t="str">
            <val xml:space="preserve"> -</val>
          </value>
        </values>
      </ddeItem>
      <ddeItem name="KGFB1.212" advise="1">
        <values>
          <value t="str">
            <val xml:space="preserve"> -</val>
          </value>
        </values>
      </ddeItem>
      <ddeItem name="KGFB1.213" advise="1">
        <values>
          <value t="str">
            <val xml:space="preserve"> -</val>
          </value>
        </values>
      </ddeItem>
      <ddeItem name="KGFB1.214" advise="1">
        <values>
          <value t="str">
            <val xml:space="preserve"> -</val>
          </value>
        </values>
      </ddeItem>
      <ddeItem name="KGFB1.215" advise="1">
        <values>
          <value t="str">
            <val xml:space="preserve"> -</val>
          </value>
        </values>
      </ddeItem>
      <ddeItem name="KGFB1.221" advise="1">
        <values>
          <value t="str">
            <val>-</val>
          </value>
        </values>
      </ddeItem>
      <ddeItem name="KGFB1.222" advise="1">
        <values>
          <value t="str">
            <val>-</val>
          </value>
        </values>
      </ddeItem>
      <ddeItem name="KGFB1.223" advise="1">
        <values>
          <value t="str">
            <val>-</val>
          </value>
        </values>
      </ddeItem>
      <ddeItem name="KGFB1.224" advise="1">
        <values>
          <value t="str">
            <val>-</val>
          </value>
        </values>
      </ddeItem>
      <ddeItem name="KGFB1.225" advise="1">
        <values>
          <value t="str">
            <val>-</val>
          </value>
        </values>
      </ddeItem>
      <ddeItem name="KGFB1.231" advise="1">
        <values>
          <value t="str">
            <val>-</val>
          </value>
        </values>
      </ddeItem>
      <ddeItem name="KGFB1.232" advise="1">
        <values>
          <value t="str">
            <val>-</val>
          </value>
        </values>
      </ddeItem>
      <ddeItem name="KGFB1.233" advise="1">
        <values>
          <value t="str">
            <val>-</val>
          </value>
        </values>
      </ddeItem>
      <ddeItem name="KGFB1.234" advise="1">
        <values>
          <value t="str">
            <val>-</val>
          </value>
        </values>
      </ddeItem>
      <ddeItem name="KGFB1.235" advise="1">
        <values>
          <value t="str">
            <val>-</val>
          </value>
        </values>
      </ddeItem>
      <ddeItem name="KGFB1.402" advise="1">
        <values>
          <value t="str">
            <val>加權指數</val>
          </value>
        </values>
      </ddeItem>
      <ddeItem name="KGFB1.406" advise="1">
        <values>
          <value t="str">
            <val xml:space="preserve"> -</val>
          </value>
        </values>
      </ddeItem>
      <ddeItem name="KGFB1.407" advise="1">
        <values>
          <value t="str">
            <val xml:space="preserve"> -</val>
          </value>
        </values>
      </ddeItem>
      <ddeItem name="KGFB1.431" advise="1">
        <values>
          <value t="str">
            <val>-</val>
          </value>
        </values>
      </ddeItem>
      <ddeItem name="KGFB1.437" advise="1">
        <values>
          <value t="str">
            <val xml:space="preserve"> -</val>
          </value>
        </values>
      </ddeItem>
      <ddeItem name="KIFB1.123" advise="1">
        <values>
          <value>
            <val>100135</val>
          </value>
        </values>
      </ddeItem>
      <ddeItem name="KIFB1.124" advise="1">
        <values>
          <value>
            <val>16424.64</val>
          </value>
        </values>
      </ddeItem>
      <ddeItem name="KIFB1.125" advise="1">
        <values>
          <value>
            <val>-18.760000000000002</val>
          </value>
        </values>
      </ddeItem>
      <ddeItem name="KIFB1.128" advise="1">
        <values>
          <value>
            <val>1648</val>
          </value>
        </values>
      </ddeItem>
      <ddeItem name="KIFB1.130" advise="1">
        <values>
          <value>
            <val>16329.54</val>
          </value>
        </values>
      </ddeItem>
      <ddeItem name="KIFB1.131" advise="1">
        <values>
          <value>
            <val>16456.939999999999</val>
          </value>
        </values>
      </ddeItem>
      <ddeItem name="KIFB1.132" advise="1">
        <values>
          <value>
            <val>16329.54</val>
          </value>
        </values>
      </ddeItem>
      <ddeItem name="KIFB1.133" advise="1">
        <values>
          <value>
            <val>4020107</val>
          </value>
        </values>
      </ddeItem>
      <ddeItem name="KIFB1.135" advise="1">
        <values>
          <value t="str">
            <val xml:space="preserve"> -</val>
          </value>
        </values>
      </ddeItem>
      <ddeItem name="KIFB1.136" advise="1">
        <values>
          <value t="str">
            <val xml:space="preserve"> -</val>
          </value>
        </values>
      </ddeItem>
      <ddeItem name="KIFB1.201" advise="1">
        <values>
          <value t="str">
            <val xml:space="preserve"> -</val>
          </value>
        </values>
      </ddeItem>
      <ddeItem name="KIFB1.202" advise="1">
        <values>
          <value t="str">
            <val xml:space="preserve"> -</val>
          </value>
        </values>
      </ddeItem>
      <ddeItem name="KIFB1.203" advise="1">
        <values>
          <value t="str">
            <val xml:space="preserve"> -</val>
          </value>
        </values>
      </ddeItem>
      <ddeItem name="KIFB1.204" advise="1">
        <values>
          <value t="str">
            <val xml:space="preserve"> -</val>
          </value>
        </values>
      </ddeItem>
      <ddeItem name="KIFB1.205" advise="1">
        <values>
          <value t="str">
            <val xml:space="preserve"> -</val>
          </value>
        </values>
      </ddeItem>
      <ddeItem name="KIFB1.211" advise="1">
        <values>
          <value t="str">
            <val xml:space="preserve"> -</val>
          </value>
        </values>
      </ddeItem>
      <ddeItem name="KIFB1.212" advise="1">
        <values>
          <value t="str">
            <val xml:space="preserve"> -</val>
          </value>
        </values>
      </ddeItem>
      <ddeItem name="KIFB1.213" advise="1">
        <values>
          <value t="str">
            <val xml:space="preserve"> -</val>
          </value>
        </values>
      </ddeItem>
      <ddeItem name="KIFB1.214" advise="1">
        <values>
          <value t="str">
            <val xml:space="preserve"> -</val>
          </value>
        </values>
      </ddeItem>
      <ddeItem name="KIFB1.215" advise="1">
        <values>
          <value t="str">
            <val xml:space="preserve"> -</val>
          </value>
        </values>
      </ddeItem>
      <ddeItem name="KIFB1.221" advise="1">
        <values>
          <value t="str">
            <val>-</val>
          </value>
        </values>
      </ddeItem>
      <ddeItem name="KIFB1.222" advise="1">
        <values>
          <value t="str">
            <val>-</val>
          </value>
        </values>
      </ddeItem>
      <ddeItem name="KIFB1.223" advise="1">
        <values>
          <value t="str">
            <val>-</val>
          </value>
        </values>
      </ddeItem>
      <ddeItem name="KIFB1.224" advise="1">
        <values>
          <value t="str">
            <val>-</val>
          </value>
        </values>
      </ddeItem>
      <ddeItem name="KIFB1.225" advise="1">
        <values>
          <value t="str">
            <val>-</val>
          </value>
        </values>
      </ddeItem>
      <ddeItem name="KIFB1.231" advise="1">
        <values>
          <value t="str">
            <val>-</val>
          </value>
        </values>
      </ddeItem>
      <ddeItem name="KIFB1.232" advise="1">
        <values>
          <value t="str">
            <val>-</val>
          </value>
        </values>
      </ddeItem>
      <ddeItem name="KIFB1.233" advise="1">
        <values>
          <value t="str">
            <val>-</val>
          </value>
        </values>
      </ddeItem>
      <ddeItem name="KIFB1.234" advise="1">
        <values>
          <value t="str">
            <val>-</val>
          </value>
        </values>
      </ddeItem>
      <ddeItem name="KIFB1.235" advise="1">
        <values>
          <value t="str">
            <val>-</val>
          </value>
        </values>
      </ddeItem>
      <ddeItem name="KIFB1.402" advise="1">
        <values>
          <value t="str">
            <val>加權指數</val>
          </value>
        </values>
      </ddeItem>
      <ddeItem name="KIFB1.406" advise="1">
        <values>
          <value t="str">
            <val xml:space="preserve"> -</val>
          </value>
        </values>
      </ddeItem>
      <ddeItem name="KIFB1.407" advise="1">
        <values>
          <value t="str">
            <val xml:space="preserve"> -</val>
          </value>
        </values>
      </ddeItem>
      <ddeItem name="KIFB1.431" advise="1">
        <values>
          <value t="str">
            <val>-</val>
          </value>
        </values>
      </ddeItem>
      <ddeItem name="KIFB1.437" advise="1">
        <values>
          <value t="str">
            <val xml:space="preserve"> -</val>
          </value>
        </values>
      </ddeItem>
      <ddeItem name="KKFB1.123" advise="1">
        <values>
          <value>
            <val>100130</val>
          </value>
        </values>
      </ddeItem>
      <ddeItem name="KKFB1.124" advise="1">
        <values>
          <value>
            <val>16422.080000000002</val>
          </value>
        </values>
      </ddeItem>
      <ddeItem name="KKFB1.125" advise="1">
        <values>
          <value>
            <val>-21.32</val>
          </value>
        </values>
      </ddeItem>
      <ddeItem name="KKFB1.128" advise="1">
        <values>
          <value>
            <val>3347</val>
          </value>
        </values>
      </ddeItem>
      <ddeItem name="KKFB1.130" advise="1">
        <values>
          <value>
            <val>16329.54</val>
          </value>
        </values>
      </ddeItem>
      <ddeItem name="KKFB1.131" advise="1">
        <values>
          <value>
            <val>16456.939999999999</val>
          </value>
        </values>
      </ddeItem>
      <ddeItem name="KKFB1.132" advise="1">
        <values>
          <value>
            <val>16329.54</val>
          </value>
        </values>
      </ddeItem>
      <ddeItem name="KKFB1.133" advise="1">
        <values>
          <value>
            <val>4018459</val>
          </value>
        </values>
      </ddeItem>
      <ddeItem name="KKFB1.135" advise="1">
        <values>
          <value t="str">
            <val xml:space="preserve"> -</val>
          </value>
        </values>
      </ddeItem>
      <ddeItem name="KKFB1.136" advise="1">
        <values>
          <value t="str">
            <val xml:space="preserve"> -</val>
          </value>
        </values>
      </ddeItem>
      <ddeItem name="KKFB1.201" advise="1">
        <values>
          <value t="str">
            <val xml:space="preserve"> -</val>
          </value>
        </values>
      </ddeItem>
      <ddeItem name="KKFB1.202" advise="1">
        <values>
          <value t="str">
            <val xml:space="preserve"> -</val>
          </value>
        </values>
      </ddeItem>
      <ddeItem name="KKFB1.203" advise="1">
        <values>
          <value t="str">
            <val xml:space="preserve"> -</val>
          </value>
        </values>
      </ddeItem>
      <ddeItem name="KKFB1.204" advise="1">
        <values>
          <value t="str">
            <val xml:space="preserve"> -</val>
          </value>
        </values>
      </ddeItem>
      <ddeItem name="KKFB1.205" advise="1">
        <values>
          <value t="str">
            <val xml:space="preserve"> -</val>
          </value>
        </values>
      </ddeItem>
      <ddeItem name="KKFB1.211" advise="1">
        <values>
          <value t="str">
            <val xml:space="preserve"> -</val>
          </value>
        </values>
      </ddeItem>
      <ddeItem name="KKFB1.212" advise="1">
        <values>
          <value t="str">
            <val xml:space="preserve"> -</val>
          </value>
        </values>
      </ddeItem>
      <ddeItem name="KKFB1.213" advise="1">
        <values>
          <value t="str">
            <val xml:space="preserve"> -</val>
          </value>
        </values>
      </ddeItem>
      <ddeItem name="KKFB1.214" advise="1">
        <values>
          <value t="str">
            <val xml:space="preserve"> -</val>
          </value>
        </values>
      </ddeItem>
      <ddeItem name="KKFB1.215" advise="1">
        <values>
          <value t="str">
            <val xml:space="preserve"> -</val>
          </value>
        </values>
      </ddeItem>
      <ddeItem name="KKFB1.221" advise="1">
        <values>
          <value t="str">
            <val>-</val>
          </value>
        </values>
      </ddeItem>
      <ddeItem name="KKFB1.222" advise="1">
        <values>
          <value t="str">
            <val>-</val>
          </value>
        </values>
      </ddeItem>
      <ddeItem name="KKFB1.223" advise="1">
        <values>
          <value t="str">
            <val>-</val>
          </value>
        </values>
      </ddeItem>
      <ddeItem name="KKFB1.224" advise="1">
        <values>
          <value t="str">
            <val>-</val>
          </value>
        </values>
      </ddeItem>
      <ddeItem name="KKFB1.225" advise="1">
        <values>
          <value t="str">
            <val>-</val>
          </value>
        </values>
      </ddeItem>
      <ddeItem name="KKFB1.231" advise="1">
        <values>
          <value t="str">
            <val>-</val>
          </value>
        </values>
      </ddeItem>
      <ddeItem name="KKFB1.232" advise="1">
        <values>
          <value t="str">
            <val>-</val>
          </value>
        </values>
      </ddeItem>
      <ddeItem name="KKFB1.233" advise="1">
        <values>
          <value t="str">
            <val>-</val>
          </value>
        </values>
      </ddeItem>
      <ddeItem name="KKFB1.234" advise="1">
        <values>
          <value t="str">
            <val>-</val>
          </value>
        </values>
      </ddeItem>
      <ddeItem name="KKFB1.235" advise="1">
        <values>
          <value t="str">
            <val>-</val>
          </value>
        </values>
      </ddeItem>
      <ddeItem name="KKFB1.402" advise="1">
        <values>
          <value t="str">
            <val>加權指數</val>
          </value>
        </values>
      </ddeItem>
      <ddeItem name="KKFB1.406" advise="1">
        <values>
          <value t="str">
            <val xml:space="preserve"> -</val>
          </value>
        </values>
      </ddeItem>
      <ddeItem name="KKFB1.407" advise="1">
        <values>
          <value t="str">
            <val xml:space="preserve"> -</val>
          </value>
        </values>
      </ddeItem>
      <ddeItem name="KKFB1.431" advise="1">
        <values>
          <value t="str">
            <val>-</val>
          </value>
        </values>
      </ddeItem>
      <ddeItem name="KKFB1.437" advise="1">
        <values>
          <value t="str">
            <val xml:space="preserve"> -</val>
          </value>
        </values>
      </ddeItem>
      <ddeItem name="KLFB1.123" advise="1">
        <values>
          <value>
            <val>100130</val>
          </value>
        </values>
      </ddeItem>
      <ddeItem name="KLFB1.124" advise="1">
        <values>
          <value>
            <val>16422.080000000002</val>
          </value>
        </values>
      </ddeItem>
      <ddeItem name="KLFB1.125" advise="1">
        <values>
          <value>
            <val>-21.32</val>
          </value>
        </values>
      </ddeItem>
      <ddeItem name="KLFB1.128" advise="1">
        <values>
          <value>
            <val>3347</val>
          </value>
        </values>
      </ddeItem>
      <ddeItem name="KLFB1.130" advise="1">
        <values>
          <value>
            <val>16329.54</val>
          </value>
        </values>
      </ddeItem>
      <ddeItem name="KLFB1.131" advise="1">
        <values>
          <value>
            <val>16456.939999999999</val>
          </value>
        </values>
      </ddeItem>
      <ddeItem name="KLFB1.132" advise="1">
        <values>
          <value>
            <val>16329.54</val>
          </value>
        </values>
      </ddeItem>
      <ddeItem name="KLFB1.133" advise="1">
        <values>
          <value>
            <val>4018459</val>
          </value>
        </values>
      </ddeItem>
      <ddeItem name="KLFB1.135" advise="1">
        <values>
          <value t="str">
            <val xml:space="preserve"> -</val>
          </value>
        </values>
      </ddeItem>
      <ddeItem name="KLFB1.136" advise="1">
        <values>
          <value t="str">
            <val xml:space="preserve"> -</val>
          </value>
        </values>
      </ddeItem>
      <ddeItem name="KLFB1.201" advise="1">
        <values>
          <value t="str">
            <val xml:space="preserve"> -</val>
          </value>
        </values>
      </ddeItem>
      <ddeItem name="KLFB1.202" advise="1">
        <values>
          <value t="str">
            <val xml:space="preserve"> -</val>
          </value>
        </values>
      </ddeItem>
      <ddeItem name="KLFB1.203" advise="1">
        <values>
          <value t="str">
            <val xml:space="preserve"> -</val>
          </value>
        </values>
      </ddeItem>
      <ddeItem name="KLFB1.204" advise="1">
        <values>
          <value t="str">
            <val xml:space="preserve"> -</val>
          </value>
        </values>
      </ddeItem>
      <ddeItem name="KLFB1.205" advise="1">
        <values>
          <value t="str">
            <val xml:space="preserve"> -</val>
          </value>
        </values>
      </ddeItem>
      <ddeItem name="KLFB1.211" advise="1">
        <values>
          <value t="str">
            <val xml:space="preserve"> -</val>
          </value>
        </values>
      </ddeItem>
      <ddeItem name="KLFB1.212" advise="1">
        <values>
          <value t="str">
            <val xml:space="preserve"> -</val>
          </value>
        </values>
      </ddeItem>
      <ddeItem name="KLFB1.213" advise="1">
        <values>
          <value t="str">
            <val xml:space="preserve"> -</val>
          </value>
        </values>
      </ddeItem>
      <ddeItem name="KLFB1.214" advise="1">
        <values>
          <value t="str">
            <val xml:space="preserve"> -</val>
          </value>
        </values>
      </ddeItem>
      <ddeItem name="KLFB1.215" advise="1">
        <values>
          <value t="str">
            <val xml:space="preserve"> -</val>
          </value>
        </values>
      </ddeItem>
      <ddeItem name="KLFB1.221" advise="1">
        <values>
          <value t="str">
            <val>-</val>
          </value>
        </values>
      </ddeItem>
      <ddeItem name="KLFB1.222" advise="1">
        <values>
          <value t="str">
            <val>-</val>
          </value>
        </values>
      </ddeItem>
      <ddeItem name="KLFB1.223" advise="1">
        <values>
          <value t="str">
            <val>-</val>
          </value>
        </values>
      </ddeItem>
      <ddeItem name="KLFB1.224" advise="1">
        <values>
          <value t="str">
            <val>-</val>
          </value>
        </values>
      </ddeItem>
      <ddeItem name="KLFB1.225" advise="1">
        <values>
          <value t="str">
            <val>-</val>
          </value>
        </values>
      </ddeItem>
      <ddeItem name="KLFB1.231" advise="1">
        <values>
          <value t="str">
            <val>-</val>
          </value>
        </values>
      </ddeItem>
      <ddeItem name="KLFB1.232" advise="1">
        <values>
          <value t="str">
            <val>-</val>
          </value>
        </values>
      </ddeItem>
      <ddeItem name="KLFB1.233" advise="1">
        <values>
          <value t="str">
            <val>-</val>
          </value>
        </values>
      </ddeItem>
      <ddeItem name="KLFB1.234" advise="1">
        <values>
          <value t="str">
            <val>-</val>
          </value>
        </values>
      </ddeItem>
      <ddeItem name="KLFB1.235" advise="1">
        <values>
          <value t="str">
            <val>-</val>
          </value>
        </values>
      </ddeItem>
      <ddeItem name="KLFB1.402" advise="1">
        <values>
          <value t="str">
            <val>加權指數</val>
          </value>
        </values>
      </ddeItem>
      <ddeItem name="KLFB1.406" advise="1">
        <values>
          <value t="str">
            <val xml:space="preserve"> -</val>
          </value>
        </values>
      </ddeItem>
      <ddeItem name="KLFB1.407" advise="1">
        <values>
          <value t="str">
            <val xml:space="preserve"> -</val>
          </value>
        </values>
      </ddeItem>
      <ddeItem name="KLFB1.431" advise="1">
        <values>
          <value t="str">
            <val>-</val>
          </value>
        </values>
      </ddeItem>
      <ddeItem name="KLFB1.437" advise="1">
        <values>
          <value t="str">
            <val xml:space="preserve"> -</val>
          </value>
        </values>
      </ddeItem>
      <ddeItem name="KOFB1.123" advise="1">
        <values>
          <value>
            <val>100150</val>
          </value>
        </values>
      </ddeItem>
      <ddeItem name="KOFB1.124" advise="1">
        <values>
          <value>
            <val>16421.62</val>
          </value>
        </values>
      </ddeItem>
      <ddeItem name="KOFB1.125" advise="1">
        <values>
          <value>
            <val>-21.78</val>
          </value>
        </values>
      </ddeItem>
      <ddeItem name="KOFB1.128" advise="1">
        <values>
          <value>
            <val>2439</val>
          </value>
        </values>
      </ddeItem>
      <ddeItem name="KOFB1.130" advise="1">
        <values>
          <value>
            <val>16329.54</val>
          </value>
        </values>
      </ddeItem>
      <ddeItem name="KOFB1.131" advise="1">
        <values>
          <value>
            <val>16456.939999999999</val>
          </value>
        </values>
      </ddeItem>
      <ddeItem name="KOFB1.132" advise="1">
        <values>
          <value>
            <val>16329.54</val>
          </value>
        </values>
      </ddeItem>
      <ddeItem name="KOFB1.133" advise="1">
        <values>
          <value>
            <val>4027056</val>
          </value>
        </values>
      </ddeItem>
      <ddeItem name="KOFB1.135" advise="1">
        <values>
          <value t="str">
            <val xml:space="preserve"> -</val>
          </value>
        </values>
      </ddeItem>
      <ddeItem name="KOFB1.136" advise="1">
        <values>
          <value t="str">
            <val xml:space="preserve"> -</val>
          </value>
        </values>
      </ddeItem>
      <ddeItem name="KOFB1.201" advise="1">
        <values>
          <value t="str">
            <val xml:space="preserve"> -</val>
          </value>
        </values>
      </ddeItem>
      <ddeItem name="KOFB1.202" advise="1">
        <values>
          <value t="str">
            <val xml:space="preserve"> -</val>
          </value>
        </values>
      </ddeItem>
      <ddeItem name="KOFB1.203" advise="1">
        <values>
          <value t="str">
            <val xml:space="preserve"> -</val>
          </value>
        </values>
      </ddeItem>
      <ddeItem name="KOFB1.204" advise="1">
        <values>
          <value t="str">
            <val xml:space="preserve"> -</val>
          </value>
        </values>
      </ddeItem>
      <ddeItem name="KOFB1.205" advise="1">
        <values>
          <value t="str">
            <val xml:space="preserve"> -</val>
          </value>
        </values>
      </ddeItem>
      <ddeItem name="KOFB1.211" advise="1">
        <values>
          <value t="str">
            <val xml:space="preserve"> -</val>
          </value>
        </values>
      </ddeItem>
      <ddeItem name="KOFB1.212" advise="1">
        <values>
          <value t="str">
            <val xml:space="preserve"> -</val>
          </value>
        </values>
      </ddeItem>
      <ddeItem name="KOFB1.213" advise="1">
        <values>
          <value t="str">
            <val xml:space="preserve"> -</val>
          </value>
        </values>
      </ddeItem>
      <ddeItem name="KOFB1.214" advise="1">
        <values>
          <value t="str">
            <val xml:space="preserve"> -</val>
          </value>
        </values>
      </ddeItem>
      <ddeItem name="KOFB1.215" advise="1">
        <values>
          <value t="str">
            <val xml:space="preserve"> -</val>
          </value>
        </values>
      </ddeItem>
      <ddeItem name="KOFB1.221" advise="1">
        <values>
          <value t="str">
            <val>-</val>
          </value>
        </values>
      </ddeItem>
      <ddeItem name="KOFB1.222" advise="1">
        <values>
          <value t="str">
            <val>-</val>
          </value>
        </values>
      </ddeItem>
      <ddeItem name="KOFB1.223" advise="1">
        <values>
          <value t="str">
            <val>-</val>
          </value>
        </values>
      </ddeItem>
      <ddeItem name="KOFB1.224" advise="1">
        <values>
          <value t="str">
            <val>-</val>
          </value>
        </values>
      </ddeItem>
      <ddeItem name="KOFB1.225" advise="1">
        <values>
          <value t="str">
            <val>-</val>
          </value>
        </values>
      </ddeItem>
      <ddeItem name="KOFB1.231" advise="1">
        <values>
          <value t="str">
            <val>-</val>
          </value>
        </values>
      </ddeItem>
      <ddeItem name="KOFB1.232" advise="1">
        <values>
          <value t="str">
            <val>-</val>
          </value>
        </values>
      </ddeItem>
      <ddeItem name="KOFB1.233" advise="1">
        <values>
          <value t="str">
            <val>-</val>
          </value>
        </values>
      </ddeItem>
      <ddeItem name="KOFB1.234" advise="1">
        <values>
          <value t="str">
            <val>-</val>
          </value>
        </values>
      </ddeItem>
      <ddeItem name="KOFB1.235" advise="1">
        <values>
          <value t="str">
            <val>-</val>
          </value>
        </values>
      </ddeItem>
      <ddeItem name="KOFB1.402" advise="1">
        <values>
          <value t="str">
            <val>加權指數</val>
          </value>
        </values>
      </ddeItem>
      <ddeItem name="KOFB1.406" advise="1">
        <values>
          <value t="str">
            <val xml:space="preserve"> -</val>
          </value>
        </values>
      </ddeItem>
      <ddeItem name="KOFB1.407" advise="1">
        <values>
          <value t="str">
            <val xml:space="preserve"> -</val>
          </value>
        </values>
      </ddeItem>
      <ddeItem name="KOFB1.431" advise="1">
        <values>
          <value t="str">
            <val>-</val>
          </value>
        </values>
      </ddeItem>
      <ddeItem name="KOFB1.437" advise="1">
        <values>
          <value t="str">
            <val xml:space="preserve"> -</val>
          </value>
        </values>
      </ddeItem>
      <ddeItem name="KPFB1.123" advise="1">
        <values>
          <value>
            <val>100150</val>
          </value>
        </values>
      </ddeItem>
      <ddeItem name="KPFB1.124" advise="1">
        <values>
          <value>
            <val>16421.62</val>
          </value>
        </values>
      </ddeItem>
      <ddeItem name="KPFB1.125" advise="1">
        <values>
          <value>
            <val>-21.78</val>
          </value>
        </values>
      </ddeItem>
      <ddeItem name="KPFB1.128" advise="1">
        <values>
          <value>
            <val>2439</val>
          </value>
        </values>
      </ddeItem>
      <ddeItem name="KPFB1.130" advise="1">
        <values>
          <value>
            <val>16329.54</val>
          </value>
        </values>
      </ddeItem>
      <ddeItem name="KPFB1.131" advise="1">
        <values>
          <value>
            <val>16456.939999999999</val>
          </value>
        </values>
      </ddeItem>
      <ddeItem name="KPFB1.132" advise="1">
        <values>
          <value>
            <val>16329.54</val>
          </value>
        </values>
      </ddeItem>
      <ddeItem name="KPFB1.133" advise="1">
        <values>
          <value>
            <val>4027056</val>
          </value>
        </values>
      </ddeItem>
      <ddeItem name="KPFB1.135" advise="1">
        <values>
          <value t="str">
            <val xml:space="preserve"> -</val>
          </value>
        </values>
      </ddeItem>
      <ddeItem name="KPFB1.136" advise="1">
        <values>
          <value t="str">
            <val xml:space="preserve"> -</val>
          </value>
        </values>
      </ddeItem>
      <ddeItem name="KPFB1.201" advise="1">
        <values>
          <value t="str">
            <val xml:space="preserve"> -</val>
          </value>
        </values>
      </ddeItem>
      <ddeItem name="KPFB1.202" advise="1">
        <values>
          <value t="str">
            <val xml:space="preserve"> -</val>
          </value>
        </values>
      </ddeItem>
      <ddeItem name="KPFB1.203" advise="1">
        <values>
          <value t="str">
            <val xml:space="preserve"> -</val>
          </value>
        </values>
      </ddeItem>
      <ddeItem name="KPFB1.204" advise="1">
        <values>
          <value t="str">
            <val xml:space="preserve"> -</val>
          </value>
        </values>
      </ddeItem>
      <ddeItem name="KPFB1.205" advise="1">
        <values>
          <value t="str">
            <val xml:space="preserve"> -</val>
          </value>
        </values>
      </ddeItem>
      <ddeItem name="KPFB1.211" advise="1">
        <values>
          <value t="str">
            <val xml:space="preserve"> -</val>
          </value>
        </values>
      </ddeItem>
      <ddeItem name="KPFB1.212" advise="1">
        <values>
          <value t="str">
            <val xml:space="preserve"> -</val>
          </value>
        </values>
      </ddeItem>
      <ddeItem name="KPFB1.213" advise="1">
        <values>
          <value t="str">
            <val xml:space="preserve"> -</val>
          </value>
        </values>
      </ddeItem>
      <ddeItem name="KPFB1.214" advise="1">
        <values>
          <value t="str">
            <val xml:space="preserve"> -</val>
          </value>
        </values>
      </ddeItem>
      <ddeItem name="KPFB1.215" advise="1">
        <values>
          <value t="str">
            <val xml:space="preserve"> -</val>
          </value>
        </values>
      </ddeItem>
      <ddeItem name="KPFB1.221" advise="1">
        <values>
          <value t="str">
            <val>-</val>
          </value>
        </values>
      </ddeItem>
      <ddeItem name="KPFB1.222" advise="1">
        <values>
          <value t="str">
            <val>-</val>
          </value>
        </values>
      </ddeItem>
      <ddeItem name="KPFB1.223" advise="1">
        <values>
          <value t="str">
            <val>-</val>
          </value>
        </values>
      </ddeItem>
      <ddeItem name="KPFB1.224" advise="1">
        <values>
          <value t="str">
            <val>-</val>
          </value>
        </values>
      </ddeItem>
      <ddeItem name="KPFB1.225" advise="1">
        <values>
          <value t="str">
            <val>-</val>
          </value>
        </values>
      </ddeItem>
      <ddeItem name="KPFB1.231" advise="1">
        <values>
          <value t="str">
            <val>-</val>
          </value>
        </values>
      </ddeItem>
      <ddeItem name="KPFB1.232" advise="1">
        <values>
          <value t="str">
            <val>-</val>
          </value>
        </values>
      </ddeItem>
      <ddeItem name="KPFB1.233" advise="1">
        <values>
          <value t="str">
            <val>-</val>
          </value>
        </values>
      </ddeItem>
      <ddeItem name="KPFB1.234" advise="1">
        <values>
          <value t="str">
            <val>-</val>
          </value>
        </values>
      </ddeItem>
      <ddeItem name="KPFB1.235" advise="1">
        <values>
          <value t="str">
            <val>-</val>
          </value>
        </values>
      </ddeItem>
      <ddeItem name="KPFB1.402" advise="1">
        <values>
          <value t="str">
            <val>加權指數</val>
          </value>
        </values>
      </ddeItem>
      <ddeItem name="KPFB1.406" advise="1">
        <values>
          <value t="str">
            <val xml:space="preserve"> -</val>
          </value>
        </values>
      </ddeItem>
      <ddeItem name="KPFB1.407" advise="1">
        <values>
          <value t="str">
            <val xml:space="preserve"> -</val>
          </value>
        </values>
      </ddeItem>
      <ddeItem name="KPFB1.431" advise="1">
        <values>
          <value t="str">
            <val>-</val>
          </value>
        </values>
      </ddeItem>
      <ddeItem name="KPFB1.437" advise="1">
        <values>
          <value t="str">
            <val xml:space="preserve"> -</val>
          </value>
        </values>
      </ddeItem>
      <ddeItem name="KS1B1.123" advise="1">
        <values>
          <value>
            <val>100140</val>
          </value>
        </values>
      </ddeItem>
      <ddeItem name="KS1B1.124" advise="1">
        <values>
          <value>
            <val>16428.68</val>
          </value>
        </values>
      </ddeItem>
      <ddeItem name="KS1B1.125" advise="1">
        <values>
          <value>
            <val>-14.72</val>
          </value>
        </values>
      </ddeItem>
      <ddeItem name="KS1B1.128" advise="1">
        <values>
          <value>
            <val>2686</val>
          </value>
        </values>
      </ddeItem>
      <ddeItem name="KS1B1.130" advise="1">
        <values>
          <value>
            <val>16329.54</val>
          </value>
        </values>
      </ddeItem>
      <ddeItem name="KS1B1.131" advise="1">
        <values>
          <value>
            <val>16456.939999999999</val>
          </value>
        </values>
      </ddeItem>
      <ddeItem name="KS1B1.132" advise="1">
        <values>
          <value>
            <val>16329.54</val>
          </value>
        </values>
      </ddeItem>
      <ddeItem name="KS1B1.133" advise="1">
        <values>
          <value>
            <val>4022793</val>
          </value>
        </values>
      </ddeItem>
      <ddeItem name="KS1B1.135" advise="1">
        <values>
          <value t="str">
            <val xml:space="preserve"> -</val>
          </value>
        </values>
      </ddeItem>
      <ddeItem name="KS1B1.136" advise="1">
        <values>
          <value t="str">
            <val xml:space="preserve"> -</val>
          </value>
        </values>
      </ddeItem>
      <ddeItem name="KS1B1.201" advise="1">
        <values>
          <value t="str">
            <val xml:space="preserve"> -</val>
          </value>
        </values>
      </ddeItem>
      <ddeItem name="KS1B1.202" advise="1">
        <values>
          <value t="str">
            <val xml:space="preserve"> -</val>
          </value>
        </values>
      </ddeItem>
      <ddeItem name="KS1B1.203" advise="1">
        <values>
          <value t="str">
            <val xml:space="preserve"> -</val>
          </value>
        </values>
      </ddeItem>
      <ddeItem name="KS1B1.204" advise="1">
        <values>
          <value t="str">
            <val xml:space="preserve"> -</val>
          </value>
        </values>
      </ddeItem>
      <ddeItem name="KS1B1.205" advise="1">
        <values>
          <value t="str">
            <val xml:space="preserve"> -</val>
          </value>
        </values>
      </ddeItem>
      <ddeItem name="KS1B1.211" advise="1">
        <values>
          <value t="str">
            <val xml:space="preserve"> -</val>
          </value>
        </values>
      </ddeItem>
      <ddeItem name="KS1B1.212" advise="1">
        <values>
          <value t="str">
            <val xml:space="preserve"> -</val>
          </value>
        </values>
      </ddeItem>
      <ddeItem name="KS1B1.213" advise="1">
        <values>
          <value t="str">
            <val xml:space="preserve"> -</val>
          </value>
        </values>
      </ddeItem>
      <ddeItem name="KS1B1.214" advise="1">
        <values>
          <value t="str">
            <val xml:space="preserve"> -</val>
          </value>
        </values>
      </ddeItem>
      <ddeItem name="KS1B1.215" advise="1">
        <values>
          <value t="str">
            <val xml:space="preserve"> -</val>
          </value>
        </values>
      </ddeItem>
      <ddeItem name="KS1B1.221" advise="1">
        <values>
          <value t="str">
            <val>-</val>
          </value>
        </values>
      </ddeItem>
      <ddeItem name="KS1B1.222" advise="1">
        <values>
          <value t="str">
            <val>-</val>
          </value>
        </values>
      </ddeItem>
      <ddeItem name="KS1B1.223" advise="1">
        <values>
          <value t="str">
            <val>-</val>
          </value>
        </values>
      </ddeItem>
      <ddeItem name="KS1B1.224" advise="1">
        <values>
          <value t="str">
            <val>-</val>
          </value>
        </values>
      </ddeItem>
      <ddeItem name="KS1B1.225" advise="1">
        <values>
          <value t="str">
            <val>-</val>
          </value>
        </values>
      </ddeItem>
      <ddeItem name="KS1B1.231" advise="1">
        <values>
          <value t="str">
            <val>-</val>
          </value>
        </values>
      </ddeItem>
      <ddeItem name="KS1B1.232" advise="1">
        <values>
          <value t="str">
            <val>-</val>
          </value>
        </values>
      </ddeItem>
      <ddeItem name="KS1B1.233" advise="1">
        <values>
          <value t="str">
            <val>-</val>
          </value>
        </values>
      </ddeItem>
      <ddeItem name="KS1B1.234" advise="1">
        <values>
          <value t="str">
            <val>-</val>
          </value>
        </values>
      </ddeItem>
      <ddeItem name="KS1B1.235" advise="1">
        <values>
          <value t="str">
            <val>-</val>
          </value>
        </values>
      </ddeItem>
      <ddeItem name="KS1B1.402" advise="1">
        <values>
          <value t="str">
            <val>加權指數</val>
          </value>
        </values>
      </ddeItem>
      <ddeItem name="KS1B1.406" advise="1">
        <values>
          <value t="str">
            <val xml:space="preserve"> -</val>
          </value>
        </values>
      </ddeItem>
      <ddeItem name="KS1B1.407" advise="1">
        <values>
          <value t="str">
            <val xml:space="preserve"> -</val>
          </value>
        </values>
      </ddeItem>
      <ddeItem name="KS1B1.431" advise="1">
        <values>
          <value t="str">
            <val>-</val>
          </value>
        </values>
      </ddeItem>
      <ddeItem name="KS1B1.437" advise="1">
        <values>
          <value t="str">
            <val xml:space="preserve"> -</val>
          </value>
        </values>
      </ddeItem>
      <ddeItem name="KSFB1.123" advise="1">
        <values>
          <value>
            <val>100145</val>
          </value>
        </values>
      </ddeItem>
      <ddeItem name="KSFB1.124" advise="1">
        <values>
          <value>
            <val>16422.560000000001</val>
          </value>
        </values>
      </ddeItem>
      <ddeItem name="KSFB1.125" advise="1">
        <values>
          <value>
            <val>-20.84</val>
          </value>
        </values>
      </ddeItem>
      <ddeItem name="KSFB1.128" advise="1">
        <values>
          <value>
            <val>1824</val>
          </value>
        </values>
      </ddeItem>
      <ddeItem name="KSFB1.130" advise="1">
        <values>
          <value>
            <val>16329.54</val>
          </value>
        </values>
      </ddeItem>
      <ddeItem name="KSFB1.131" advise="1">
        <values>
          <value>
            <val>16456.939999999999</val>
          </value>
        </values>
      </ddeItem>
      <ddeItem name="KSFB1.132" advise="1">
        <values>
          <value>
            <val>16329.54</val>
          </value>
        </values>
      </ddeItem>
      <ddeItem name="KSFB1.133" advise="1">
        <values>
          <value>
            <val>4024617</val>
          </value>
        </values>
      </ddeItem>
      <ddeItem name="KSFB1.135" advise="1">
        <values>
          <value t="str">
            <val xml:space="preserve"> -</val>
          </value>
        </values>
      </ddeItem>
      <ddeItem name="KSFB1.136" advise="1">
        <values>
          <value t="str">
            <val xml:space="preserve"> -</val>
          </value>
        </values>
      </ddeItem>
      <ddeItem name="KSFB1.201" advise="1">
        <values>
          <value t="str">
            <val xml:space="preserve"> -</val>
          </value>
        </values>
      </ddeItem>
      <ddeItem name="KSFB1.202" advise="1">
        <values>
          <value t="str">
            <val xml:space="preserve"> -</val>
          </value>
        </values>
      </ddeItem>
      <ddeItem name="KSFB1.203" advise="1">
        <values>
          <value t="str">
            <val xml:space="preserve"> -</val>
          </value>
        </values>
      </ddeItem>
      <ddeItem name="KSFB1.204" advise="1">
        <values>
          <value t="str">
            <val xml:space="preserve"> -</val>
          </value>
        </values>
      </ddeItem>
      <ddeItem name="KSFB1.205" advise="1">
        <values>
          <value t="str">
            <val xml:space="preserve"> -</val>
          </value>
        </values>
      </ddeItem>
      <ddeItem name="KSFB1.211" advise="1">
        <values>
          <value t="str">
            <val xml:space="preserve"> -</val>
          </value>
        </values>
      </ddeItem>
      <ddeItem name="KSFB1.212" advise="1">
        <values>
          <value t="str">
            <val xml:space="preserve"> -</val>
          </value>
        </values>
      </ddeItem>
      <ddeItem name="KSFB1.213" advise="1">
        <values>
          <value t="str">
            <val xml:space="preserve"> -</val>
          </value>
        </values>
      </ddeItem>
      <ddeItem name="KSFB1.214" advise="1">
        <values>
          <value t="str">
            <val xml:space="preserve"> -</val>
          </value>
        </values>
      </ddeItem>
      <ddeItem name="KSFB1.215" advise="1">
        <values>
          <value t="str">
            <val xml:space="preserve"> -</val>
          </value>
        </values>
      </ddeItem>
      <ddeItem name="KSFB1.221" advise="1">
        <values>
          <value t="str">
            <val>-</val>
          </value>
        </values>
      </ddeItem>
      <ddeItem name="KSFB1.222" advise="1">
        <values>
          <value t="str">
            <val>-</val>
          </value>
        </values>
      </ddeItem>
      <ddeItem name="KSFB1.223" advise="1">
        <values>
          <value t="str">
            <val>-</val>
          </value>
        </values>
      </ddeItem>
      <ddeItem name="KSFB1.224" advise="1">
        <values>
          <value t="str">
            <val>-</val>
          </value>
        </values>
      </ddeItem>
      <ddeItem name="KSFB1.225" advise="1">
        <values>
          <value t="str">
            <val>-</val>
          </value>
        </values>
      </ddeItem>
      <ddeItem name="KSFB1.231" advise="1">
        <values>
          <value t="str">
            <val>-</val>
          </value>
        </values>
      </ddeItem>
      <ddeItem name="KSFB1.232" advise="1">
        <values>
          <value t="str">
            <val>-</val>
          </value>
        </values>
      </ddeItem>
      <ddeItem name="KSFB1.233" advise="1">
        <values>
          <value t="str">
            <val>-</val>
          </value>
        </values>
      </ddeItem>
      <ddeItem name="KSFB1.234" advise="1">
        <values>
          <value t="str">
            <val>-</val>
          </value>
        </values>
      </ddeItem>
      <ddeItem name="KSFB1.235" advise="1">
        <values>
          <value t="str">
            <val>-</val>
          </value>
        </values>
      </ddeItem>
      <ddeItem name="KSFB1.402" advise="1">
        <values>
          <value t="str">
            <val>加權指數</val>
          </value>
        </values>
      </ddeItem>
      <ddeItem name="KSFB1.406" advise="1">
        <values>
          <value t="str">
            <val xml:space="preserve"> -</val>
          </value>
        </values>
      </ddeItem>
      <ddeItem name="KSFB1.407" advise="1">
        <values>
          <value t="str">
            <val xml:space="preserve"> -</val>
          </value>
        </values>
      </ddeItem>
      <ddeItem name="KSFB1.431" advise="1">
        <values>
          <value t="str">
            <val>-</val>
          </value>
        </values>
      </ddeItem>
      <ddeItem name="KSFB1.437" advise="1">
        <values>
          <value t="str">
            <val xml:space="preserve"> -</val>
          </value>
        </values>
      </ddeItem>
      <ddeItem name="KWFB1.123" advise="1">
        <values>
          <value>
            <val>0</val>
          </value>
        </values>
      </ddeItem>
      <ddeItem name="KWFB1.124" advise="1">
        <values>
          <value>
            <val>20878632</val>
          </value>
        </values>
      </ddeItem>
      <ddeItem name="KWFB1.125" advise="1">
        <values>
          <value t="str">
            <val xml:space="preserve"> </val>
          </value>
        </values>
      </ddeItem>
      <ddeItem name="KWFB1.128" advise="1">
        <values>
          <value>
            <val>1212870150</val>
          </value>
        </values>
      </ddeItem>
      <ddeItem name="KWFB1.130" advise="1">
        <values>
          <value>
            <val>20803788</val>
          </value>
        </values>
      </ddeItem>
      <ddeItem name="KWFB1.131" advise="1">
        <values>
          <value>
            <val>20804690</val>
          </value>
        </values>
      </ddeItem>
      <ddeItem name="KWFB1.132" advise="1">
        <values>
          <value>
            <val>10989732</val>
          </value>
        </values>
      </ddeItem>
      <ddeItem name="KWFB1.133" advise="1">
        <values>
          <value>
            <val>2088371110</val>
          </value>
        </values>
      </ddeItem>
      <ddeItem name="KWFB1.135" advise="1">
        <values>
          <value t="str">
            <val xml:space="preserve"> -</val>
          </value>
        </values>
      </ddeItem>
      <ddeItem name="KWFB1.136" advise="1">
        <values>
          <value t="str">
            <val xml:space="preserve"> -</val>
          </value>
        </values>
      </ddeItem>
      <ddeItem name="KWFB1.201" advise="1">
        <values>
          <value t="str">
            <val xml:space="preserve"> -</val>
          </value>
        </values>
      </ddeItem>
      <ddeItem name="KWFB1.202" advise="1">
        <values>
          <value t="str">
            <val xml:space="preserve"> -</val>
          </value>
        </values>
      </ddeItem>
      <ddeItem name="KWFB1.203" advise="1">
        <values>
          <value t="str">
            <val xml:space="preserve"> -</val>
          </value>
        </values>
      </ddeItem>
      <ddeItem name="KWFB1.204" advise="1">
        <values>
          <value t="str">
            <val xml:space="preserve"> -</val>
          </value>
        </values>
      </ddeItem>
      <ddeItem name="KWFB1.205" advise="1">
        <values>
          <value t="str">
            <val xml:space="preserve"> -</val>
          </value>
        </values>
      </ddeItem>
      <ddeItem name="KWFB1.211" advise="1">
        <values>
          <value t="str">
            <val xml:space="preserve"> -</val>
          </value>
        </values>
      </ddeItem>
      <ddeItem name="KWFB1.212" advise="1">
        <values>
          <value t="str">
            <val xml:space="preserve"> -</val>
          </value>
        </values>
      </ddeItem>
      <ddeItem name="KWFB1.213" advise="1">
        <values>
          <value t="str">
            <val xml:space="preserve"> -</val>
          </value>
        </values>
      </ddeItem>
      <ddeItem name="KWFB1.214" advise="1">
        <values>
          <value t="str">
            <val xml:space="preserve"> -</val>
          </value>
        </values>
      </ddeItem>
      <ddeItem name="KWFB1.215" advise="1">
        <values>
          <value t="str">
            <val xml:space="preserve"> -</val>
          </value>
        </values>
      </ddeItem>
      <ddeItem name="KWFB1.221" advise="1">
        <values>
          <value t="str">
            <val>-</val>
          </value>
        </values>
      </ddeItem>
      <ddeItem name="KWFB1.222" advise="1">
        <values>
          <value t="str">
            <val>-</val>
          </value>
        </values>
      </ddeItem>
      <ddeItem name="KWFB1.223" advise="1">
        <values>
          <value t="str">
            <val>-</val>
          </value>
        </values>
      </ddeItem>
      <ddeItem name="KWFB1.224" advise="1">
        <values>
          <value t="str">
            <val>-</val>
          </value>
        </values>
      </ddeItem>
      <ddeItem name="KWFB1.225" advise="1">
        <values>
          <value t="str">
            <val>-</val>
          </value>
        </values>
      </ddeItem>
      <ddeItem name="KWFB1.231" advise="1">
        <values>
          <value t="str">
            <val>-</val>
          </value>
        </values>
      </ddeItem>
      <ddeItem name="KWFB1.232" advise="1">
        <values>
          <value t="str">
            <val>-</val>
          </value>
        </values>
      </ddeItem>
      <ddeItem name="KWFB1.233" advise="1">
        <values>
          <value t="str">
            <val>-</val>
          </value>
        </values>
      </ddeItem>
      <ddeItem name="KWFB1.234" advise="1">
        <values>
          <value t="str">
            <val>-</val>
          </value>
        </values>
      </ddeItem>
      <ddeItem name="KWFB1.235" advise="1">
        <values>
          <value t="str">
            <val>-</val>
          </value>
        </values>
      </ddeItem>
      <ddeItem name="KWFB1.402" advise="1"/>
      <ddeItem name="KWFB1.406" advise="1">
        <values>
          <value t="str">
            <val xml:space="preserve"> -</val>
          </value>
        </values>
      </ddeItem>
      <ddeItem name="KWFB1.407" advise="1">
        <values>
          <value t="str">
            <val xml:space="preserve"> -</val>
          </value>
        </values>
      </ddeItem>
      <ddeItem name="KWFB1.431" advise="1">
        <values>
          <value t="str">
            <val>-</val>
          </value>
        </values>
      </ddeItem>
      <ddeItem name="KWFB1.437" advise="1">
        <values>
          <value t="str">
            <val xml:space="preserve"> -</val>
          </value>
        </values>
      </ddeItem>
      <ddeItem name="LBFB1.123" advise="1">
        <values>
          <value>
            <val>0</val>
          </value>
        </values>
      </ddeItem>
      <ddeItem name="LBFB1.124" advise="1">
        <values>
          <value>
            <val>20878632</val>
          </value>
        </values>
      </ddeItem>
      <ddeItem name="LBFB1.125" advise="1">
        <values>
          <value t="str">
            <val xml:space="preserve"> </val>
          </value>
        </values>
      </ddeItem>
      <ddeItem name="LBFB1.128" advise="1">
        <values>
          <value>
            <val>1212870150</val>
          </value>
        </values>
      </ddeItem>
      <ddeItem name="LBFB1.130" advise="1">
        <values>
          <value>
            <val>20803788</val>
          </value>
        </values>
      </ddeItem>
      <ddeItem name="LBFB1.131" advise="1">
        <values>
          <value>
            <val>20804690</val>
          </value>
        </values>
      </ddeItem>
      <ddeItem name="LBFB1.132" advise="1">
        <values>
          <value>
            <val>10989732</val>
          </value>
        </values>
      </ddeItem>
      <ddeItem name="LBFB1.133" advise="1">
        <values>
          <value>
            <val>2088371110</val>
          </value>
        </values>
      </ddeItem>
      <ddeItem name="LBFB1.135" advise="1">
        <values>
          <value t="str">
            <val xml:space="preserve"> -</val>
          </value>
        </values>
      </ddeItem>
      <ddeItem name="LBFB1.136" advise="1">
        <values>
          <value t="str">
            <val xml:space="preserve"> -</val>
          </value>
        </values>
      </ddeItem>
      <ddeItem name="LBFB1.201" advise="1">
        <values>
          <value t="str">
            <val xml:space="preserve"> -</val>
          </value>
        </values>
      </ddeItem>
      <ddeItem name="LBFB1.202" advise="1">
        <values>
          <value t="str">
            <val xml:space="preserve"> -</val>
          </value>
        </values>
      </ddeItem>
      <ddeItem name="LBFB1.203" advise="1">
        <values>
          <value t="str">
            <val xml:space="preserve"> -</val>
          </value>
        </values>
      </ddeItem>
      <ddeItem name="LBFB1.204" advise="1">
        <values>
          <value t="str">
            <val xml:space="preserve"> -</val>
          </value>
        </values>
      </ddeItem>
      <ddeItem name="LBFB1.205" advise="1">
        <values>
          <value t="str">
            <val xml:space="preserve"> -</val>
          </value>
        </values>
      </ddeItem>
      <ddeItem name="LBFB1.211" advise="1">
        <values>
          <value t="str">
            <val xml:space="preserve"> -</val>
          </value>
        </values>
      </ddeItem>
      <ddeItem name="LBFB1.212" advise="1">
        <values>
          <value t="str">
            <val xml:space="preserve"> -</val>
          </value>
        </values>
      </ddeItem>
      <ddeItem name="LBFB1.213" advise="1">
        <values>
          <value t="str">
            <val xml:space="preserve"> -</val>
          </value>
        </values>
      </ddeItem>
      <ddeItem name="LBFB1.214" advise="1">
        <values>
          <value t="str">
            <val xml:space="preserve"> -</val>
          </value>
        </values>
      </ddeItem>
      <ddeItem name="LBFB1.215" advise="1">
        <values>
          <value t="str">
            <val xml:space="preserve"> -</val>
          </value>
        </values>
      </ddeItem>
      <ddeItem name="LBFB1.221" advise="1">
        <values>
          <value t="str">
            <val>-</val>
          </value>
        </values>
      </ddeItem>
      <ddeItem name="LBFB1.222" advise="1">
        <values>
          <value t="str">
            <val>-</val>
          </value>
        </values>
      </ddeItem>
      <ddeItem name="LBFB1.223" advise="1">
        <values>
          <value t="str">
            <val>-</val>
          </value>
        </values>
      </ddeItem>
      <ddeItem name="LBFB1.224" advise="1">
        <values>
          <value t="str">
            <val>-</val>
          </value>
        </values>
      </ddeItem>
      <ddeItem name="LBFB1.225" advise="1">
        <values>
          <value t="str">
            <val>-</val>
          </value>
        </values>
      </ddeItem>
      <ddeItem name="LBFB1.231" advise="1">
        <values>
          <value t="str">
            <val>-</val>
          </value>
        </values>
      </ddeItem>
      <ddeItem name="LBFB1.232" advise="1">
        <values>
          <value t="str">
            <val>-</val>
          </value>
        </values>
      </ddeItem>
      <ddeItem name="LBFB1.233" advise="1">
        <values>
          <value t="str">
            <val>-</val>
          </value>
        </values>
      </ddeItem>
      <ddeItem name="LBFB1.234" advise="1">
        <values>
          <value t="str">
            <val>-</val>
          </value>
        </values>
      </ddeItem>
      <ddeItem name="LBFB1.235" advise="1">
        <values>
          <value t="str">
            <val>-</val>
          </value>
        </values>
      </ddeItem>
      <ddeItem name="LBFB1.402" advise="1"/>
      <ddeItem name="LBFB1.406" advise="1">
        <values>
          <value t="str">
            <val xml:space="preserve"> -</val>
          </value>
        </values>
      </ddeItem>
      <ddeItem name="LBFB1.407" advise="1">
        <values>
          <value t="str">
            <val xml:space="preserve"> -</val>
          </value>
        </values>
      </ddeItem>
      <ddeItem name="LBFB1.431" advise="1">
        <values>
          <value t="str">
            <val>-</val>
          </value>
        </values>
      </ddeItem>
      <ddeItem name="LBFB1.437" advise="1">
        <values>
          <value t="str">
            <val xml:space="preserve"> -</val>
          </value>
        </values>
      </ddeItem>
      <ddeItem name="LCFB1.123" advise="1">
        <values>
          <value>
            <val>100145</val>
          </value>
        </values>
      </ddeItem>
      <ddeItem name="LCFB1.124" advise="1">
        <values>
          <value>
            <val>16422.560000000001</val>
          </value>
        </values>
      </ddeItem>
      <ddeItem name="LCFB1.125" advise="1">
        <values>
          <value>
            <val>-20.84</val>
          </value>
        </values>
      </ddeItem>
      <ddeItem name="LCFB1.128" advise="1">
        <values>
          <value>
            <val>1824</val>
          </value>
        </values>
      </ddeItem>
      <ddeItem name="LCFB1.130" advise="1">
        <values>
          <value>
            <val>16329.54</val>
          </value>
        </values>
      </ddeItem>
      <ddeItem name="LCFB1.131" advise="1">
        <values>
          <value>
            <val>16456.939999999999</val>
          </value>
        </values>
      </ddeItem>
      <ddeItem name="LCFB1.132" advise="1">
        <values>
          <value>
            <val>16329.54</val>
          </value>
        </values>
      </ddeItem>
      <ddeItem name="LCFB1.133" advise="1">
        <values>
          <value>
            <val>4024617</val>
          </value>
        </values>
      </ddeItem>
      <ddeItem name="LCFB1.135" advise="1">
        <values>
          <value t="str">
            <val xml:space="preserve"> -</val>
          </value>
        </values>
      </ddeItem>
      <ddeItem name="LCFB1.136" advise="1">
        <values>
          <value t="str">
            <val xml:space="preserve"> -</val>
          </value>
        </values>
      </ddeItem>
      <ddeItem name="LCFB1.201" advise="1">
        <values>
          <value t="str">
            <val xml:space="preserve"> -</val>
          </value>
        </values>
      </ddeItem>
      <ddeItem name="LCFB1.202" advise="1">
        <values>
          <value t="str">
            <val xml:space="preserve"> -</val>
          </value>
        </values>
      </ddeItem>
      <ddeItem name="LCFB1.203" advise="1">
        <values>
          <value t="str">
            <val xml:space="preserve"> -</val>
          </value>
        </values>
      </ddeItem>
      <ddeItem name="LCFB1.204" advise="1">
        <values>
          <value t="str">
            <val xml:space="preserve"> -</val>
          </value>
        </values>
      </ddeItem>
      <ddeItem name="LCFB1.205" advise="1">
        <values>
          <value t="str">
            <val xml:space="preserve"> -</val>
          </value>
        </values>
      </ddeItem>
      <ddeItem name="LCFB1.211" advise="1">
        <values>
          <value t="str">
            <val xml:space="preserve"> -</val>
          </value>
        </values>
      </ddeItem>
      <ddeItem name="LCFB1.212" advise="1">
        <values>
          <value t="str">
            <val xml:space="preserve"> -</val>
          </value>
        </values>
      </ddeItem>
      <ddeItem name="LCFB1.213" advise="1">
        <values>
          <value t="str">
            <val xml:space="preserve"> -</val>
          </value>
        </values>
      </ddeItem>
      <ddeItem name="LCFB1.214" advise="1">
        <values>
          <value t="str">
            <val xml:space="preserve"> -</val>
          </value>
        </values>
      </ddeItem>
      <ddeItem name="LCFB1.215" advise="1">
        <values>
          <value t="str">
            <val xml:space="preserve"> -</val>
          </value>
        </values>
      </ddeItem>
      <ddeItem name="LCFB1.221" advise="1">
        <values>
          <value t="str">
            <val>-</val>
          </value>
        </values>
      </ddeItem>
      <ddeItem name="LCFB1.222" advise="1">
        <values>
          <value t="str">
            <val>-</val>
          </value>
        </values>
      </ddeItem>
      <ddeItem name="LCFB1.223" advise="1">
        <values>
          <value t="str">
            <val>-</val>
          </value>
        </values>
      </ddeItem>
      <ddeItem name="LCFB1.224" advise="1">
        <values>
          <value t="str">
            <val>-</val>
          </value>
        </values>
      </ddeItem>
      <ddeItem name="LCFB1.225" advise="1">
        <values>
          <value t="str">
            <val>-</val>
          </value>
        </values>
      </ddeItem>
      <ddeItem name="LCFB1.231" advise="1">
        <values>
          <value t="str">
            <val>-</val>
          </value>
        </values>
      </ddeItem>
      <ddeItem name="LCFB1.232" advise="1">
        <values>
          <value t="str">
            <val>-</val>
          </value>
        </values>
      </ddeItem>
      <ddeItem name="LCFB1.233" advise="1">
        <values>
          <value t="str">
            <val>-</val>
          </value>
        </values>
      </ddeItem>
      <ddeItem name="LCFB1.234" advise="1">
        <values>
          <value t="str">
            <val>-</val>
          </value>
        </values>
      </ddeItem>
      <ddeItem name="LCFB1.235" advise="1">
        <values>
          <value t="str">
            <val>-</val>
          </value>
        </values>
      </ddeItem>
      <ddeItem name="LCFB1.402" advise="1">
        <values>
          <value t="str">
            <val>加權指數</val>
          </value>
        </values>
      </ddeItem>
      <ddeItem name="LCFB1.406" advise="1">
        <values>
          <value t="str">
            <val xml:space="preserve"> -</val>
          </value>
        </values>
      </ddeItem>
      <ddeItem name="LCFB1.407" advise="1">
        <values>
          <value t="str">
            <val xml:space="preserve"> -</val>
          </value>
        </values>
      </ddeItem>
      <ddeItem name="LCFB1.431" advise="1">
        <values>
          <value t="str">
            <val>-</val>
          </value>
        </values>
      </ddeItem>
      <ddeItem name="LCFB1.437" advise="1">
        <values>
          <value t="str">
            <val xml:space="preserve"> -</val>
          </value>
        </values>
      </ddeItem>
      <ddeItem name="LEFB1.123" advise="1">
        <values>
          <value>
            <val>100140</val>
          </value>
        </values>
      </ddeItem>
      <ddeItem name="LEFB1.124" advise="1">
        <values>
          <value>
            <val>16428.68</val>
          </value>
        </values>
      </ddeItem>
      <ddeItem name="LEFB1.125" advise="1">
        <values>
          <value>
            <val>-14.72</val>
          </value>
        </values>
      </ddeItem>
      <ddeItem name="LEFB1.128" advise="1">
        <values>
          <value>
            <val>2686</val>
          </value>
        </values>
      </ddeItem>
      <ddeItem name="LEFB1.130" advise="1">
        <values>
          <value>
            <val>16329.54</val>
          </value>
        </values>
      </ddeItem>
      <ddeItem name="LEFB1.131" advise="1">
        <values>
          <value>
            <val>16456.939999999999</val>
          </value>
        </values>
      </ddeItem>
      <ddeItem name="LEFB1.132" advise="1">
        <values>
          <value>
            <val>16329.54</val>
          </value>
        </values>
      </ddeItem>
      <ddeItem name="LEFB1.133" advise="1">
        <values>
          <value>
            <val>4022793</val>
          </value>
        </values>
      </ddeItem>
      <ddeItem name="LEFB1.135" advise="1">
        <values>
          <value t="str">
            <val xml:space="preserve"> -</val>
          </value>
        </values>
      </ddeItem>
      <ddeItem name="LEFB1.136" advise="1">
        <values>
          <value t="str">
            <val xml:space="preserve"> -</val>
          </value>
        </values>
      </ddeItem>
      <ddeItem name="LEFB1.201" advise="1">
        <values>
          <value t="str">
            <val xml:space="preserve"> -</val>
          </value>
        </values>
      </ddeItem>
      <ddeItem name="LEFB1.202" advise="1">
        <values>
          <value t="str">
            <val xml:space="preserve"> -</val>
          </value>
        </values>
      </ddeItem>
      <ddeItem name="LEFB1.203" advise="1">
        <values>
          <value t="str">
            <val xml:space="preserve"> -</val>
          </value>
        </values>
      </ddeItem>
      <ddeItem name="LEFB1.204" advise="1">
        <values>
          <value t="str">
            <val xml:space="preserve"> -</val>
          </value>
        </values>
      </ddeItem>
      <ddeItem name="LEFB1.205" advise="1">
        <values>
          <value t="str">
            <val xml:space="preserve"> -</val>
          </value>
        </values>
      </ddeItem>
      <ddeItem name="LEFB1.211" advise="1">
        <values>
          <value t="str">
            <val xml:space="preserve"> -</val>
          </value>
        </values>
      </ddeItem>
      <ddeItem name="LEFB1.212" advise="1">
        <values>
          <value t="str">
            <val xml:space="preserve"> -</val>
          </value>
        </values>
      </ddeItem>
      <ddeItem name="LEFB1.213" advise="1">
        <values>
          <value t="str">
            <val xml:space="preserve"> -</val>
          </value>
        </values>
      </ddeItem>
      <ddeItem name="LEFB1.214" advise="1">
        <values>
          <value t="str">
            <val xml:space="preserve"> -</val>
          </value>
        </values>
      </ddeItem>
      <ddeItem name="LEFB1.215" advise="1">
        <values>
          <value t="str">
            <val xml:space="preserve"> -</val>
          </value>
        </values>
      </ddeItem>
      <ddeItem name="LEFB1.221" advise="1">
        <values>
          <value t="str">
            <val>-</val>
          </value>
        </values>
      </ddeItem>
      <ddeItem name="LEFB1.222" advise="1">
        <values>
          <value t="str">
            <val>-</val>
          </value>
        </values>
      </ddeItem>
      <ddeItem name="LEFB1.223" advise="1">
        <values>
          <value t="str">
            <val>-</val>
          </value>
        </values>
      </ddeItem>
      <ddeItem name="LEFB1.224" advise="1">
        <values>
          <value t="str">
            <val>-</val>
          </value>
        </values>
      </ddeItem>
      <ddeItem name="LEFB1.225" advise="1">
        <values>
          <value t="str">
            <val>-</val>
          </value>
        </values>
      </ddeItem>
      <ddeItem name="LEFB1.231" advise="1">
        <values>
          <value t="str">
            <val>-</val>
          </value>
        </values>
      </ddeItem>
      <ddeItem name="LEFB1.232" advise="1">
        <values>
          <value t="str">
            <val>-</val>
          </value>
        </values>
      </ddeItem>
      <ddeItem name="LEFB1.233" advise="1">
        <values>
          <value t="str">
            <val>-</val>
          </value>
        </values>
      </ddeItem>
      <ddeItem name="LEFB1.234" advise="1">
        <values>
          <value t="str">
            <val>-</val>
          </value>
        </values>
      </ddeItem>
      <ddeItem name="LEFB1.235" advise="1">
        <values>
          <value t="str">
            <val>-</val>
          </value>
        </values>
      </ddeItem>
      <ddeItem name="LEFB1.402" advise="1">
        <values>
          <value t="str">
            <val>加權指數</val>
          </value>
        </values>
      </ddeItem>
      <ddeItem name="LEFB1.406" advise="1">
        <values>
          <value t="str">
            <val xml:space="preserve"> -</val>
          </value>
        </values>
      </ddeItem>
      <ddeItem name="LEFB1.407" advise="1">
        <values>
          <value t="str">
            <val xml:space="preserve"> -</val>
          </value>
        </values>
      </ddeItem>
      <ddeItem name="LEFB1.431" advise="1">
        <values>
          <value t="str">
            <val>-</val>
          </value>
        </values>
      </ddeItem>
      <ddeItem name="LEFB1.437" advise="1">
        <values>
          <value t="str">
            <val xml:space="preserve"> -</val>
          </value>
        </values>
      </ddeItem>
      <ddeItem name="LIFB1.123" advise="1">
        <values>
          <value>
            <val>100135</val>
          </value>
        </values>
      </ddeItem>
      <ddeItem name="LIFB1.124" advise="1">
        <values>
          <value>
            <val>13893.65</val>
          </value>
        </values>
      </ddeItem>
      <ddeItem name="LIFB1.125" advise="1">
        <values>
          <value>
            <val>7.07</val>
          </value>
        </values>
      </ddeItem>
      <ddeItem name="LIFB1.128" advise="1">
        <values>
          <value>
            <val>611</val>
          </value>
        </values>
      </ddeItem>
      <ddeItem name="LIFB1.130" advise="1">
        <values>
          <value>
            <val>13893.03</val>
          </value>
        </values>
      </ddeItem>
      <ddeItem name="LIFB1.131" advise="1">
        <values>
          <value>
            <val>13945.78</val>
          </value>
        </values>
      </ddeItem>
      <ddeItem name="LIFB1.132" advise="1">
        <values>
          <value>
            <val>13875.82</val>
          </value>
        </values>
      </ddeItem>
      <ddeItem name="LIFB1.133" advise="1">
        <values>
          <value>
            <val>871785</val>
          </value>
        </values>
      </ddeItem>
      <ddeItem name="LIFB1.135" advise="1">
        <values>
          <value t="str">
            <val xml:space="preserve"> -</val>
          </value>
        </values>
      </ddeItem>
      <ddeItem name="LIFB1.136" advise="1">
        <values>
          <value t="str">
            <val xml:space="preserve"> -</val>
          </value>
        </values>
      </ddeItem>
      <ddeItem name="LIFB1.201" advise="1">
        <values>
          <value t="str">
            <val xml:space="preserve"> -</val>
          </value>
        </values>
      </ddeItem>
      <ddeItem name="LIFB1.202" advise="1">
        <values>
          <value t="str">
            <val xml:space="preserve"> -</val>
          </value>
        </values>
      </ddeItem>
      <ddeItem name="LIFB1.203" advise="1">
        <values>
          <value t="str">
            <val xml:space="preserve"> -</val>
          </value>
        </values>
      </ddeItem>
      <ddeItem name="LIFB1.204" advise="1">
        <values>
          <value t="str">
            <val xml:space="preserve"> -</val>
          </value>
        </values>
      </ddeItem>
      <ddeItem name="LIFB1.205" advise="1">
        <values>
          <value t="str">
            <val xml:space="preserve"> -</val>
          </value>
        </values>
      </ddeItem>
      <ddeItem name="LIFB1.211" advise="1">
        <values>
          <value t="str">
            <val xml:space="preserve"> -</val>
          </value>
        </values>
      </ddeItem>
      <ddeItem name="LIFB1.212" advise="1">
        <values>
          <value t="str">
            <val xml:space="preserve"> -</val>
          </value>
        </values>
      </ddeItem>
      <ddeItem name="LIFB1.213" advise="1">
        <values>
          <value t="str">
            <val xml:space="preserve"> -</val>
          </value>
        </values>
      </ddeItem>
      <ddeItem name="LIFB1.214" advise="1">
        <values>
          <value t="str">
            <val xml:space="preserve"> -</val>
          </value>
        </values>
      </ddeItem>
      <ddeItem name="LIFB1.215" advise="1">
        <values>
          <value t="str">
            <val xml:space="preserve"> -</val>
          </value>
        </values>
      </ddeItem>
      <ddeItem name="LIFB1.221" advise="1">
        <values>
          <value t="str">
            <val>-</val>
          </value>
        </values>
      </ddeItem>
      <ddeItem name="LIFB1.222" advise="1">
        <values>
          <value t="str">
            <val>-</val>
          </value>
        </values>
      </ddeItem>
      <ddeItem name="LIFB1.223" advise="1">
        <values>
          <value t="str">
            <val>-</val>
          </value>
        </values>
      </ddeItem>
      <ddeItem name="LIFB1.224" advise="1">
        <values>
          <value t="str">
            <val>-</val>
          </value>
        </values>
      </ddeItem>
      <ddeItem name="LIFB1.225" advise="1">
        <values>
          <value t="str">
            <val>-</val>
          </value>
        </values>
      </ddeItem>
      <ddeItem name="LIFB1.231" advise="1">
        <values>
          <value t="str">
            <val>-</val>
          </value>
        </values>
      </ddeItem>
      <ddeItem name="LIFB1.232" advise="1">
        <values>
          <value t="str">
            <val>-</val>
          </value>
        </values>
      </ddeItem>
      <ddeItem name="LIFB1.233" advise="1">
        <values>
          <value t="str">
            <val>-</val>
          </value>
        </values>
      </ddeItem>
      <ddeItem name="LIFB1.234" advise="1">
        <values>
          <value t="str">
            <val>-</val>
          </value>
        </values>
      </ddeItem>
      <ddeItem name="LIFB1.235" advise="1">
        <values>
          <value t="str">
            <val>-</val>
          </value>
        </values>
      </ddeItem>
      <ddeItem name="LIFB1.402" advise="1">
        <values>
          <value t="str">
            <val>不含金電</val>
          </value>
        </values>
      </ddeItem>
      <ddeItem name="LIFB1.406" advise="1">
        <values>
          <value t="str">
            <val xml:space="preserve"> -</val>
          </value>
        </values>
      </ddeItem>
      <ddeItem name="LIFB1.407" advise="1">
        <values>
          <value t="str">
            <val xml:space="preserve"> -</val>
          </value>
        </values>
      </ddeItem>
      <ddeItem name="LIFB1.431" advise="1">
        <values>
          <value t="str">
            <val>-</val>
          </value>
        </values>
      </ddeItem>
      <ddeItem name="LIFB1.437" advise="1">
        <values>
          <value t="str">
            <val xml:space="preserve"> -</val>
          </value>
        </values>
      </ddeItem>
      <ddeItem name="LMFB1.123" advise="1">
        <values>
          <value>
            <val>100130</val>
          </value>
        </values>
      </ddeItem>
      <ddeItem name="LMFB1.124" advise="1">
        <values>
          <value>
            <val>16422.080000000002</val>
          </value>
        </values>
      </ddeItem>
      <ddeItem name="LMFB1.125" advise="1">
        <values>
          <value>
            <val>-21.32</val>
          </value>
        </values>
      </ddeItem>
      <ddeItem name="LMFB1.128" advise="1">
        <values>
          <value>
            <val>3347</val>
          </value>
        </values>
      </ddeItem>
      <ddeItem name="LMFB1.130" advise="1">
        <values>
          <value>
            <val>16329.54</val>
          </value>
        </values>
      </ddeItem>
      <ddeItem name="LMFB1.131" advise="1">
        <values>
          <value>
            <val>16456.939999999999</val>
          </value>
        </values>
      </ddeItem>
      <ddeItem name="LMFB1.132" advise="1">
        <values>
          <value>
            <val>16329.54</val>
          </value>
        </values>
      </ddeItem>
      <ddeItem name="LMFB1.133" advise="1">
        <values>
          <value>
            <val>4018459</val>
          </value>
        </values>
      </ddeItem>
      <ddeItem name="LMFB1.135" advise="1">
        <values>
          <value t="str">
            <val xml:space="preserve"> -</val>
          </value>
        </values>
      </ddeItem>
      <ddeItem name="LMFB1.136" advise="1">
        <values>
          <value t="str">
            <val xml:space="preserve"> -</val>
          </value>
        </values>
      </ddeItem>
      <ddeItem name="LMFB1.201" advise="1">
        <values>
          <value t="str">
            <val xml:space="preserve"> -</val>
          </value>
        </values>
      </ddeItem>
      <ddeItem name="LMFB1.202" advise="1">
        <values>
          <value t="str">
            <val xml:space="preserve"> -</val>
          </value>
        </values>
      </ddeItem>
      <ddeItem name="LMFB1.203" advise="1">
        <values>
          <value t="str">
            <val xml:space="preserve"> -</val>
          </value>
        </values>
      </ddeItem>
      <ddeItem name="LMFB1.204" advise="1">
        <values>
          <value t="str">
            <val xml:space="preserve"> -</val>
          </value>
        </values>
      </ddeItem>
      <ddeItem name="LMFB1.205" advise="1">
        <values>
          <value t="str">
            <val xml:space="preserve"> -</val>
          </value>
        </values>
      </ddeItem>
      <ddeItem name="LMFB1.211" advise="1">
        <values>
          <value t="str">
            <val xml:space="preserve"> -</val>
          </value>
        </values>
      </ddeItem>
      <ddeItem name="LMFB1.212" advise="1">
        <values>
          <value t="str">
            <val xml:space="preserve"> -</val>
          </value>
        </values>
      </ddeItem>
      <ddeItem name="LMFB1.213" advise="1">
        <values>
          <value t="str">
            <val xml:space="preserve"> -</val>
          </value>
        </values>
      </ddeItem>
      <ddeItem name="LMFB1.214" advise="1">
        <values>
          <value t="str">
            <val xml:space="preserve"> -</val>
          </value>
        </values>
      </ddeItem>
      <ddeItem name="LMFB1.215" advise="1">
        <values>
          <value t="str">
            <val xml:space="preserve"> -</val>
          </value>
        </values>
      </ddeItem>
      <ddeItem name="LMFB1.221" advise="1">
        <values>
          <value t="str">
            <val>-</val>
          </value>
        </values>
      </ddeItem>
      <ddeItem name="LMFB1.222" advise="1">
        <values>
          <value t="str">
            <val>-</val>
          </value>
        </values>
      </ddeItem>
      <ddeItem name="LMFB1.223" advise="1">
        <values>
          <value t="str">
            <val>-</val>
          </value>
        </values>
      </ddeItem>
      <ddeItem name="LMFB1.224" advise="1">
        <values>
          <value t="str">
            <val>-</val>
          </value>
        </values>
      </ddeItem>
      <ddeItem name="LMFB1.225" advise="1">
        <values>
          <value t="str">
            <val>-</val>
          </value>
        </values>
      </ddeItem>
      <ddeItem name="LMFB1.231" advise="1">
        <values>
          <value t="str">
            <val>-</val>
          </value>
        </values>
      </ddeItem>
      <ddeItem name="LMFB1.232" advise="1">
        <values>
          <value t="str">
            <val>-</val>
          </value>
        </values>
      </ddeItem>
      <ddeItem name="LMFB1.233" advise="1">
        <values>
          <value t="str">
            <val>-</val>
          </value>
        </values>
      </ddeItem>
      <ddeItem name="LMFB1.234" advise="1">
        <values>
          <value t="str">
            <val>-</val>
          </value>
        </values>
      </ddeItem>
      <ddeItem name="LMFB1.235" advise="1">
        <values>
          <value t="str">
            <val>-</val>
          </value>
        </values>
      </ddeItem>
      <ddeItem name="LMFB1.402" advise="1">
        <values>
          <value t="str">
            <val>加權指數</val>
          </value>
        </values>
      </ddeItem>
      <ddeItem name="LMFB1.406" advise="1">
        <values>
          <value t="str">
            <val xml:space="preserve"> -</val>
          </value>
        </values>
      </ddeItem>
      <ddeItem name="LMFB1.407" advise="1">
        <values>
          <value t="str">
            <val xml:space="preserve"> -</val>
          </value>
        </values>
      </ddeItem>
      <ddeItem name="LMFB1.431" advise="1">
        <values>
          <value t="str">
            <val>-</val>
          </value>
        </values>
      </ddeItem>
      <ddeItem name="LMFB1.437" advise="1">
        <values>
          <value t="str">
            <val xml:space="preserve"> -</val>
          </value>
        </values>
      </ddeItem>
      <ddeItem name="LOFB1.123" advise="1">
        <values>
          <value>
            <val>100150</val>
          </value>
        </values>
      </ddeItem>
      <ddeItem name="LOFB1.124" advise="1">
        <values>
          <value>
            <val>16421.62</val>
          </value>
        </values>
      </ddeItem>
      <ddeItem name="LOFB1.125" advise="1">
        <values>
          <value>
            <val>-21.78</val>
          </value>
        </values>
      </ddeItem>
      <ddeItem name="LOFB1.128" advise="1">
        <values>
          <value>
            <val>2439</val>
          </value>
        </values>
      </ddeItem>
      <ddeItem name="LOFB1.130" advise="1">
        <values>
          <value>
            <val>16329.54</val>
          </value>
        </values>
      </ddeItem>
      <ddeItem name="LOFB1.131" advise="1">
        <values>
          <value>
            <val>16456.939999999999</val>
          </value>
        </values>
      </ddeItem>
      <ddeItem name="LOFB1.132" advise="1">
        <values>
          <value>
            <val>16329.54</val>
          </value>
        </values>
      </ddeItem>
      <ddeItem name="LOFB1.133" advise="1">
        <values>
          <value>
            <val>4027056</val>
          </value>
        </values>
      </ddeItem>
      <ddeItem name="LOFB1.135" advise="1">
        <values>
          <value t="str">
            <val xml:space="preserve"> -</val>
          </value>
        </values>
      </ddeItem>
      <ddeItem name="LOFB1.136" advise="1">
        <values>
          <value t="str">
            <val xml:space="preserve"> -</val>
          </value>
        </values>
      </ddeItem>
      <ddeItem name="LOFB1.201" advise="1">
        <values>
          <value t="str">
            <val xml:space="preserve"> -</val>
          </value>
        </values>
      </ddeItem>
      <ddeItem name="LOFB1.202" advise="1">
        <values>
          <value t="str">
            <val xml:space="preserve"> -</val>
          </value>
        </values>
      </ddeItem>
      <ddeItem name="LOFB1.203" advise="1">
        <values>
          <value t="str">
            <val xml:space="preserve"> -</val>
          </value>
        </values>
      </ddeItem>
      <ddeItem name="LOFB1.204" advise="1">
        <values>
          <value t="str">
            <val xml:space="preserve"> -</val>
          </value>
        </values>
      </ddeItem>
      <ddeItem name="LOFB1.205" advise="1">
        <values>
          <value t="str">
            <val xml:space="preserve"> -</val>
          </value>
        </values>
      </ddeItem>
      <ddeItem name="LOFB1.211" advise="1">
        <values>
          <value t="str">
            <val xml:space="preserve"> -</val>
          </value>
        </values>
      </ddeItem>
      <ddeItem name="LOFB1.212" advise="1">
        <values>
          <value t="str">
            <val xml:space="preserve"> -</val>
          </value>
        </values>
      </ddeItem>
      <ddeItem name="LOFB1.213" advise="1">
        <values>
          <value t="str">
            <val xml:space="preserve"> -</val>
          </value>
        </values>
      </ddeItem>
      <ddeItem name="LOFB1.214" advise="1">
        <values>
          <value t="str">
            <val xml:space="preserve"> -</val>
          </value>
        </values>
      </ddeItem>
      <ddeItem name="LOFB1.215" advise="1">
        <values>
          <value t="str">
            <val xml:space="preserve"> -</val>
          </value>
        </values>
      </ddeItem>
      <ddeItem name="LOFB1.221" advise="1">
        <values>
          <value t="str">
            <val>-</val>
          </value>
        </values>
      </ddeItem>
      <ddeItem name="LOFB1.222" advise="1">
        <values>
          <value t="str">
            <val>-</val>
          </value>
        </values>
      </ddeItem>
      <ddeItem name="LOFB1.223" advise="1">
        <values>
          <value t="str">
            <val>-</val>
          </value>
        </values>
      </ddeItem>
      <ddeItem name="LOFB1.224" advise="1">
        <values>
          <value t="str">
            <val>-</val>
          </value>
        </values>
      </ddeItem>
      <ddeItem name="LOFB1.225" advise="1">
        <values>
          <value t="str">
            <val>-</val>
          </value>
        </values>
      </ddeItem>
      <ddeItem name="LOFB1.231" advise="1">
        <values>
          <value t="str">
            <val>-</val>
          </value>
        </values>
      </ddeItem>
      <ddeItem name="LOFB1.232" advise="1">
        <values>
          <value t="str">
            <val>-</val>
          </value>
        </values>
      </ddeItem>
      <ddeItem name="LOFB1.233" advise="1">
        <values>
          <value t="str">
            <val>-</val>
          </value>
        </values>
      </ddeItem>
      <ddeItem name="LOFB1.234" advise="1">
        <values>
          <value t="str">
            <val>-</val>
          </value>
        </values>
      </ddeItem>
      <ddeItem name="LOFB1.235" advise="1">
        <values>
          <value t="str">
            <val>-</val>
          </value>
        </values>
      </ddeItem>
      <ddeItem name="LOFB1.402" advise="1">
        <values>
          <value t="str">
            <val>加權指數</val>
          </value>
        </values>
      </ddeItem>
      <ddeItem name="LOFB1.406" advise="1">
        <values>
          <value t="str">
            <val xml:space="preserve"> -</val>
          </value>
        </values>
      </ddeItem>
      <ddeItem name="LOFB1.407" advise="1">
        <values>
          <value t="str">
            <val xml:space="preserve"> -</val>
          </value>
        </values>
      </ddeItem>
      <ddeItem name="LOFB1.431" advise="1">
        <values>
          <value t="str">
            <val>-</val>
          </value>
        </values>
      </ddeItem>
      <ddeItem name="LOFB1.437" advise="1">
        <values>
          <value t="str">
            <val xml:space="preserve"> -</val>
          </value>
        </values>
      </ddeItem>
      <ddeItem name="LQFB1.123" advise="1">
        <values>
          <value>
            <val>100150</val>
          </value>
        </values>
      </ddeItem>
      <ddeItem name="LQFB1.124" advise="1">
        <values>
          <value>
            <val>13900.72</val>
          </value>
        </values>
      </ddeItem>
      <ddeItem name="LQFB1.125" advise="1">
        <values>
          <value>
            <val>14.14</val>
          </value>
        </values>
      </ddeItem>
      <ddeItem name="LQFB1.128" advise="1">
        <values>
          <value>
            <val>887</val>
          </value>
        </values>
      </ddeItem>
      <ddeItem name="LQFB1.130" advise="1">
        <values>
          <value>
            <val>13893.03</val>
          </value>
        </values>
      </ddeItem>
      <ddeItem name="LQFB1.131" advise="1">
        <values>
          <value>
            <val>13945.78</val>
          </value>
        </values>
      </ddeItem>
      <ddeItem name="LQFB1.132" advise="1">
        <values>
          <value>
            <val>13875.82</val>
          </value>
        </values>
      </ddeItem>
      <ddeItem name="LQFB1.133" advise="1">
        <values>
          <value>
            <val>873827</val>
          </value>
        </values>
      </ddeItem>
      <ddeItem name="LQFB1.135" advise="1">
        <values>
          <value t="str">
            <val xml:space="preserve"> -</val>
          </value>
        </values>
      </ddeItem>
      <ddeItem name="LQFB1.136" advise="1">
        <values>
          <value t="str">
            <val xml:space="preserve"> -</val>
          </value>
        </values>
      </ddeItem>
      <ddeItem name="LQFB1.201" advise="1">
        <values>
          <value t="str">
            <val xml:space="preserve"> -</val>
          </value>
        </values>
      </ddeItem>
      <ddeItem name="LQFB1.202" advise="1">
        <values>
          <value t="str">
            <val xml:space="preserve"> -</val>
          </value>
        </values>
      </ddeItem>
      <ddeItem name="LQFB1.203" advise="1">
        <values>
          <value t="str">
            <val xml:space="preserve"> -</val>
          </value>
        </values>
      </ddeItem>
      <ddeItem name="LQFB1.204" advise="1">
        <values>
          <value t="str">
            <val xml:space="preserve"> -</val>
          </value>
        </values>
      </ddeItem>
      <ddeItem name="LQFB1.205" advise="1">
        <values>
          <value t="str">
            <val xml:space="preserve"> -</val>
          </value>
        </values>
      </ddeItem>
      <ddeItem name="LQFB1.211" advise="1">
        <values>
          <value t="str">
            <val xml:space="preserve"> -</val>
          </value>
        </values>
      </ddeItem>
      <ddeItem name="LQFB1.212" advise="1">
        <values>
          <value t="str">
            <val xml:space="preserve"> -</val>
          </value>
        </values>
      </ddeItem>
      <ddeItem name="LQFB1.213" advise="1">
        <values>
          <value t="str">
            <val xml:space="preserve"> -</val>
          </value>
        </values>
      </ddeItem>
      <ddeItem name="LQFB1.214" advise="1">
        <values>
          <value t="str">
            <val xml:space="preserve"> -</val>
          </value>
        </values>
      </ddeItem>
      <ddeItem name="LQFB1.215" advise="1">
        <values>
          <value t="str">
            <val xml:space="preserve"> -</val>
          </value>
        </values>
      </ddeItem>
      <ddeItem name="LQFB1.221" advise="1">
        <values>
          <value t="str">
            <val>-</val>
          </value>
        </values>
      </ddeItem>
      <ddeItem name="LQFB1.222" advise="1">
        <values>
          <value t="str">
            <val>-</val>
          </value>
        </values>
      </ddeItem>
      <ddeItem name="LQFB1.223" advise="1">
        <values>
          <value t="str">
            <val>-</val>
          </value>
        </values>
      </ddeItem>
      <ddeItem name="LQFB1.224" advise="1">
        <values>
          <value t="str">
            <val>-</val>
          </value>
        </values>
      </ddeItem>
      <ddeItem name="LQFB1.225" advise="1">
        <values>
          <value t="str">
            <val>-</val>
          </value>
        </values>
      </ddeItem>
      <ddeItem name="LQFB1.231" advise="1">
        <values>
          <value t="str">
            <val>-</val>
          </value>
        </values>
      </ddeItem>
      <ddeItem name="LQFB1.232" advise="1">
        <values>
          <value t="str">
            <val>-</val>
          </value>
        </values>
      </ddeItem>
      <ddeItem name="LQFB1.233" advise="1">
        <values>
          <value t="str">
            <val>-</val>
          </value>
        </values>
      </ddeItem>
      <ddeItem name="LQFB1.234" advise="1">
        <values>
          <value t="str">
            <val>-</val>
          </value>
        </values>
      </ddeItem>
      <ddeItem name="LQFB1.235" advise="1">
        <values>
          <value t="str">
            <val>-</val>
          </value>
        </values>
      </ddeItem>
      <ddeItem name="LQFB1.402" advise="1">
        <values>
          <value t="str">
            <val>不含金電</val>
          </value>
        </values>
      </ddeItem>
      <ddeItem name="LQFB1.406" advise="1">
        <values>
          <value t="str">
            <val xml:space="preserve"> -</val>
          </value>
        </values>
      </ddeItem>
      <ddeItem name="LQFB1.407" advise="1">
        <values>
          <value t="str">
            <val xml:space="preserve"> -</val>
          </value>
        </values>
      </ddeItem>
      <ddeItem name="LQFB1.431" advise="1">
        <values>
          <value t="str">
            <val>-</val>
          </value>
        </values>
      </ddeItem>
      <ddeItem name="LQFB1.437" advise="1">
        <values>
          <value t="str">
            <val xml:space="preserve"> -</val>
          </value>
        </values>
      </ddeItem>
      <ddeItem name="LRFB1.123" advise="1">
        <values>
          <value>
            <val>100145</val>
          </value>
        </values>
      </ddeItem>
      <ddeItem name="LRFB1.124" advise="1">
        <values>
          <value>
            <val>13895.21</val>
          </value>
        </values>
      </ddeItem>
      <ddeItem name="LRFB1.125" advise="1">
        <values>
          <value>
            <val>8.6300000000000008</val>
          </value>
        </values>
      </ddeItem>
      <ddeItem name="LRFB1.128" advise="1">
        <values>
          <value>
            <val>435</val>
          </value>
        </values>
      </ddeItem>
      <ddeItem name="LRFB1.130" advise="1">
        <values>
          <value>
            <val>13893.03</val>
          </value>
        </values>
      </ddeItem>
      <ddeItem name="LRFB1.131" advise="1">
        <values>
          <value>
            <val>13945.78</val>
          </value>
        </values>
      </ddeItem>
      <ddeItem name="LRFB1.132" advise="1">
        <values>
          <value>
            <val>13875.82</val>
          </value>
        </values>
      </ddeItem>
      <ddeItem name="LRFB1.133" advise="1">
        <values>
          <value>
            <val>872940</val>
          </value>
        </values>
      </ddeItem>
      <ddeItem name="LRFB1.135" advise="1">
        <values>
          <value t="str">
            <val xml:space="preserve"> -</val>
          </value>
        </values>
      </ddeItem>
      <ddeItem name="LRFB1.136" advise="1">
        <values>
          <value t="str">
            <val xml:space="preserve"> -</val>
          </value>
        </values>
      </ddeItem>
      <ddeItem name="LRFB1.201" advise="1">
        <values>
          <value t="str">
            <val xml:space="preserve"> -</val>
          </value>
        </values>
      </ddeItem>
      <ddeItem name="LRFB1.202" advise="1">
        <values>
          <value t="str">
            <val xml:space="preserve"> -</val>
          </value>
        </values>
      </ddeItem>
      <ddeItem name="LRFB1.203" advise="1">
        <values>
          <value t="str">
            <val xml:space="preserve"> -</val>
          </value>
        </values>
      </ddeItem>
      <ddeItem name="LRFB1.204" advise="1">
        <values>
          <value t="str">
            <val xml:space="preserve"> -</val>
          </value>
        </values>
      </ddeItem>
      <ddeItem name="LRFB1.205" advise="1">
        <values>
          <value t="str">
            <val xml:space="preserve"> -</val>
          </value>
        </values>
      </ddeItem>
      <ddeItem name="LRFB1.211" advise="1">
        <values>
          <value t="str">
            <val xml:space="preserve"> -</val>
          </value>
        </values>
      </ddeItem>
      <ddeItem name="LRFB1.212" advise="1">
        <values>
          <value t="str">
            <val xml:space="preserve"> -</val>
          </value>
        </values>
      </ddeItem>
      <ddeItem name="LRFB1.213" advise="1">
        <values>
          <value t="str">
            <val xml:space="preserve"> -</val>
          </value>
        </values>
      </ddeItem>
      <ddeItem name="LRFB1.214" advise="1">
        <values>
          <value t="str">
            <val xml:space="preserve"> -</val>
          </value>
        </values>
      </ddeItem>
      <ddeItem name="LRFB1.215" advise="1">
        <values>
          <value t="str">
            <val xml:space="preserve"> -</val>
          </value>
        </values>
      </ddeItem>
      <ddeItem name="LRFB1.221" advise="1">
        <values>
          <value t="str">
            <val>-</val>
          </value>
        </values>
      </ddeItem>
      <ddeItem name="LRFB1.222" advise="1">
        <values>
          <value t="str">
            <val>-</val>
          </value>
        </values>
      </ddeItem>
      <ddeItem name="LRFB1.223" advise="1">
        <values>
          <value t="str">
            <val>-</val>
          </value>
        </values>
      </ddeItem>
      <ddeItem name="LRFB1.224" advise="1">
        <values>
          <value t="str">
            <val>-</val>
          </value>
        </values>
      </ddeItem>
      <ddeItem name="LRFB1.225" advise="1">
        <values>
          <value t="str">
            <val>-</val>
          </value>
        </values>
      </ddeItem>
      <ddeItem name="LRFB1.231" advise="1">
        <values>
          <value t="str">
            <val>-</val>
          </value>
        </values>
      </ddeItem>
      <ddeItem name="LRFB1.232" advise="1">
        <values>
          <value t="str">
            <val>-</val>
          </value>
        </values>
      </ddeItem>
      <ddeItem name="LRFB1.233" advise="1">
        <values>
          <value t="str">
            <val>-</val>
          </value>
        </values>
      </ddeItem>
      <ddeItem name="LRFB1.234" advise="1">
        <values>
          <value t="str">
            <val>-</val>
          </value>
        </values>
      </ddeItem>
      <ddeItem name="LRFB1.235" advise="1">
        <values>
          <value t="str">
            <val>-</val>
          </value>
        </values>
      </ddeItem>
      <ddeItem name="LRFB1.402" advise="1">
        <values>
          <value t="str">
            <val>不含金電</val>
          </value>
        </values>
      </ddeItem>
      <ddeItem name="LRFB1.406" advise="1">
        <values>
          <value t="str">
            <val xml:space="preserve"> -</val>
          </value>
        </values>
      </ddeItem>
      <ddeItem name="LRFB1.407" advise="1">
        <values>
          <value t="str">
            <val xml:space="preserve"> -</val>
          </value>
        </values>
      </ddeItem>
      <ddeItem name="LRFB1.431" advise="1">
        <values>
          <value t="str">
            <val>-</val>
          </value>
        </values>
      </ddeItem>
      <ddeItem name="LRFB1.437" advise="1">
        <values>
          <value t="str">
            <val xml:space="preserve"> -</val>
          </value>
        </values>
      </ddeItem>
      <ddeItem name="LTFB1.123" advise="1">
        <values>
          <value>
            <val>100145</val>
          </value>
        </values>
      </ddeItem>
      <ddeItem name="LTFB1.124" advise="1">
        <values>
          <value>
            <val>16422.560000000001</val>
          </value>
        </values>
      </ddeItem>
      <ddeItem name="LTFB1.125" advise="1">
        <values>
          <value>
            <val>-20.84</val>
          </value>
        </values>
      </ddeItem>
      <ddeItem name="LTFB1.128" advise="1">
        <values>
          <value>
            <val>1824</val>
          </value>
        </values>
      </ddeItem>
      <ddeItem name="LTFB1.130" advise="1">
        <values>
          <value>
            <val>16329.54</val>
          </value>
        </values>
      </ddeItem>
      <ddeItem name="LTFB1.131" advise="1">
        <values>
          <value>
            <val>16456.939999999999</val>
          </value>
        </values>
      </ddeItem>
      <ddeItem name="LTFB1.132" advise="1">
        <values>
          <value>
            <val>16329.54</val>
          </value>
        </values>
      </ddeItem>
      <ddeItem name="LTFB1.133" advise="1">
        <values>
          <value>
            <val>4024617</val>
          </value>
        </values>
      </ddeItem>
      <ddeItem name="LTFB1.135" advise="1">
        <values>
          <value t="str">
            <val xml:space="preserve"> -</val>
          </value>
        </values>
      </ddeItem>
      <ddeItem name="LTFB1.136" advise="1">
        <values>
          <value t="str">
            <val xml:space="preserve"> -</val>
          </value>
        </values>
      </ddeItem>
      <ddeItem name="LTFB1.201" advise="1">
        <values>
          <value t="str">
            <val xml:space="preserve"> -</val>
          </value>
        </values>
      </ddeItem>
      <ddeItem name="LTFB1.202" advise="1">
        <values>
          <value t="str">
            <val xml:space="preserve"> -</val>
          </value>
        </values>
      </ddeItem>
      <ddeItem name="LTFB1.203" advise="1">
        <values>
          <value t="str">
            <val xml:space="preserve"> -</val>
          </value>
        </values>
      </ddeItem>
      <ddeItem name="LTFB1.204" advise="1">
        <values>
          <value t="str">
            <val xml:space="preserve"> -</val>
          </value>
        </values>
      </ddeItem>
      <ddeItem name="LTFB1.205" advise="1">
        <values>
          <value t="str">
            <val xml:space="preserve"> -</val>
          </value>
        </values>
      </ddeItem>
      <ddeItem name="LTFB1.211" advise="1">
        <values>
          <value t="str">
            <val xml:space="preserve"> -</val>
          </value>
        </values>
      </ddeItem>
      <ddeItem name="LTFB1.212" advise="1">
        <values>
          <value t="str">
            <val xml:space="preserve"> -</val>
          </value>
        </values>
      </ddeItem>
      <ddeItem name="LTFB1.213" advise="1">
        <values>
          <value t="str">
            <val xml:space="preserve"> -</val>
          </value>
        </values>
      </ddeItem>
      <ddeItem name="LTFB1.214" advise="1">
        <values>
          <value t="str">
            <val xml:space="preserve"> -</val>
          </value>
        </values>
      </ddeItem>
      <ddeItem name="LTFB1.215" advise="1">
        <values>
          <value t="str">
            <val xml:space="preserve"> -</val>
          </value>
        </values>
      </ddeItem>
      <ddeItem name="LTFB1.221" advise="1">
        <values>
          <value t="str">
            <val>-</val>
          </value>
        </values>
      </ddeItem>
      <ddeItem name="LTFB1.222" advise="1">
        <values>
          <value t="str">
            <val>-</val>
          </value>
        </values>
      </ddeItem>
      <ddeItem name="LTFB1.223" advise="1">
        <values>
          <value t="str">
            <val>-</val>
          </value>
        </values>
      </ddeItem>
      <ddeItem name="LTFB1.224" advise="1">
        <values>
          <value t="str">
            <val>-</val>
          </value>
        </values>
      </ddeItem>
      <ddeItem name="LTFB1.225" advise="1">
        <values>
          <value t="str">
            <val>-</val>
          </value>
        </values>
      </ddeItem>
      <ddeItem name="LTFB1.231" advise="1">
        <values>
          <value t="str">
            <val>-</val>
          </value>
        </values>
      </ddeItem>
      <ddeItem name="LTFB1.232" advise="1">
        <values>
          <value t="str">
            <val>-</val>
          </value>
        </values>
      </ddeItem>
      <ddeItem name="LTFB1.233" advise="1">
        <values>
          <value t="str">
            <val>-</val>
          </value>
        </values>
      </ddeItem>
      <ddeItem name="LTFB1.234" advise="1">
        <values>
          <value t="str">
            <val>-</val>
          </value>
        </values>
      </ddeItem>
      <ddeItem name="LTFB1.235" advise="1">
        <values>
          <value t="str">
            <val>-</val>
          </value>
        </values>
      </ddeItem>
      <ddeItem name="LTFB1.402" advise="1">
        <values>
          <value t="str">
            <val>加權指數</val>
          </value>
        </values>
      </ddeItem>
      <ddeItem name="LTFB1.406" advise="1">
        <values>
          <value t="str">
            <val xml:space="preserve"> -</val>
          </value>
        </values>
      </ddeItem>
      <ddeItem name="LTFB1.407" advise="1">
        <values>
          <value t="str">
            <val xml:space="preserve"> -</val>
          </value>
        </values>
      </ddeItem>
      <ddeItem name="LTFB1.431" advise="1">
        <values>
          <value t="str">
            <val>-</val>
          </value>
        </values>
      </ddeItem>
      <ddeItem name="LTFB1.437" advise="1">
        <values>
          <value t="str">
            <val xml:space="preserve"> -</val>
          </value>
        </values>
      </ddeItem>
      <ddeItem name="LUFB1.123" advise="1">
        <values>
          <value>
            <val>0</val>
          </value>
        </values>
      </ddeItem>
      <ddeItem name="LUFB1.124" advise="1">
        <values>
          <value>
            <val>20878632</val>
          </value>
        </values>
      </ddeItem>
      <ddeItem name="LUFB1.125" advise="1">
        <values>
          <value t="str">
            <val xml:space="preserve"> </val>
          </value>
        </values>
      </ddeItem>
      <ddeItem name="LUFB1.128" advise="1">
        <values>
          <value>
            <val>1212870150</val>
          </value>
        </values>
      </ddeItem>
      <ddeItem name="LUFB1.130" advise="1">
        <values>
          <value>
            <val>20803788</val>
          </value>
        </values>
      </ddeItem>
      <ddeItem name="LUFB1.131" advise="1">
        <values>
          <value>
            <val>20804690</val>
          </value>
        </values>
      </ddeItem>
      <ddeItem name="LUFB1.132" advise="1">
        <values>
          <value>
            <val>10989732</val>
          </value>
        </values>
      </ddeItem>
      <ddeItem name="LUFB1.133" advise="1">
        <values>
          <value>
            <val>2088371110</val>
          </value>
        </values>
      </ddeItem>
      <ddeItem name="LUFB1.135" advise="1">
        <values>
          <value t="str">
            <val xml:space="preserve"> -</val>
          </value>
        </values>
      </ddeItem>
      <ddeItem name="LUFB1.136" advise="1">
        <values>
          <value t="str">
            <val xml:space="preserve"> -</val>
          </value>
        </values>
      </ddeItem>
      <ddeItem name="LUFB1.201" advise="1">
        <values>
          <value t="str">
            <val xml:space="preserve"> -</val>
          </value>
        </values>
      </ddeItem>
      <ddeItem name="LUFB1.202" advise="1">
        <values>
          <value t="str">
            <val xml:space="preserve"> -</val>
          </value>
        </values>
      </ddeItem>
      <ddeItem name="LUFB1.203" advise="1">
        <values>
          <value t="str">
            <val xml:space="preserve"> -</val>
          </value>
        </values>
      </ddeItem>
      <ddeItem name="LUFB1.204" advise="1">
        <values>
          <value t="str">
            <val xml:space="preserve"> -</val>
          </value>
        </values>
      </ddeItem>
      <ddeItem name="LUFB1.205" advise="1">
        <values>
          <value t="str">
            <val xml:space="preserve"> -</val>
          </value>
        </values>
      </ddeItem>
      <ddeItem name="LUFB1.211" advise="1">
        <values>
          <value t="str">
            <val xml:space="preserve"> -</val>
          </value>
        </values>
      </ddeItem>
      <ddeItem name="LUFB1.212" advise="1">
        <values>
          <value t="str">
            <val xml:space="preserve"> -</val>
          </value>
        </values>
      </ddeItem>
      <ddeItem name="LUFB1.213" advise="1">
        <values>
          <value t="str">
            <val xml:space="preserve"> -</val>
          </value>
        </values>
      </ddeItem>
      <ddeItem name="LUFB1.214" advise="1">
        <values>
          <value t="str">
            <val xml:space="preserve"> -</val>
          </value>
        </values>
      </ddeItem>
      <ddeItem name="LUFB1.215" advise="1">
        <values>
          <value t="str">
            <val xml:space="preserve"> -</val>
          </value>
        </values>
      </ddeItem>
      <ddeItem name="LUFB1.221" advise="1">
        <values>
          <value t="str">
            <val>-</val>
          </value>
        </values>
      </ddeItem>
      <ddeItem name="LUFB1.222" advise="1">
        <values>
          <value t="str">
            <val>-</val>
          </value>
        </values>
      </ddeItem>
      <ddeItem name="LUFB1.223" advise="1">
        <values>
          <value t="str">
            <val>-</val>
          </value>
        </values>
      </ddeItem>
      <ddeItem name="LUFB1.224" advise="1">
        <values>
          <value t="str">
            <val>-</val>
          </value>
        </values>
      </ddeItem>
      <ddeItem name="LUFB1.225" advise="1">
        <values>
          <value t="str">
            <val>-</val>
          </value>
        </values>
      </ddeItem>
      <ddeItem name="LUFB1.231" advise="1">
        <values>
          <value t="str">
            <val>-</val>
          </value>
        </values>
      </ddeItem>
      <ddeItem name="LUFB1.232" advise="1">
        <values>
          <value t="str">
            <val>-</val>
          </value>
        </values>
      </ddeItem>
      <ddeItem name="LUFB1.233" advise="1">
        <values>
          <value t="str">
            <val>-</val>
          </value>
        </values>
      </ddeItem>
      <ddeItem name="LUFB1.234" advise="1">
        <values>
          <value t="str">
            <val>-</val>
          </value>
        </values>
      </ddeItem>
      <ddeItem name="LUFB1.235" advise="1">
        <values>
          <value t="str">
            <val>-</val>
          </value>
        </values>
      </ddeItem>
      <ddeItem name="LUFB1.402" advise="1"/>
      <ddeItem name="LUFB1.406" advise="1">
        <values>
          <value t="str">
            <val xml:space="preserve"> -</val>
          </value>
        </values>
      </ddeItem>
      <ddeItem name="LUFB1.407" advise="1">
        <values>
          <value t="str">
            <val xml:space="preserve"> -</val>
          </value>
        </values>
      </ddeItem>
      <ddeItem name="LUFB1.431" advise="1">
        <values>
          <value t="str">
            <val>-</val>
          </value>
        </values>
      </ddeItem>
      <ddeItem name="LUFB1.437" advise="1">
        <values>
          <value t="str">
            <val xml:space="preserve"> -</val>
          </value>
        </values>
      </ddeItem>
      <ddeItem name="LVFB1.123" advise="1">
        <values>
          <value>
            <val>100140</val>
          </value>
        </values>
      </ddeItem>
      <ddeItem name="LVFB1.124" advise="1">
        <values>
          <value>
            <val>16428.68</val>
          </value>
        </values>
      </ddeItem>
      <ddeItem name="LVFB1.125" advise="1">
        <values>
          <value>
            <val>-14.72</val>
          </value>
        </values>
      </ddeItem>
      <ddeItem name="LVFB1.128" advise="1">
        <values>
          <value>
            <val>2686</val>
          </value>
        </values>
      </ddeItem>
      <ddeItem name="LVFB1.130" advise="1">
        <values>
          <value>
            <val>16329.54</val>
          </value>
        </values>
      </ddeItem>
      <ddeItem name="LVFB1.131" advise="1">
        <values>
          <value>
            <val>16456.939999999999</val>
          </value>
        </values>
      </ddeItem>
      <ddeItem name="LVFB1.132" advise="1">
        <values>
          <value>
            <val>16329.54</val>
          </value>
        </values>
      </ddeItem>
      <ddeItem name="LVFB1.133" advise="1">
        <values>
          <value>
            <val>4022793</val>
          </value>
        </values>
      </ddeItem>
      <ddeItem name="LVFB1.135" advise="1">
        <values>
          <value t="str">
            <val xml:space="preserve"> -</val>
          </value>
        </values>
      </ddeItem>
      <ddeItem name="LVFB1.136" advise="1">
        <values>
          <value t="str">
            <val xml:space="preserve"> -</val>
          </value>
        </values>
      </ddeItem>
      <ddeItem name="LVFB1.201" advise="1">
        <values>
          <value t="str">
            <val xml:space="preserve"> -</val>
          </value>
        </values>
      </ddeItem>
      <ddeItem name="LVFB1.202" advise="1">
        <values>
          <value t="str">
            <val xml:space="preserve"> -</val>
          </value>
        </values>
      </ddeItem>
      <ddeItem name="LVFB1.203" advise="1">
        <values>
          <value t="str">
            <val xml:space="preserve"> -</val>
          </value>
        </values>
      </ddeItem>
      <ddeItem name="LVFB1.204" advise="1">
        <values>
          <value t="str">
            <val xml:space="preserve"> -</val>
          </value>
        </values>
      </ddeItem>
      <ddeItem name="LVFB1.205" advise="1">
        <values>
          <value t="str">
            <val xml:space="preserve"> -</val>
          </value>
        </values>
      </ddeItem>
      <ddeItem name="LVFB1.211" advise="1">
        <values>
          <value t="str">
            <val xml:space="preserve"> -</val>
          </value>
        </values>
      </ddeItem>
      <ddeItem name="LVFB1.212" advise="1">
        <values>
          <value t="str">
            <val xml:space="preserve"> -</val>
          </value>
        </values>
      </ddeItem>
      <ddeItem name="LVFB1.213" advise="1">
        <values>
          <value t="str">
            <val xml:space="preserve"> -</val>
          </value>
        </values>
      </ddeItem>
      <ddeItem name="LVFB1.214" advise="1">
        <values>
          <value t="str">
            <val xml:space="preserve"> -</val>
          </value>
        </values>
      </ddeItem>
      <ddeItem name="LVFB1.215" advise="1">
        <values>
          <value t="str">
            <val xml:space="preserve"> -</val>
          </value>
        </values>
      </ddeItem>
      <ddeItem name="LVFB1.221" advise="1">
        <values>
          <value t="str">
            <val>-</val>
          </value>
        </values>
      </ddeItem>
      <ddeItem name="LVFB1.222" advise="1">
        <values>
          <value t="str">
            <val>-</val>
          </value>
        </values>
      </ddeItem>
      <ddeItem name="LVFB1.223" advise="1">
        <values>
          <value t="str">
            <val>-</val>
          </value>
        </values>
      </ddeItem>
      <ddeItem name="LVFB1.224" advise="1">
        <values>
          <value t="str">
            <val>-</val>
          </value>
        </values>
      </ddeItem>
      <ddeItem name="LVFB1.225" advise="1">
        <values>
          <value t="str">
            <val>-</val>
          </value>
        </values>
      </ddeItem>
      <ddeItem name="LVFB1.231" advise="1">
        <values>
          <value t="str">
            <val>-</val>
          </value>
        </values>
      </ddeItem>
      <ddeItem name="LVFB1.232" advise="1">
        <values>
          <value t="str">
            <val>-</val>
          </value>
        </values>
      </ddeItem>
      <ddeItem name="LVFB1.233" advise="1">
        <values>
          <value t="str">
            <val>-</val>
          </value>
        </values>
      </ddeItem>
      <ddeItem name="LVFB1.234" advise="1">
        <values>
          <value t="str">
            <val>-</val>
          </value>
        </values>
      </ddeItem>
      <ddeItem name="LVFB1.235" advise="1">
        <values>
          <value t="str">
            <val>-</val>
          </value>
        </values>
      </ddeItem>
      <ddeItem name="LVFB1.402" advise="1">
        <values>
          <value t="str">
            <val>加權指數</val>
          </value>
        </values>
      </ddeItem>
      <ddeItem name="LVFB1.406" advise="1">
        <values>
          <value t="str">
            <val xml:space="preserve"> -</val>
          </value>
        </values>
      </ddeItem>
      <ddeItem name="LVFB1.407" advise="1">
        <values>
          <value t="str">
            <val xml:space="preserve"> -</val>
          </value>
        </values>
      </ddeItem>
      <ddeItem name="LVFB1.431" advise="1">
        <values>
          <value t="str">
            <val>-</val>
          </value>
        </values>
      </ddeItem>
      <ddeItem name="LVFB1.437" advise="1">
        <values>
          <value t="str">
            <val xml:space="preserve"> -</val>
          </value>
        </values>
      </ddeItem>
      <ddeItem name="LWFB1.123" advise="1">
        <values>
          <value>
            <val>100140</val>
          </value>
        </values>
      </ddeItem>
      <ddeItem name="LWFB1.124" advise="1">
        <values>
          <value>
            <val>13893.18</val>
          </value>
        </values>
      </ddeItem>
      <ddeItem name="LWFB1.125" advise="1">
        <values>
          <value>
            <val>6.6</val>
          </value>
        </values>
      </ddeItem>
      <ddeItem name="LWFB1.128" advise="1">
        <values>
          <value>
            <val>720</val>
          </value>
        </values>
      </ddeItem>
      <ddeItem name="LWFB1.130" advise="1">
        <values>
          <value>
            <val>13893.03</val>
          </value>
        </values>
      </ddeItem>
      <ddeItem name="LWFB1.131" advise="1">
        <values>
          <value>
            <val>13945.78</val>
          </value>
        </values>
      </ddeItem>
      <ddeItem name="LWFB1.132" advise="1">
        <values>
          <value>
            <val>13875.82</val>
          </value>
        </values>
      </ddeItem>
      <ddeItem name="LWFB1.133" advise="1">
        <values>
          <value>
            <val>872505</val>
          </value>
        </values>
      </ddeItem>
      <ddeItem name="LWFB1.135" advise="1">
        <values>
          <value t="str">
            <val xml:space="preserve"> -</val>
          </value>
        </values>
      </ddeItem>
      <ddeItem name="LWFB1.136" advise="1">
        <values>
          <value t="str">
            <val xml:space="preserve"> -</val>
          </value>
        </values>
      </ddeItem>
      <ddeItem name="LWFB1.201" advise="1">
        <values>
          <value t="str">
            <val xml:space="preserve"> -</val>
          </value>
        </values>
      </ddeItem>
      <ddeItem name="LWFB1.202" advise="1">
        <values>
          <value t="str">
            <val xml:space="preserve"> -</val>
          </value>
        </values>
      </ddeItem>
      <ddeItem name="LWFB1.203" advise="1">
        <values>
          <value t="str">
            <val xml:space="preserve"> -</val>
          </value>
        </values>
      </ddeItem>
      <ddeItem name="LWFB1.204" advise="1">
        <values>
          <value t="str">
            <val xml:space="preserve"> -</val>
          </value>
        </values>
      </ddeItem>
      <ddeItem name="LWFB1.205" advise="1">
        <values>
          <value t="str">
            <val xml:space="preserve"> -</val>
          </value>
        </values>
      </ddeItem>
      <ddeItem name="LWFB1.211" advise="1">
        <values>
          <value t="str">
            <val xml:space="preserve"> -</val>
          </value>
        </values>
      </ddeItem>
      <ddeItem name="LWFB1.212" advise="1">
        <values>
          <value t="str">
            <val xml:space="preserve"> -</val>
          </value>
        </values>
      </ddeItem>
      <ddeItem name="LWFB1.213" advise="1">
        <values>
          <value t="str">
            <val xml:space="preserve"> -</val>
          </value>
        </values>
      </ddeItem>
      <ddeItem name="LWFB1.214" advise="1">
        <values>
          <value t="str">
            <val xml:space="preserve"> -</val>
          </value>
        </values>
      </ddeItem>
      <ddeItem name="LWFB1.215" advise="1">
        <values>
          <value t="str">
            <val xml:space="preserve"> -</val>
          </value>
        </values>
      </ddeItem>
      <ddeItem name="LWFB1.221" advise="1">
        <values>
          <value t="str">
            <val>-</val>
          </value>
        </values>
      </ddeItem>
      <ddeItem name="LWFB1.222" advise="1">
        <values>
          <value t="str">
            <val>-</val>
          </value>
        </values>
      </ddeItem>
      <ddeItem name="LWFB1.223" advise="1">
        <values>
          <value t="str">
            <val>-</val>
          </value>
        </values>
      </ddeItem>
      <ddeItem name="LWFB1.224" advise="1">
        <values>
          <value t="str">
            <val>-</val>
          </value>
        </values>
      </ddeItem>
      <ddeItem name="LWFB1.225" advise="1">
        <values>
          <value t="str">
            <val>-</val>
          </value>
        </values>
      </ddeItem>
      <ddeItem name="LWFB1.231" advise="1">
        <values>
          <value t="str">
            <val>-</val>
          </value>
        </values>
      </ddeItem>
      <ddeItem name="LWFB1.232" advise="1">
        <values>
          <value t="str">
            <val>-</val>
          </value>
        </values>
      </ddeItem>
      <ddeItem name="LWFB1.233" advise="1">
        <values>
          <value t="str">
            <val>-</val>
          </value>
        </values>
      </ddeItem>
      <ddeItem name="LWFB1.234" advise="1">
        <values>
          <value t="str">
            <val>-</val>
          </value>
        </values>
      </ddeItem>
      <ddeItem name="LWFB1.235" advise="1">
        <values>
          <value t="str">
            <val>-</val>
          </value>
        </values>
      </ddeItem>
      <ddeItem name="LWFB1.402" advise="1">
        <values>
          <value t="str">
            <val>不含金電</val>
          </value>
        </values>
      </ddeItem>
      <ddeItem name="LWFB1.406" advise="1">
        <values>
          <value t="str">
            <val xml:space="preserve"> -</val>
          </value>
        </values>
      </ddeItem>
      <ddeItem name="LWFB1.407" advise="1">
        <values>
          <value t="str">
            <val xml:space="preserve"> -</val>
          </value>
        </values>
      </ddeItem>
      <ddeItem name="LWFB1.431" advise="1">
        <values>
          <value t="str">
            <val>-</val>
          </value>
        </values>
      </ddeItem>
      <ddeItem name="LWFB1.437" advise="1">
        <values>
          <value t="str">
            <val xml:space="preserve"> -</val>
          </value>
        </values>
      </ddeItem>
      <ddeItem name="LXFB1.123" advise="1">
        <values>
          <value>
            <val>100140</val>
          </value>
        </values>
      </ddeItem>
      <ddeItem name="LXFB1.124" advise="1">
        <values>
          <value>
            <val>16428.68</val>
          </value>
        </values>
      </ddeItem>
      <ddeItem name="LXFB1.125" advise="1">
        <values>
          <value>
            <val>-14.72</val>
          </value>
        </values>
      </ddeItem>
      <ddeItem name="LXFB1.128" advise="1">
        <values>
          <value>
            <val>2686</val>
          </value>
        </values>
      </ddeItem>
      <ddeItem name="LXFB1.130" advise="1">
        <values>
          <value>
            <val>16329.54</val>
          </value>
        </values>
      </ddeItem>
      <ddeItem name="LXFB1.131" advise="1">
        <values>
          <value>
            <val>16456.939999999999</val>
          </value>
        </values>
      </ddeItem>
      <ddeItem name="LXFB1.132" advise="1">
        <values>
          <value>
            <val>16329.54</val>
          </value>
        </values>
      </ddeItem>
      <ddeItem name="LXFB1.133" advise="1">
        <values>
          <value>
            <val>4022793</val>
          </value>
        </values>
      </ddeItem>
      <ddeItem name="LXFB1.135" advise="1">
        <values>
          <value t="str">
            <val xml:space="preserve"> -</val>
          </value>
        </values>
      </ddeItem>
      <ddeItem name="LXFB1.136" advise="1">
        <values>
          <value t="str">
            <val xml:space="preserve"> -</val>
          </value>
        </values>
      </ddeItem>
      <ddeItem name="LXFB1.201" advise="1">
        <values>
          <value t="str">
            <val xml:space="preserve"> -</val>
          </value>
        </values>
      </ddeItem>
      <ddeItem name="LXFB1.202" advise="1">
        <values>
          <value t="str">
            <val xml:space="preserve"> -</val>
          </value>
        </values>
      </ddeItem>
      <ddeItem name="LXFB1.203" advise="1">
        <values>
          <value t="str">
            <val xml:space="preserve"> -</val>
          </value>
        </values>
      </ddeItem>
      <ddeItem name="LXFB1.204" advise="1">
        <values>
          <value t="str">
            <val xml:space="preserve"> -</val>
          </value>
        </values>
      </ddeItem>
      <ddeItem name="LXFB1.205" advise="1">
        <values>
          <value t="str">
            <val xml:space="preserve"> -</val>
          </value>
        </values>
      </ddeItem>
      <ddeItem name="LXFB1.211" advise="1">
        <values>
          <value t="str">
            <val xml:space="preserve"> -</val>
          </value>
        </values>
      </ddeItem>
      <ddeItem name="LXFB1.212" advise="1">
        <values>
          <value t="str">
            <val xml:space="preserve"> -</val>
          </value>
        </values>
      </ddeItem>
      <ddeItem name="LXFB1.213" advise="1">
        <values>
          <value t="str">
            <val xml:space="preserve"> -</val>
          </value>
        </values>
      </ddeItem>
      <ddeItem name="LXFB1.214" advise="1">
        <values>
          <value t="str">
            <val xml:space="preserve"> -</val>
          </value>
        </values>
      </ddeItem>
      <ddeItem name="LXFB1.215" advise="1">
        <values>
          <value t="str">
            <val xml:space="preserve"> -</val>
          </value>
        </values>
      </ddeItem>
      <ddeItem name="LXFB1.221" advise="1">
        <values>
          <value t="str">
            <val>-</val>
          </value>
        </values>
      </ddeItem>
      <ddeItem name="LXFB1.222" advise="1">
        <values>
          <value t="str">
            <val>-</val>
          </value>
        </values>
      </ddeItem>
      <ddeItem name="LXFB1.223" advise="1">
        <values>
          <value t="str">
            <val>-</val>
          </value>
        </values>
      </ddeItem>
      <ddeItem name="LXFB1.224" advise="1">
        <values>
          <value t="str">
            <val>-</val>
          </value>
        </values>
      </ddeItem>
      <ddeItem name="LXFB1.225" advise="1">
        <values>
          <value t="str">
            <val>-</val>
          </value>
        </values>
      </ddeItem>
      <ddeItem name="LXFB1.231" advise="1">
        <values>
          <value t="str">
            <val>-</val>
          </value>
        </values>
      </ddeItem>
      <ddeItem name="LXFB1.232" advise="1">
        <values>
          <value t="str">
            <val>-</val>
          </value>
        </values>
      </ddeItem>
      <ddeItem name="LXFB1.233" advise="1">
        <values>
          <value t="str">
            <val>-</val>
          </value>
        </values>
      </ddeItem>
      <ddeItem name="LXFB1.234" advise="1">
        <values>
          <value t="str">
            <val>-</val>
          </value>
        </values>
      </ddeItem>
      <ddeItem name="LXFB1.235" advise="1">
        <values>
          <value t="str">
            <val>-</val>
          </value>
        </values>
      </ddeItem>
      <ddeItem name="LXFB1.402" advise="1">
        <values>
          <value t="str">
            <val>加權指數</val>
          </value>
        </values>
      </ddeItem>
      <ddeItem name="LXFB1.406" advise="1">
        <values>
          <value t="str">
            <val xml:space="preserve"> -</val>
          </value>
        </values>
      </ddeItem>
      <ddeItem name="LXFB1.407" advise="1">
        <values>
          <value t="str">
            <val xml:space="preserve"> -</val>
          </value>
        </values>
      </ddeItem>
      <ddeItem name="LXFB1.431" advise="1">
        <values>
          <value t="str">
            <val>-</val>
          </value>
        </values>
      </ddeItem>
      <ddeItem name="LXFB1.437" advise="1">
        <values>
          <value t="str">
            <val xml:space="preserve"> -</val>
          </value>
        </values>
      </ddeItem>
      <ddeItem name="LYFB1.123" advise="1">
        <values>
          <value>
            <val>100135</val>
          </value>
        </values>
      </ddeItem>
      <ddeItem name="LYFB1.124" advise="1">
        <values>
          <value>
            <val>13893.65</val>
          </value>
        </values>
      </ddeItem>
      <ddeItem name="LYFB1.125" advise="1">
        <values>
          <value>
            <val>7.07</val>
          </value>
        </values>
      </ddeItem>
      <ddeItem name="LYFB1.128" advise="1">
        <values>
          <value>
            <val>611</val>
          </value>
        </values>
      </ddeItem>
      <ddeItem name="LYFB1.130" advise="1">
        <values>
          <value>
            <val>13893.03</val>
          </value>
        </values>
      </ddeItem>
      <ddeItem name="LYFB1.131" advise="1">
        <values>
          <value>
            <val>13945.78</val>
          </value>
        </values>
      </ddeItem>
      <ddeItem name="LYFB1.132" advise="1">
        <values>
          <value>
            <val>13875.82</val>
          </value>
        </values>
      </ddeItem>
      <ddeItem name="LYFB1.133" advise="1">
        <values>
          <value>
            <val>871785</val>
          </value>
        </values>
      </ddeItem>
      <ddeItem name="LYFB1.135" advise="1">
        <values>
          <value t="str">
            <val xml:space="preserve"> -</val>
          </value>
        </values>
      </ddeItem>
      <ddeItem name="LYFB1.136" advise="1">
        <values>
          <value t="str">
            <val xml:space="preserve"> -</val>
          </value>
        </values>
      </ddeItem>
      <ddeItem name="LYFB1.201" advise="1">
        <values>
          <value t="str">
            <val xml:space="preserve"> -</val>
          </value>
        </values>
      </ddeItem>
      <ddeItem name="LYFB1.202" advise="1">
        <values>
          <value t="str">
            <val xml:space="preserve"> -</val>
          </value>
        </values>
      </ddeItem>
      <ddeItem name="LYFB1.203" advise="1">
        <values>
          <value t="str">
            <val xml:space="preserve"> -</val>
          </value>
        </values>
      </ddeItem>
      <ddeItem name="LYFB1.204" advise="1">
        <values>
          <value t="str">
            <val xml:space="preserve"> -</val>
          </value>
        </values>
      </ddeItem>
      <ddeItem name="LYFB1.205" advise="1">
        <values>
          <value t="str">
            <val xml:space="preserve"> -</val>
          </value>
        </values>
      </ddeItem>
      <ddeItem name="LYFB1.211" advise="1">
        <values>
          <value t="str">
            <val xml:space="preserve"> -</val>
          </value>
        </values>
      </ddeItem>
      <ddeItem name="LYFB1.212" advise="1">
        <values>
          <value t="str">
            <val xml:space="preserve"> -</val>
          </value>
        </values>
      </ddeItem>
      <ddeItem name="LYFB1.213" advise="1">
        <values>
          <value t="str">
            <val xml:space="preserve"> -</val>
          </value>
        </values>
      </ddeItem>
      <ddeItem name="LYFB1.214" advise="1">
        <values>
          <value t="str">
            <val xml:space="preserve"> -</val>
          </value>
        </values>
      </ddeItem>
      <ddeItem name="LYFB1.215" advise="1">
        <values>
          <value t="str">
            <val xml:space="preserve"> -</val>
          </value>
        </values>
      </ddeItem>
      <ddeItem name="LYFB1.221" advise="1">
        <values>
          <value t="str">
            <val>-</val>
          </value>
        </values>
      </ddeItem>
      <ddeItem name="LYFB1.222" advise="1">
        <values>
          <value t="str">
            <val>-</val>
          </value>
        </values>
      </ddeItem>
      <ddeItem name="LYFB1.223" advise="1">
        <values>
          <value t="str">
            <val>-</val>
          </value>
        </values>
      </ddeItem>
      <ddeItem name="LYFB1.224" advise="1">
        <values>
          <value t="str">
            <val>-</val>
          </value>
        </values>
      </ddeItem>
      <ddeItem name="LYFB1.225" advise="1">
        <values>
          <value t="str">
            <val>-</val>
          </value>
        </values>
      </ddeItem>
      <ddeItem name="LYFB1.231" advise="1">
        <values>
          <value t="str">
            <val>-</val>
          </value>
        </values>
      </ddeItem>
      <ddeItem name="LYFB1.232" advise="1">
        <values>
          <value t="str">
            <val>-</val>
          </value>
        </values>
      </ddeItem>
      <ddeItem name="LYFB1.233" advise="1">
        <values>
          <value t="str">
            <val>-</val>
          </value>
        </values>
      </ddeItem>
      <ddeItem name="LYFB1.234" advise="1">
        <values>
          <value t="str">
            <val>-</val>
          </value>
        </values>
      </ddeItem>
      <ddeItem name="LYFB1.235" advise="1">
        <values>
          <value t="str">
            <val>-</val>
          </value>
        </values>
      </ddeItem>
      <ddeItem name="LYFB1.402" advise="1">
        <values>
          <value t="str">
            <val>不含金電</val>
          </value>
        </values>
      </ddeItem>
      <ddeItem name="LYFB1.406" advise="1">
        <values>
          <value t="str">
            <val xml:space="preserve"> -</val>
          </value>
        </values>
      </ddeItem>
      <ddeItem name="LYFB1.407" advise="1">
        <values>
          <value t="str">
            <val xml:space="preserve"> -</val>
          </value>
        </values>
      </ddeItem>
      <ddeItem name="LYFB1.431" advise="1">
        <values>
          <value t="str">
            <val>-</val>
          </value>
        </values>
      </ddeItem>
      <ddeItem name="LYFB1.437" advise="1">
        <values>
          <value t="str">
            <val xml:space="preserve"> -</val>
          </value>
        </values>
      </ddeItem>
      <ddeItem name="MAFB1.123" advise="1">
        <values>
          <value>
            <val>100150</val>
          </value>
        </values>
      </ddeItem>
      <ddeItem name="MAFB1.124" advise="1">
        <values>
          <value>
            <val>16421.62</val>
          </value>
        </values>
      </ddeItem>
      <ddeItem name="MAFB1.125" advise="1">
        <values>
          <value>
            <val>-21.78</val>
          </value>
        </values>
      </ddeItem>
      <ddeItem name="MAFB1.128" advise="1">
        <values>
          <value>
            <val>2439</val>
          </value>
        </values>
      </ddeItem>
      <ddeItem name="MAFB1.130" advise="1">
        <values>
          <value>
            <val>16329.54</val>
          </value>
        </values>
      </ddeItem>
      <ddeItem name="MAFB1.131" advise="1">
        <values>
          <value>
            <val>16456.939999999999</val>
          </value>
        </values>
      </ddeItem>
      <ddeItem name="MAFB1.132" advise="1">
        <values>
          <value>
            <val>16329.54</val>
          </value>
        </values>
      </ddeItem>
      <ddeItem name="MAFB1.133" advise="1">
        <values>
          <value>
            <val>4027056</val>
          </value>
        </values>
      </ddeItem>
      <ddeItem name="MAFB1.135" advise="1">
        <values>
          <value t="str">
            <val xml:space="preserve"> -</val>
          </value>
        </values>
      </ddeItem>
      <ddeItem name="MAFB1.136" advise="1">
        <values>
          <value t="str">
            <val xml:space="preserve"> -</val>
          </value>
        </values>
      </ddeItem>
      <ddeItem name="MAFB1.201" advise="1">
        <values>
          <value t="str">
            <val xml:space="preserve"> -</val>
          </value>
        </values>
      </ddeItem>
      <ddeItem name="MAFB1.202" advise="1">
        <values>
          <value t="str">
            <val xml:space="preserve"> -</val>
          </value>
        </values>
      </ddeItem>
      <ddeItem name="MAFB1.203" advise="1">
        <values>
          <value t="str">
            <val xml:space="preserve"> -</val>
          </value>
        </values>
      </ddeItem>
      <ddeItem name="MAFB1.204" advise="1">
        <values>
          <value t="str">
            <val xml:space="preserve"> -</val>
          </value>
        </values>
      </ddeItem>
      <ddeItem name="MAFB1.205" advise="1">
        <values>
          <value t="str">
            <val xml:space="preserve"> -</val>
          </value>
        </values>
      </ddeItem>
      <ddeItem name="MAFB1.211" advise="1">
        <values>
          <value t="str">
            <val xml:space="preserve"> -</val>
          </value>
        </values>
      </ddeItem>
      <ddeItem name="MAFB1.212" advise="1">
        <values>
          <value t="str">
            <val xml:space="preserve"> -</val>
          </value>
        </values>
      </ddeItem>
      <ddeItem name="MAFB1.213" advise="1">
        <values>
          <value t="str">
            <val xml:space="preserve"> -</val>
          </value>
        </values>
      </ddeItem>
      <ddeItem name="MAFB1.214" advise="1">
        <values>
          <value t="str">
            <val xml:space="preserve"> -</val>
          </value>
        </values>
      </ddeItem>
      <ddeItem name="MAFB1.215" advise="1">
        <values>
          <value t="str">
            <val xml:space="preserve"> -</val>
          </value>
        </values>
      </ddeItem>
      <ddeItem name="MAFB1.221" advise="1">
        <values>
          <value t="str">
            <val>-</val>
          </value>
        </values>
      </ddeItem>
      <ddeItem name="MAFB1.222" advise="1">
        <values>
          <value t="str">
            <val>-</val>
          </value>
        </values>
      </ddeItem>
      <ddeItem name="MAFB1.223" advise="1">
        <values>
          <value t="str">
            <val>-</val>
          </value>
        </values>
      </ddeItem>
      <ddeItem name="MAFB1.224" advise="1">
        <values>
          <value t="str">
            <val>-</val>
          </value>
        </values>
      </ddeItem>
      <ddeItem name="MAFB1.225" advise="1">
        <values>
          <value t="str">
            <val>-</val>
          </value>
        </values>
      </ddeItem>
      <ddeItem name="MAFB1.231" advise="1">
        <values>
          <value t="str">
            <val>-</val>
          </value>
        </values>
      </ddeItem>
      <ddeItem name="MAFB1.232" advise="1">
        <values>
          <value t="str">
            <val>-</val>
          </value>
        </values>
      </ddeItem>
      <ddeItem name="MAFB1.233" advise="1">
        <values>
          <value t="str">
            <val>-</val>
          </value>
        </values>
      </ddeItem>
      <ddeItem name="MAFB1.234" advise="1">
        <values>
          <value t="str">
            <val>-</val>
          </value>
        </values>
      </ddeItem>
      <ddeItem name="MAFB1.235" advise="1">
        <values>
          <value t="str">
            <val>-</val>
          </value>
        </values>
      </ddeItem>
      <ddeItem name="MAFB1.402" advise="1">
        <values>
          <value t="str">
            <val>加權指數</val>
          </value>
        </values>
      </ddeItem>
      <ddeItem name="MAFB1.406" advise="1">
        <values>
          <value t="str">
            <val xml:space="preserve"> -</val>
          </value>
        </values>
      </ddeItem>
      <ddeItem name="MAFB1.407" advise="1">
        <values>
          <value t="str">
            <val xml:space="preserve"> -</val>
          </value>
        </values>
      </ddeItem>
      <ddeItem name="MAFB1.431" advise="1">
        <values>
          <value t="str">
            <val>-</val>
          </value>
        </values>
      </ddeItem>
      <ddeItem name="MAFB1.437" advise="1">
        <values>
          <value t="str">
            <val xml:space="preserve"> -</val>
          </value>
        </values>
      </ddeItem>
      <ddeItem name="MBFB1.123" advise="1">
        <values>
          <value>
            <val>0</val>
          </value>
        </values>
      </ddeItem>
      <ddeItem name="MBFB1.124" advise="1">
        <values>
          <value>
            <val>20878632</val>
          </value>
        </values>
      </ddeItem>
      <ddeItem name="MBFB1.125" advise="1">
        <values>
          <value t="str">
            <val xml:space="preserve"> </val>
          </value>
        </values>
      </ddeItem>
      <ddeItem name="MBFB1.128" advise="1">
        <values>
          <value>
            <val>1212870150</val>
          </value>
        </values>
      </ddeItem>
      <ddeItem name="MBFB1.130" advise="1">
        <values>
          <value>
            <val>20803788</val>
          </value>
        </values>
      </ddeItem>
      <ddeItem name="MBFB1.131" advise="1">
        <values>
          <value>
            <val>20804690</val>
          </value>
        </values>
      </ddeItem>
      <ddeItem name="MBFB1.132" advise="1">
        <values>
          <value>
            <val>10989732</val>
          </value>
        </values>
      </ddeItem>
      <ddeItem name="MBFB1.133" advise="1">
        <values>
          <value>
            <val>2088371110</val>
          </value>
        </values>
      </ddeItem>
      <ddeItem name="MBFB1.135" advise="1">
        <values>
          <value t="str">
            <val xml:space="preserve"> -</val>
          </value>
        </values>
      </ddeItem>
      <ddeItem name="MBFB1.136" advise="1">
        <values>
          <value t="str">
            <val xml:space="preserve"> -</val>
          </value>
        </values>
      </ddeItem>
      <ddeItem name="MBFB1.201" advise="1">
        <values>
          <value t="str">
            <val xml:space="preserve"> -</val>
          </value>
        </values>
      </ddeItem>
      <ddeItem name="MBFB1.202" advise="1">
        <values>
          <value t="str">
            <val xml:space="preserve"> -</val>
          </value>
        </values>
      </ddeItem>
      <ddeItem name="MBFB1.203" advise="1">
        <values>
          <value t="str">
            <val xml:space="preserve"> -</val>
          </value>
        </values>
      </ddeItem>
      <ddeItem name="MBFB1.204" advise="1">
        <values>
          <value t="str">
            <val xml:space="preserve"> -</val>
          </value>
        </values>
      </ddeItem>
      <ddeItem name="MBFB1.205" advise="1">
        <values>
          <value t="str">
            <val xml:space="preserve"> -</val>
          </value>
        </values>
      </ddeItem>
      <ddeItem name="MBFB1.211" advise="1">
        <values>
          <value t="str">
            <val xml:space="preserve"> -</val>
          </value>
        </values>
      </ddeItem>
      <ddeItem name="MBFB1.212" advise="1">
        <values>
          <value t="str">
            <val xml:space="preserve"> -</val>
          </value>
        </values>
      </ddeItem>
      <ddeItem name="MBFB1.213" advise="1">
        <values>
          <value t="str">
            <val xml:space="preserve"> -</val>
          </value>
        </values>
      </ddeItem>
      <ddeItem name="MBFB1.214" advise="1">
        <values>
          <value t="str">
            <val xml:space="preserve"> -</val>
          </value>
        </values>
      </ddeItem>
      <ddeItem name="MBFB1.215" advise="1">
        <values>
          <value t="str">
            <val xml:space="preserve"> -</val>
          </value>
        </values>
      </ddeItem>
      <ddeItem name="MBFB1.221" advise="1">
        <values>
          <value t="str">
            <val>-</val>
          </value>
        </values>
      </ddeItem>
      <ddeItem name="MBFB1.222" advise="1">
        <values>
          <value t="str">
            <val>-</val>
          </value>
        </values>
      </ddeItem>
      <ddeItem name="MBFB1.223" advise="1">
        <values>
          <value t="str">
            <val>-</val>
          </value>
        </values>
      </ddeItem>
      <ddeItem name="MBFB1.224" advise="1">
        <values>
          <value t="str">
            <val>-</val>
          </value>
        </values>
      </ddeItem>
      <ddeItem name="MBFB1.225" advise="1">
        <values>
          <value t="str">
            <val>-</val>
          </value>
        </values>
      </ddeItem>
      <ddeItem name="MBFB1.231" advise="1">
        <values>
          <value t="str">
            <val>-</val>
          </value>
        </values>
      </ddeItem>
      <ddeItem name="MBFB1.232" advise="1">
        <values>
          <value t="str">
            <val>-</val>
          </value>
        </values>
      </ddeItem>
      <ddeItem name="MBFB1.233" advise="1">
        <values>
          <value t="str">
            <val>-</val>
          </value>
        </values>
      </ddeItem>
      <ddeItem name="MBFB1.234" advise="1">
        <values>
          <value t="str">
            <val>-</val>
          </value>
        </values>
      </ddeItem>
      <ddeItem name="MBFB1.235" advise="1">
        <values>
          <value t="str">
            <val>-</val>
          </value>
        </values>
      </ddeItem>
      <ddeItem name="MBFB1.402" advise="1"/>
      <ddeItem name="MBFB1.406" advise="1">
        <values>
          <value t="str">
            <val xml:space="preserve"> -</val>
          </value>
        </values>
      </ddeItem>
      <ddeItem name="MBFB1.407" advise="1">
        <values>
          <value t="str">
            <val xml:space="preserve"> -</val>
          </value>
        </values>
      </ddeItem>
      <ddeItem name="MBFB1.431" advise="1">
        <values>
          <value t="str">
            <val>-</val>
          </value>
        </values>
      </ddeItem>
      <ddeItem name="MBFB1.437" advise="1">
        <values>
          <value t="str">
            <val xml:space="preserve"> -</val>
          </value>
        </values>
      </ddeItem>
      <ddeItem name="MJFB1.123" advise="1">
        <values>
          <value>
            <val>100135</val>
          </value>
        </values>
      </ddeItem>
      <ddeItem name="MJFB1.124" advise="1">
        <values>
          <value>
            <val>16424.64</val>
          </value>
        </values>
      </ddeItem>
      <ddeItem name="MJFB1.125" advise="1">
        <values>
          <value>
            <val>-18.760000000000002</val>
          </value>
        </values>
      </ddeItem>
      <ddeItem name="MJFB1.128" advise="1">
        <values>
          <value>
            <val>1648</val>
          </value>
        </values>
      </ddeItem>
      <ddeItem name="MJFB1.130" advise="1">
        <values>
          <value>
            <val>16329.54</val>
          </value>
        </values>
      </ddeItem>
      <ddeItem name="MJFB1.131" advise="1">
        <values>
          <value>
            <val>16456.939999999999</val>
          </value>
        </values>
      </ddeItem>
      <ddeItem name="MJFB1.132" advise="1">
        <values>
          <value>
            <val>16329.54</val>
          </value>
        </values>
      </ddeItem>
      <ddeItem name="MJFB1.133" advise="1">
        <values>
          <value>
            <val>4020107</val>
          </value>
        </values>
      </ddeItem>
      <ddeItem name="MJFB1.135" advise="1">
        <values>
          <value t="str">
            <val xml:space="preserve"> -</val>
          </value>
        </values>
      </ddeItem>
      <ddeItem name="MJFB1.136" advise="1">
        <values>
          <value t="str">
            <val xml:space="preserve"> -</val>
          </value>
        </values>
      </ddeItem>
      <ddeItem name="MJFB1.201" advise="1">
        <values>
          <value t="str">
            <val xml:space="preserve"> -</val>
          </value>
        </values>
      </ddeItem>
      <ddeItem name="MJFB1.202" advise="1">
        <values>
          <value t="str">
            <val xml:space="preserve"> -</val>
          </value>
        </values>
      </ddeItem>
      <ddeItem name="MJFB1.203" advise="1">
        <values>
          <value t="str">
            <val xml:space="preserve"> -</val>
          </value>
        </values>
      </ddeItem>
      <ddeItem name="MJFB1.204" advise="1">
        <values>
          <value t="str">
            <val xml:space="preserve"> -</val>
          </value>
        </values>
      </ddeItem>
      <ddeItem name="MJFB1.205" advise="1">
        <values>
          <value t="str">
            <val xml:space="preserve"> -</val>
          </value>
        </values>
      </ddeItem>
      <ddeItem name="MJFB1.211" advise="1">
        <values>
          <value t="str">
            <val xml:space="preserve"> -</val>
          </value>
        </values>
      </ddeItem>
      <ddeItem name="MJFB1.212" advise="1">
        <values>
          <value t="str">
            <val xml:space="preserve"> -</val>
          </value>
        </values>
      </ddeItem>
      <ddeItem name="MJFB1.213" advise="1">
        <values>
          <value t="str">
            <val xml:space="preserve"> -</val>
          </value>
        </values>
      </ddeItem>
      <ddeItem name="MJFB1.214" advise="1">
        <values>
          <value t="str">
            <val xml:space="preserve"> -</val>
          </value>
        </values>
      </ddeItem>
      <ddeItem name="MJFB1.215" advise="1">
        <values>
          <value t="str">
            <val xml:space="preserve"> -</val>
          </value>
        </values>
      </ddeItem>
      <ddeItem name="MJFB1.221" advise="1">
        <values>
          <value t="str">
            <val>-</val>
          </value>
        </values>
      </ddeItem>
      <ddeItem name="MJFB1.222" advise="1">
        <values>
          <value t="str">
            <val>-</val>
          </value>
        </values>
      </ddeItem>
      <ddeItem name="MJFB1.223" advise="1">
        <values>
          <value t="str">
            <val>-</val>
          </value>
        </values>
      </ddeItem>
      <ddeItem name="MJFB1.224" advise="1">
        <values>
          <value t="str">
            <val>-</val>
          </value>
        </values>
      </ddeItem>
      <ddeItem name="MJFB1.225" advise="1">
        <values>
          <value t="str">
            <val>-</val>
          </value>
        </values>
      </ddeItem>
      <ddeItem name="MJFB1.231" advise="1">
        <values>
          <value t="str">
            <val>-</val>
          </value>
        </values>
      </ddeItem>
      <ddeItem name="MJFB1.232" advise="1">
        <values>
          <value t="str">
            <val>-</val>
          </value>
        </values>
      </ddeItem>
      <ddeItem name="MJFB1.233" advise="1">
        <values>
          <value t="str">
            <val>-</val>
          </value>
        </values>
      </ddeItem>
      <ddeItem name="MJFB1.234" advise="1">
        <values>
          <value t="str">
            <val>-</val>
          </value>
        </values>
      </ddeItem>
      <ddeItem name="MJFB1.235" advise="1">
        <values>
          <value t="str">
            <val>-</val>
          </value>
        </values>
      </ddeItem>
      <ddeItem name="MJFB1.402" advise="1">
        <values>
          <value t="str">
            <val>加權指數</val>
          </value>
        </values>
      </ddeItem>
      <ddeItem name="MJFB1.406" advise="1">
        <values>
          <value t="str">
            <val xml:space="preserve"> -</val>
          </value>
        </values>
      </ddeItem>
      <ddeItem name="MJFB1.407" advise="1">
        <values>
          <value t="str">
            <val xml:space="preserve"> -</val>
          </value>
        </values>
      </ddeItem>
      <ddeItem name="MJFB1.431" advise="1">
        <values>
          <value t="str">
            <val>-</val>
          </value>
        </values>
      </ddeItem>
      <ddeItem name="MJFB1.437" advise="1">
        <values>
          <value t="str">
            <val xml:space="preserve"> -</val>
          </value>
        </values>
      </ddeItem>
      <ddeItem name="MKFB1.123" advise="1">
        <values>
          <value>
            <val>100135</val>
          </value>
        </values>
      </ddeItem>
      <ddeItem name="MKFB1.124" advise="1">
        <values>
          <value>
            <val>16424.64</val>
          </value>
        </values>
      </ddeItem>
      <ddeItem name="MKFB1.125" advise="1">
        <values>
          <value>
            <val>-18.760000000000002</val>
          </value>
        </values>
      </ddeItem>
      <ddeItem name="MKFB1.128" advise="1">
        <values>
          <value>
            <val>1648</val>
          </value>
        </values>
      </ddeItem>
      <ddeItem name="MKFB1.130" advise="1">
        <values>
          <value>
            <val>16329.54</val>
          </value>
        </values>
      </ddeItem>
      <ddeItem name="MKFB1.131" advise="1">
        <values>
          <value>
            <val>16456.939999999999</val>
          </value>
        </values>
      </ddeItem>
      <ddeItem name="MKFB1.132" advise="1">
        <values>
          <value>
            <val>16329.54</val>
          </value>
        </values>
      </ddeItem>
      <ddeItem name="MKFB1.133" advise="1">
        <values>
          <value>
            <val>4020107</val>
          </value>
        </values>
      </ddeItem>
      <ddeItem name="MKFB1.135" advise="1">
        <values>
          <value t="str">
            <val xml:space="preserve"> -</val>
          </value>
        </values>
      </ddeItem>
      <ddeItem name="MKFB1.136" advise="1">
        <values>
          <value t="str">
            <val xml:space="preserve"> -</val>
          </value>
        </values>
      </ddeItem>
      <ddeItem name="MKFB1.201" advise="1">
        <values>
          <value t="str">
            <val xml:space="preserve"> -</val>
          </value>
        </values>
      </ddeItem>
      <ddeItem name="MKFB1.202" advise="1">
        <values>
          <value t="str">
            <val xml:space="preserve"> -</val>
          </value>
        </values>
      </ddeItem>
      <ddeItem name="MKFB1.203" advise="1">
        <values>
          <value t="str">
            <val xml:space="preserve"> -</val>
          </value>
        </values>
      </ddeItem>
      <ddeItem name="MKFB1.204" advise="1">
        <values>
          <value t="str">
            <val xml:space="preserve"> -</val>
          </value>
        </values>
      </ddeItem>
      <ddeItem name="MKFB1.205" advise="1">
        <values>
          <value t="str">
            <val xml:space="preserve"> -</val>
          </value>
        </values>
      </ddeItem>
      <ddeItem name="MKFB1.211" advise="1">
        <values>
          <value t="str">
            <val xml:space="preserve"> -</val>
          </value>
        </values>
      </ddeItem>
      <ddeItem name="MKFB1.212" advise="1">
        <values>
          <value t="str">
            <val xml:space="preserve"> -</val>
          </value>
        </values>
      </ddeItem>
      <ddeItem name="MKFB1.213" advise="1">
        <values>
          <value t="str">
            <val xml:space="preserve"> -</val>
          </value>
        </values>
      </ddeItem>
      <ddeItem name="MKFB1.214" advise="1">
        <values>
          <value t="str">
            <val xml:space="preserve"> -</val>
          </value>
        </values>
      </ddeItem>
      <ddeItem name="MKFB1.215" advise="1">
        <values>
          <value t="str">
            <val xml:space="preserve"> -</val>
          </value>
        </values>
      </ddeItem>
      <ddeItem name="MKFB1.221" advise="1">
        <values>
          <value t="str">
            <val>-</val>
          </value>
        </values>
      </ddeItem>
      <ddeItem name="MKFB1.222" advise="1">
        <values>
          <value t="str">
            <val>-</val>
          </value>
        </values>
      </ddeItem>
      <ddeItem name="MKFB1.223" advise="1">
        <values>
          <value t="str">
            <val>-</val>
          </value>
        </values>
      </ddeItem>
      <ddeItem name="MKFB1.224" advise="1">
        <values>
          <value t="str">
            <val>-</val>
          </value>
        </values>
      </ddeItem>
      <ddeItem name="MKFB1.225" advise="1">
        <values>
          <value t="str">
            <val>-</val>
          </value>
        </values>
      </ddeItem>
      <ddeItem name="MKFB1.231" advise="1">
        <values>
          <value t="str">
            <val>-</val>
          </value>
        </values>
      </ddeItem>
      <ddeItem name="MKFB1.232" advise="1">
        <values>
          <value t="str">
            <val>-</val>
          </value>
        </values>
      </ddeItem>
      <ddeItem name="MKFB1.233" advise="1">
        <values>
          <value t="str">
            <val>-</val>
          </value>
        </values>
      </ddeItem>
      <ddeItem name="MKFB1.234" advise="1">
        <values>
          <value t="str">
            <val>-</val>
          </value>
        </values>
      </ddeItem>
      <ddeItem name="MKFB1.235" advise="1">
        <values>
          <value t="str">
            <val>-</val>
          </value>
        </values>
      </ddeItem>
      <ddeItem name="MKFB1.402" advise="1">
        <values>
          <value t="str">
            <val>加權指數</val>
          </value>
        </values>
      </ddeItem>
      <ddeItem name="MKFB1.406" advise="1">
        <values>
          <value t="str">
            <val xml:space="preserve"> -</val>
          </value>
        </values>
      </ddeItem>
      <ddeItem name="MKFB1.407" advise="1">
        <values>
          <value t="str">
            <val xml:space="preserve"> -</val>
          </value>
        </values>
      </ddeItem>
      <ddeItem name="MKFB1.431" advise="1">
        <values>
          <value t="str">
            <val>-</val>
          </value>
        </values>
      </ddeItem>
      <ddeItem name="MKFB1.437" advise="1">
        <values>
          <value t="str">
            <val xml:space="preserve"> -</val>
          </value>
        </values>
      </ddeItem>
      <ddeItem name="MPFB1.123" advise="1">
        <values>
          <value>
            <val>100150</val>
          </value>
        </values>
      </ddeItem>
      <ddeItem name="MPFB1.124" advise="1">
        <values>
          <value>
            <val>13900.72</val>
          </value>
        </values>
      </ddeItem>
      <ddeItem name="MPFB1.125" advise="1">
        <values>
          <value>
            <val>14.14</val>
          </value>
        </values>
      </ddeItem>
      <ddeItem name="MPFB1.128" advise="1">
        <values>
          <value>
            <val>887</val>
          </value>
        </values>
      </ddeItem>
      <ddeItem name="MPFB1.130" advise="1">
        <values>
          <value>
            <val>13893.03</val>
          </value>
        </values>
      </ddeItem>
      <ddeItem name="MPFB1.131" advise="1">
        <values>
          <value>
            <val>13945.78</val>
          </value>
        </values>
      </ddeItem>
      <ddeItem name="MPFB1.132" advise="1">
        <values>
          <value>
            <val>13875.82</val>
          </value>
        </values>
      </ddeItem>
      <ddeItem name="MPFB1.133" advise="1">
        <values>
          <value>
            <val>873827</val>
          </value>
        </values>
      </ddeItem>
      <ddeItem name="MPFB1.135" advise="1">
        <values>
          <value t="str">
            <val xml:space="preserve"> -</val>
          </value>
        </values>
      </ddeItem>
      <ddeItem name="MPFB1.136" advise="1">
        <values>
          <value t="str">
            <val xml:space="preserve"> -</val>
          </value>
        </values>
      </ddeItem>
      <ddeItem name="MPFB1.201" advise="1">
        <values>
          <value t="str">
            <val xml:space="preserve"> -</val>
          </value>
        </values>
      </ddeItem>
      <ddeItem name="MPFB1.202" advise="1">
        <values>
          <value t="str">
            <val xml:space="preserve"> -</val>
          </value>
        </values>
      </ddeItem>
      <ddeItem name="MPFB1.203" advise="1">
        <values>
          <value t="str">
            <val xml:space="preserve"> -</val>
          </value>
        </values>
      </ddeItem>
      <ddeItem name="MPFB1.204" advise="1">
        <values>
          <value t="str">
            <val xml:space="preserve"> -</val>
          </value>
        </values>
      </ddeItem>
      <ddeItem name="MPFB1.205" advise="1">
        <values>
          <value t="str">
            <val xml:space="preserve"> -</val>
          </value>
        </values>
      </ddeItem>
      <ddeItem name="MPFB1.211" advise="1">
        <values>
          <value t="str">
            <val xml:space="preserve"> -</val>
          </value>
        </values>
      </ddeItem>
      <ddeItem name="MPFB1.212" advise="1">
        <values>
          <value t="str">
            <val xml:space="preserve"> -</val>
          </value>
        </values>
      </ddeItem>
      <ddeItem name="MPFB1.213" advise="1">
        <values>
          <value t="str">
            <val xml:space="preserve"> -</val>
          </value>
        </values>
      </ddeItem>
      <ddeItem name="MPFB1.214" advise="1">
        <values>
          <value t="str">
            <val xml:space="preserve"> -</val>
          </value>
        </values>
      </ddeItem>
      <ddeItem name="MPFB1.215" advise="1">
        <values>
          <value t="str">
            <val xml:space="preserve"> -</val>
          </value>
        </values>
      </ddeItem>
      <ddeItem name="MPFB1.221" advise="1">
        <values>
          <value t="str">
            <val>-</val>
          </value>
        </values>
      </ddeItem>
      <ddeItem name="MPFB1.222" advise="1">
        <values>
          <value t="str">
            <val>-</val>
          </value>
        </values>
      </ddeItem>
      <ddeItem name="MPFB1.223" advise="1">
        <values>
          <value t="str">
            <val>-</val>
          </value>
        </values>
      </ddeItem>
      <ddeItem name="MPFB1.224" advise="1">
        <values>
          <value t="str">
            <val>-</val>
          </value>
        </values>
      </ddeItem>
      <ddeItem name="MPFB1.225" advise="1">
        <values>
          <value t="str">
            <val>-</val>
          </value>
        </values>
      </ddeItem>
      <ddeItem name="MPFB1.231" advise="1">
        <values>
          <value t="str">
            <val>-</val>
          </value>
        </values>
      </ddeItem>
      <ddeItem name="MPFB1.232" advise="1">
        <values>
          <value t="str">
            <val>-</val>
          </value>
        </values>
      </ddeItem>
      <ddeItem name="MPFB1.233" advise="1">
        <values>
          <value t="str">
            <val>-</val>
          </value>
        </values>
      </ddeItem>
      <ddeItem name="MPFB1.234" advise="1">
        <values>
          <value t="str">
            <val>-</val>
          </value>
        </values>
      </ddeItem>
      <ddeItem name="MPFB1.235" advise="1">
        <values>
          <value t="str">
            <val>-</val>
          </value>
        </values>
      </ddeItem>
      <ddeItem name="MPFB1.402" advise="1">
        <values>
          <value t="str">
            <val>不含金電</val>
          </value>
        </values>
      </ddeItem>
      <ddeItem name="MPFB1.406" advise="1">
        <values>
          <value t="str">
            <val xml:space="preserve"> -</val>
          </value>
        </values>
      </ddeItem>
      <ddeItem name="MPFB1.407" advise="1">
        <values>
          <value t="str">
            <val xml:space="preserve"> -</val>
          </value>
        </values>
      </ddeItem>
      <ddeItem name="MPFB1.431" advise="1">
        <values>
          <value t="str">
            <val>-</val>
          </value>
        </values>
      </ddeItem>
      <ddeItem name="MPFB1.437" advise="1">
        <values>
          <value t="str">
            <val xml:space="preserve"> -</val>
          </value>
        </values>
      </ddeItem>
      <ddeItem name="MQFB1.123" advise="1">
        <values>
          <value>
            <val>100150</val>
          </value>
        </values>
      </ddeItem>
      <ddeItem name="MQFB1.124" advise="1">
        <values>
          <value>
            <val>16421.62</val>
          </value>
        </values>
      </ddeItem>
      <ddeItem name="MQFB1.125" advise="1">
        <values>
          <value>
            <val>-21.78</val>
          </value>
        </values>
      </ddeItem>
      <ddeItem name="MQFB1.128" advise="1">
        <values>
          <value>
            <val>2439</val>
          </value>
        </values>
      </ddeItem>
      <ddeItem name="MQFB1.130" advise="1">
        <values>
          <value>
            <val>16329.54</val>
          </value>
        </values>
      </ddeItem>
      <ddeItem name="MQFB1.131" advise="1">
        <values>
          <value>
            <val>16456.939999999999</val>
          </value>
        </values>
      </ddeItem>
      <ddeItem name="MQFB1.132" advise="1">
        <values>
          <value>
            <val>16329.54</val>
          </value>
        </values>
      </ddeItem>
      <ddeItem name="MQFB1.133" advise="1">
        <values>
          <value>
            <val>4027056</val>
          </value>
        </values>
      </ddeItem>
      <ddeItem name="MQFB1.135" advise="1">
        <values>
          <value t="str">
            <val xml:space="preserve"> -</val>
          </value>
        </values>
      </ddeItem>
      <ddeItem name="MQFB1.136" advise="1">
        <values>
          <value t="str">
            <val xml:space="preserve"> -</val>
          </value>
        </values>
      </ddeItem>
      <ddeItem name="MQFB1.201" advise="1">
        <values>
          <value t="str">
            <val xml:space="preserve"> -</val>
          </value>
        </values>
      </ddeItem>
      <ddeItem name="MQFB1.202" advise="1">
        <values>
          <value t="str">
            <val xml:space="preserve"> -</val>
          </value>
        </values>
      </ddeItem>
      <ddeItem name="MQFB1.203" advise="1">
        <values>
          <value t="str">
            <val xml:space="preserve"> -</val>
          </value>
        </values>
      </ddeItem>
      <ddeItem name="MQFB1.204" advise="1">
        <values>
          <value t="str">
            <val xml:space="preserve"> -</val>
          </value>
        </values>
      </ddeItem>
      <ddeItem name="MQFB1.205" advise="1">
        <values>
          <value t="str">
            <val xml:space="preserve"> -</val>
          </value>
        </values>
      </ddeItem>
      <ddeItem name="MQFB1.211" advise="1">
        <values>
          <value t="str">
            <val xml:space="preserve"> -</val>
          </value>
        </values>
      </ddeItem>
      <ddeItem name="MQFB1.212" advise="1">
        <values>
          <value t="str">
            <val xml:space="preserve"> -</val>
          </value>
        </values>
      </ddeItem>
      <ddeItem name="MQFB1.213" advise="1">
        <values>
          <value t="str">
            <val xml:space="preserve"> -</val>
          </value>
        </values>
      </ddeItem>
      <ddeItem name="MQFB1.214" advise="1">
        <values>
          <value t="str">
            <val xml:space="preserve"> -</val>
          </value>
        </values>
      </ddeItem>
      <ddeItem name="MQFB1.215" advise="1">
        <values>
          <value t="str">
            <val xml:space="preserve"> -</val>
          </value>
        </values>
      </ddeItem>
      <ddeItem name="MQFB1.221" advise="1">
        <values>
          <value t="str">
            <val>-</val>
          </value>
        </values>
      </ddeItem>
      <ddeItem name="MQFB1.222" advise="1">
        <values>
          <value t="str">
            <val>-</val>
          </value>
        </values>
      </ddeItem>
      <ddeItem name="MQFB1.223" advise="1">
        <values>
          <value t="str">
            <val>-</val>
          </value>
        </values>
      </ddeItem>
      <ddeItem name="MQFB1.224" advise="1">
        <values>
          <value t="str">
            <val>-</val>
          </value>
        </values>
      </ddeItem>
      <ddeItem name="MQFB1.225" advise="1">
        <values>
          <value t="str">
            <val>-</val>
          </value>
        </values>
      </ddeItem>
      <ddeItem name="MQFB1.231" advise="1">
        <values>
          <value t="str">
            <val>-</val>
          </value>
        </values>
      </ddeItem>
      <ddeItem name="MQFB1.232" advise="1">
        <values>
          <value t="str">
            <val>-</val>
          </value>
        </values>
      </ddeItem>
      <ddeItem name="MQFB1.233" advise="1">
        <values>
          <value t="str">
            <val>-</val>
          </value>
        </values>
      </ddeItem>
      <ddeItem name="MQFB1.234" advise="1">
        <values>
          <value t="str">
            <val>-</val>
          </value>
        </values>
      </ddeItem>
      <ddeItem name="MQFB1.235" advise="1">
        <values>
          <value t="str">
            <val>-</val>
          </value>
        </values>
      </ddeItem>
      <ddeItem name="MQFB1.402" advise="1">
        <values>
          <value t="str">
            <val>加權指數</val>
          </value>
        </values>
      </ddeItem>
      <ddeItem name="MQFB1.406" advise="1">
        <values>
          <value t="str">
            <val xml:space="preserve"> -</val>
          </value>
        </values>
      </ddeItem>
      <ddeItem name="MQFB1.407" advise="1">
        <values>
          <value t="str">
            <val xml:space="preserve"> -</val>
          </value>
        </values>
      </ddeItem>
      <ddeItem name="MQFB1.431" advise="1">
        <values>
          <value t="str">
            <val>-</val>
          </value>
        </values>
      </ddeItem>
      <ddeItem name="MQFB1.437" advise="1">
        <values>
          <value t="str">
            <val xml:space="preserve"> -</val>
          </value>
        </values>
      </ddeItem>
      <ddeItem name="MVFB1.123" advise="1">
        <values>
          <value>
            <val>100140</val>
          </value>
        </values>
      </ddeItem>
      <ddeItem name="MVFB1.124" advise="1">
        <values>
          <value>
            <val>16428.68</val>
          </value>
        </values>
      </ddeItem>
      <ddeItem name="MVFB1.125" advise="1">
        <values>
          <value>
            <val>-14.72</val>
          </value>
        </values>
      </ddeItem>
      <ddeItem name="MVFB1.128" advise="1">
        <values>
          <value>
            <val>2686</val>
          </value>
        </values>
      </ddeItem>
      <ddeItem name="MVFB1.130" advise="1">
        <values>
          <value>
            <val>16329.54</val>
          </value>
        </values>
      </ddeItem>
      <ddeItem name="MVFB1.131" advise="1">
        <values>
          <value>
            <val>16456.939999999999</val>
          </value>
        </values>
      </ddeItem>
      <ddeItem name="MVFB1.132" advise="1">
        <values>
          <value>
            <val>16329.54</val>
          </value>
        </values>
      </ddeItem>
      <ddeItem name="MVFB1.133" advise="1">
        <values>
          <value>
            <val>4022793</val>
          </value>
        </values>
      </ddeItem>
      <ddeItem name="MVFB1.135" advise="1">
        <values>
          <value t="str">
            <val xml:space="preserve"> -</val>
          </value>
        </values>
      </ddeItem>
      <ddeItem name="MVFB1.136" advise="1">
        <values>
          <value t="str">
            <val xml:space="preserve"> -</val>
          </value>
        </values>
      </ddeItem>
      <ddeItem name="MVFB1.201" advise="1">
        <values>
          <value t="str">
            <val xml:space="preserve"> -</val>
          </value>
        </values>
      </ddeItem>
      <ddeItem name="MVFB1.202" advise="1">
        <values>
          <value t="str">
            <val xml:space="preserve"> -</val>
          </value>
        </values>
      </ddeItem>
      <ddeItem name="MVFB1.203" advise="1">
        <values>
          <value t="str">
            <val xml:space="preserve"> -</val>
          </value>
        </values>
      </ddeItem>
      <ddeItem name="MVFB1.204" advise="1">
        <values>
          <value t="str">
            <val xml:space="preserve"> -</val>
          </value>
        </values>
      </ddeItem>
      <ddeItem name="MVFB1.205" advise="1">
        <values>
          <value t="str">
            <val xml:space="preserve"> -</val>
          </value>
        </values>
      </ddeItem>
      <ddeItem name="MVFB1.211" advise="1">
        <values>
          <value t="str">
            <val xml:space="preserve"> -</val>
          </value>
        </values>
      </ddeItem>
      <ddeItem name="MVFB1.212" advise="1">
        <values>
          <value t="str">
            <val xml:space="preserve"> -</val>
          </value>
        </values>
      </ddeItem>
      <ddeItem name="MVFB1.213" advise="1">
        <values>
          <value t="str">
            <val xml:space="preserve"> -</val>
          </value>
        </values>
      </ddeItem>
      <ddeItem name="MVFB1.214" advise="1">
        <values>
          <value t="str">
            <val xml:space="preserve"> -</val>
          </value>
        </values>
      </ddeItem>
      <ddeItem name="MVFB1.215" advise="1">
        <values>
          <value t="str">
            <val xml:space="preserve"> -</val>
          </value>
        </values>
      </ddeItem>
      <ddeItem name="MVFB1.221" advise="1">
        <values>
          <value t="str">
            <val>-</val>
          </value>
        </values>
      </ddeItem>
      <ddeItem name="MVFB1.222" advise="1">
        <values>
          <value t="str">
            <val>-</val>
          </value>
        </values>
      </ddeItem>
      <ddeItem name="MVFB1.223" advise="1">
        <values>
          <value t="str">
            <val>-</val>
          </value>
        </values>
      </ddeItem>
      <ddeItem name="MVFB1.224" advise="1">
        <values>
          <value t="str">
            <val>-</val>
          </value>
        </values>
      </ddeItem>
      <ddeItem name="MVFB1.225" advise="1">
        <values>
          <value t="str">
            <val>-</val>
          </value>
        </values>
      </ddeItem>
      <ddeItem name="MVFB1.231" advise="1">
        <values>
          <value t="str">
            <val>-</val>
          </value>
        </values>
      </ddeItem>
      <ddeItem name="MVFB1.232" advise="1">
        <values>
          <value t="str">
            <val>-</val>
          </value>
        </values>
      </ddeItem>
      <ddeItem name="MVFB1.233" advise="1">
        <values>
          <value t="str">
            <val>-</val>
          </value>
        </values>
      </ddeItem>
      <ddeItem name="MVFB1.234" advise="1">
        <values>
          <value t="str">
            <val>-</val>
          </value>
        </values>
      </ddeItem>
      <ddeItem name="MVFB1.235" advise="1">
        <values>
          <value t="str">
            <val>-</val>
          </value>
        </values>
      </ddeItem>
      <ddeItem name="MVFB1.402" advise="1">
        <values>
          <value t="str">
            <val>加權指數</val>
          </value>
        </values>
      </ddeItem>
      <ddeItem name="MVFB1.406" advise="1">
        <values>
          <value t="str">
            <val xml:space="preserve"> -</val>
          </value>
        </values>
      </ddeItem>
      <ddeItem name="MVFB1.407" advise="1">
        <values>
          <value t="str">
            <val xml:space="preserve"> -</val>
          </value>
        </values>
      </ddeItem>
      <ddeItem name="MVFB1.431" advise="1">
        <values>
          <value t="str">
            <val>-</val>
          </value>
        </values>
      </ddeItem>
      <ddeItem name="MVFB1.437" advise="1">
        <values>
          <value t="str">
            <val xml:space="preserve"> -</val>
          </value>
        </values>
      </ddeItem>
      <ddeItem name="MYFB1.123" advise="1">
        <values>
          <value>
            <val>100140</val>
          </value>
        </values>
      </ddeItem>
      <ddeItem name="MYFB1.124" advise="1">
        <values>
          <value>
            <val>13893.18</val>
          </value>
        </values>
      </ddeItem>
      <ddeItem name="MYFB1.125" advise="1">
        <values>
          <value>
            <val>6.6</val>
          </value>
        </values>
      </ddeItem>
      <ddeItem name="MYFB1.128" advise="1">
        <values>
          <value>
            <val>720</val>
          </value>
        </values>
      </ddeItem>
      <ddeItem name="MYFB1.130" advise="1">
        <values>
          <value>
            <val>13893.03</val>
          </value>
        </values>
      </ddeItem>
      <ddeItem name="MYFB1.131" advise="1">
        <values>
          <value>
            <val>13945.78</val>
          </value>
        </values>
      </ddeItem>
      <ddeItem name="MYFB1.132" advise="1">
        <values>
          <value>
            <val>13875.82</val>
          </value>
        </values>
      </ddeItem>
      <ddeItem name="MYFB1.133" advise="1">
        <values>
          <value>
            <val>872505</val>
          </value>
        </values>
      </ddeItem>
      <ddeItem name="MYFB1.135" advise="1">
        <values>
          <value t="str">
            <val xml:space="preserve"> -</val>
          </value>
        </values>
      </ddeItem>
      <ddeItem name="MYFB1.136" advise="1">
        <values>
          <value t="str">
            <val xml:space="preserve"> -</val>
          </value>
        </values>
      </ddeItem>
      <ddeItem name="MYFB1.201" advise="1">
        <values>
          <value t="str">
            <val xml:space="preserve"> -</val>
          </value>
        </values>
      </ddeItem>
      <ddeItem name="MYFB1.202" advise="1">
        <values>
          <value t="str">
            <val xml:space="preserve"> -</val>
          </value>
        </values>
      </ddeItem>
      <ddeItem name="MYFB1.203" advise="1">
        <values>
          <value t="str">
            <val xml:space="preserve"> -</val>
          </value>
        </values>
      </ddeItem>
      <ddeItem name="MYFB1.204" advise="1">
        <values>
          <value t="str">
            <val xml:space="preserve"> -</val>
          </value>
        </values>
      </ddeItem>
      <ddeItem name="MYFB1.205" advise="1">
        <values>
          <value t="str">
            <val xml:space="preserve"> -</val>
          </value>
        </values>
      </ddeItem>
      <ddeItem name="MYFB1.211" advise="1">
        <values>
          <value t="str">
            <val xml:space="preserve"> -</val>
          </value>
        </values>
      </ddeItem>
      <ddeItem name="MYFB1.212" advise="1">
        <values>
          <value t="str">
            <val xml:space="preserve"> -</val>
          </value>
        </values>
      </ddeItem>
      <ddeItem name="MYFB1.213" advise="1">
        <values>
          <value t="str">
            <val xml:space="preserve"> -</val>
          </value>
        </values>
      </ddeItem>
      <ddeItem name="MYFB1.214" advise="1">
        <values>
          <value t="str">
            <val xml:space="preserve"> -</val>
          </value>
        </values>
      </ddeItem>
      <ddeItem name="MYFB1.215" advise="1">
        <values>
          <value t="str">
            <val xml:space="preserve"> -</val>
          </value>
        </values>
      </ddeItem>
      <ddeItem name="MYFB1.221" advise="1">
        <values>
          <value t="str">
            <val>-</val>
          </value>
        </values>
      </ddeItem>
      <ddeItem name="MYFB1.222" advise="1">
        <values>
          <value t="str">
            <val>-</val>
          </value>
        </values>
      </ddeItem>
      <ddeItem name="MYFB1.223" advise="1">
        <values>
          <value t="str">
            <val>-</val>
          </value>
        </values>
      </ddeItem>
      <ddeItem name="MYFB1.224" advise="1">
        <values>
          <value t="str">
            <val>-</val>
          </value>
        </values>
      </ddeItem>
      <ddeItem name="MYFB1.225" advise="1">
        <values>
          <value t="str">
            <val>-</val>
          </value>
        </values>
      </ddeItem>
      <ddeItem name="MYFB1.231" advise="1">
        <values>
          <value t="str">
            <val>-</val>
          </value>
        </values>
      </ddeItem>
      <ddeItem name="MYFB1.232" advise="1">
        <values>
          <value t="str">
            <val>-</val>
          </value>
        </values>
      </ddeItem>
      <ddeItem name="MYFB1.233" advise="1">
        <values>
          <value t="str">
            <val>-</val>
          </value>
        </values>
      </ddeItem>
      <ddeItem name="MYFB1.234" advise="1">
        <values>
          <value t="str">
            <val>-</val>
          </value>
        </values>
      </ddeItem>
      <ddeItem name="MYFB1.235" advise="1">
        <values>
          <value t="str">
            <val>-</val>
          </value>
        </values>
      </ddeItem>
      <ddeItem name="MYFB1.402" advise="1">
        <values>
          <value t="str">
            <val>不含金電</val>
          </value>
        </values>
      </ddeItem>
      <ddeItem name="MYFB1.406" advise="1">
        <values>
          <value t="str">
            <val xml:space="preserve"> -</val>
          </value>
        </values>
      </ddeItem>
      <ddeItem name="MYFB1.407" advise="1">
        <values>
          <value t="str">
            <val xml:space="preserve"> -</val>
          </value>
        </values>
      </ddeItem>
      <ddeItem name="MYFB1.431" advise="1">
        <values>
          <value t="str">
            <val>-</val>
          </value>
        </values>
      </ddeItem>
      <ddeItem name="MYFB1.437" advise="1">
        <values>
          <value t="str">
            <val xml:space="preserve"> -</val>
          </value>
        </values>
      </ddeItem>
      <ddeItem name="NAFB1.123" advise="1">
        <values>
          <value>
            <val>100150</val>
          </value>
        </values>
      </ddeItem>
      <ddeItem name="NAFB1.124" advise="1">
        <values>
          <value>
            <val>13900.72</val>
          </value>
        </values>
      </ddeItem>
      <ddeItem name="NAFB1.125" advise="1">
        <values>
          <value>
            <val>14.14</val>
          </value>
        </values>
      </ddeItem>
      <ddeItem name="NAFB1.128" advise="1">
        <values>
          <value>
            <val>887</val>
          </value>
        </values>
      </ddeItem>
      <ddeItem name="NAFB1.130" advise="1">
        <values>
          <value>
            <val>13893.03</val>
          </value>
        </values>
      </ddeItem>
      <ddeItem name="NAFB1.131" advise="1">
        <values>
          <value>
            <val>13945.78</val>
          </value>
        </values>
      </ddeItem>
      <ddeItem name="NAFB1.132" advise="1">
        <values>
          <value>
            <val>13875.82</val>
          </value>
        </values>
      </ddeItem>
      <ddeItem name="NAFB1.133" advise="1">
        <values>
          <value>
            <val>873827</val>
          </value>
        </values>
      </ddeItem>
      <ddeItem name="NAFB1.135" advise="1">
        <values>
          <value t="str">
            <val xml:space="preserve"> -</val>
          </value>
        </values>
      </ddeItem>
      <ddeItem name="NAFB1.136" advise="1">
        <values>
          <value t="str">
            <val xml:space="preserve"> -</val>
          </value>
        </values>
      </ddeItem>
      <ddeItem name="NAFB1.201" advise="1">
        <values>
          <value t="str">
            <val xml:space="preserve"> -</val>
          </value>
        </values>
      </ddeItem>
      <ddeItem name="NAFB1.202" advise="1">
        <values>
          <value t="str">
            <val xml:space="preserve"> -</val>
          </value>
        </values>
      </ddeItem>
      <ddeItem name="NAFB1.203" advise="1">
        <values>
          <value t="str">
            <val xml:space="preserve"> -</val>
          </value>
        </values>
      </ddeItem>
      <ddeItem name="NAFB1.204" advise="1">
        <values>
          <value t="str">
            <val xml:space="preserve"> -</val>
          </value>
        </values>
      </ddeItem>
      <ddeItem name="NAFB1.205" advise="1">
        <values>
          <value t="str">
            <val xml:space="preserve"> -</val>
          </value>
        </values>
      </ddeItem>
      <ddeItem name="NAFB1.211" advise="1">
        <values>
          <value t="str">
            <val xml:space="preserve"> -</val>
          </value>
        </values>
      </ddeItem>
      <ddeItem name="NAFB1.212" advise="1">
        <values>
          <value t="str">
            <val xml:space="preserve"> -</val>
          </value>
        </values>
      </ddeItem>
      <ddeItem name="NAFB1.213" advise="1">
        <values>
          <value t="str">
            <val xml:space="preserve"> -</val>
          </value>
        </values>
      </ddeItem>
      <ddeItem name="NAFB1.214" advise="1">
        <values>
          <value t="str">
            <val xml:space="preserve"> -</val>
          </value>
        </values>
      </ddeItem>
      <ddeItem name="NAFB1.215" advise="1">
        <values>
          <value t="str">
            <val xml:space="preserve"> -</val>
          </value>
        </values>
      </ddeItem>
      <ddeItem name="NAFB1.221" advise="1">
        <values>
          <value t="str">
            <val>-</val>
          </value>
        </values>
      </ddeItem>
      <ddeItem name="NAFB1.222" advise="1">
        <values>
          <value t="str">
            <val>-</val>
          </value>
        </values>
      </ddeItem>
      <ddeItem name="NAFB1.223" advise="1">
        <values>
          <value t="str">
            <val>-</val>
          </value>
        </values>
      </ddeItem>
      <ddeItem name="NAFB1.224" advise="1">
        <values>
          <value t="str">
            <val>-</val>
          </value>
        </values>
      </ddeItem>
      <ddeItem name="NAFB1.225" advise="1">
        <values>
          <value t="str">
            <val>-</val>
          </value>
        </values>
      </ddeItem>
      <ddeItem name="NAFB1.231" advise="1">
        <values>
          <value t="str">
            <val>-</val>
          </value>
        </values>
      </ddeItem>
      <ddeItem name="NAFB1.232" advise="1">
        <values>
          <value t="str">
            <val>-</val>
          </value>
        </values>
      </ddeItem>
      <ddeItem name="NAFB1.233" advise="1">
        <values>
          <value t="str">
            <val>-</val>
          </value>
        </values>
      </ddeItem>
      <ddeItem name="NAFB1.234" advise="1">
        <values>
          <value t="str">
            <val>-</val>
          </value>
        </values>
      </ddeItem>
      <ddeItem name="NAFB1.235" advise="1">
        <values>
          <value t="str">
            <val>-</val>
          </value>
        </values>
      </ddeItem>
      <ddeItem name="NAFB1.402" advise="1">
        <values>
          <value t="str">
            <val>不含金電</val>
          </value>
        </values>
      </ddeItem>
      <ddeItem name="NAFB1.406" advise="1">
        <values>
          <value t="str">
            <val xml:space="preserve"> -</val>
          </value>
        </values>
      </ddeItem>
      <ddeItem name="NAFB1.407" advise="1">
        <values>
          <value t="str">
            <val xml:space="preserve"> -</val>
          </value>
        </values>
      </ddeItem>
      <ddeItem name="NAFB1.431" advise="1">
        <values>
          <value t="str">
            <val>-</val>
          </value>
        </values>
      </ddeItem>
      <ddeItem name="NAFB1.437" advise="1">
        <values>
          <value t="str">
            <val xml:space="preserve"> -</val>
          </value>
        </values>
      </ddeItem>
      <ddeItem name="NBFB1.123" advise="1">
        <values>
          <value>
            <val>100150</val>
          </value>
        </values>
      </ddeItem>
      <ddeItem name="NBFB1.124" advise="1">
        <values>
          <value>
            <val>16421.62</val>
          </value>
        </values>
      </ddeItem>
      <ddeItem name="NBFB1.125" advise="1">
        <values>
          <value>
            <val>-21.78</val>
          </value>
        </values>
      </ddeItem>
      <ddeItem name="NBFB1.128" advise="1">
        <values>
          <value>
            <val>2439</val>
          </value>
        </values>
      </ddeItem>
      <ddeItem name="NBFB1.130" advise="1">
        <values>
          <value>
            <val>16329.54</val>
          </value>
        </values>
      </ddeItem>
      <ddeItem name="NBFB1.131" advise="1">
        <values>
          <value>
            <val>16456.939999999999</val>
          </value>
        </values>
      </ddeItem>
      <ddeItem name="NBFB1.132" advise="1">
        <values>
          <value>
            <val>16329.54</val>
          </value>
        </values>
      </ddeItem>
      <ddeItem name="NBFB1.133" advise="1">
        <values>
          <value>
            <val>4027056</val>
          </value>
        </values>
      </ddeItem>
      <ddeItem name="NBFB1.135" advise="1">
        <values>
          <value t="str">
            <val xml:space="preserve"> -</val>
          </value>
        </values>
      </ddeItem>
      <ddeItem name="NBFB1.136" advise="1">
        <values>
          <value t="str">
            <val xml:space="preserve"> -</val>
          </value>
        </values>
      </ddeItem>
      <ddeItem name="NBFB1.201" advise="1">
        <values>
          <value t="str">
            <val xml:space="preserve"> -</val>
          </value>
        </values>
      </ddeItem>
      <ddeItem name="NBFB1.202" advise="1">
        <values>
          <value t="str">
            <val xml:space="preserve"> -</val>
          </value>
        </values>
      </ddeItem>
      <ddeItem name="NBFB1.203" advise="1">
        <values>
          <value t="str">
            <val xml:space="preserve"> -</val>
          </value>
        </values>
      </ddeItem>
      <ddeItem name="NBFB1.204" advise="1">
        <values>
          <value t="str">
            <val xml:space="preserve"> -</val>
          </value>
        </values>
      </ddeItem>
      <ddeItem name="NBFB1.205" advise="1">
        <values>
          <value t="str">
            <val xml:space="preserve"> -</val>
          </value>
        </values>
      </ddeItem>
      <ddeItem name="NBFB1.211" advise="1">
        <values>
          <value t="str">
            <val xml:space="preserve"> -</val>
          </value>
        </values>
      </ddeItem>
      <ddeItem name="NBFB1.212" advise="1">
        <values>
          <value t="str">
            <val xml:space="preserve"> -</val>
          </value>
        </values>
      </ddeItem>
      <ddeItem name="NBFB1.213" advise="1">
        <values>
          <value t="str">
            <val xml:space="preserve"> -</val>
          </value>
        </values>
      </ddeItem>
      <ddeItem name="NBFB1.214" advise="1">
        <values>
          <value t="str">
            <val xml:space="preserve"> -</val>
          </value>
        </values>
      </ddeItem>
      <ddeItem name="NBFB1.215" advise="1">
        <values>
          <value t="str">
            <val xml:space="preserve"> -</val>
          </value>
        </values>
      </ddeItem>
      <ddeItem name="NBFB1.221" advise="1">
        <values>
          <value t="str">
            <val>-</val>
          </value>
        </values>
      </ddeItem>
      <ddeItem name="NBFB1.222" advise="1">
        <values>
          <value t="str">
            <val>-</val>
          </value>
        </values>
      </ddeItem>
      <ddeItem name="NBFB1.223" advise="1">
        <values>
          <value t="str">
            <val>-</val>
          </value>
        </values>
      </ddeItem>
      <ddeItem name="NBFB1.224" advise="1">
        <values>
          <value t="str">
            <val>-</val>
          </value>
        </values>
      </ddeItem>
      <ddeItem name="NBFB1.225" advise="1">
        <values>
          <value t="str">
            <val>-</val>
          </value>
        </values>
      </ddeItem>
      <ddeItem name="NBFB1.231" advise="1">
        <values>
          <value t="str">
            <val>-</val>
          </value>
        </values>
      </ddeItem>
      <ddeItem name="NBFB1.232" advise="1">
        <values>
          <value t="str">
            <val>-</val>
          </value>
        </values>
      </ddeItem>
      <ddeItem name="NBFB1.233" advise="1">
        <values>
          <value t="str">
            <val>-</val>
          </value>
        </values>
      </ddeItem>
      <ddeItem name="NBFB1.234" advise="1">
        <values>
          <value t="str">
            <val>-</val>
          </value>
        </values>
      </ddeItem>
      <ddeItem name="NBFB1.235" advise="1">
        <values>
          <value t="str">
            <val>-</val>
          </value>
        </values>
      </ddeItem>
      <ddeItem name="NBFB1.402" advise="1">
        <values>
          <value t="str">
            <val>加權指數</val>
          </value>
        </values>
      </ddeItem>
      <ddeItem name="NBFB1.406" advise="1">
        <values>
          <value t="str">
            <val xml:space="preserve"> -</val>
          </value>
        </values>
      </ddeItem>
      <ddeItem name="NBFB1.407" advise="1">
        <values>
          <value t="str">
            <val xml:space="preserve"> -</val>
          </value>
        </values>
      </ddeItem>
      <ddeItem name="NBFB1.431" advise="1">
        <values>
          <value t="str">
            <val>-</val>
          </value>
        </values>
      </ddeItem>
      <ddeItem name="NBFB1.437" advise="1">
        <values>
          <value t="str">
            <val xml:space="preserve"> -</val>
          </value>
        </values>
      </ddeItem>
      <ddeItem name="NCFB1.123" advise="1">
        <values>
          <value>
            <val>100145</val>
          </value>
        </values>
      </ddeItem>
      <ddeItem name="NCFB1.124" advise="1">
        <values>
          <value>
            <val>16422.560000000001</val>
          </value>
        </values>
      </ddeItem>
      <ddeItem name="NCFB1.125" advise="1">
        <values>
          <value>
            <val>-20.84</val>
          </value>
        </values>
      </ddeItem>
      <ddeItem name="NCFB1.128" advise="1">
        <values>
          <value>
            <val>1824</val>
          </value>
        </values>
      </ddeItem>
      <ddeItem name="NCFB1.130" advise="1">
        <values>
          <value>
            <val>16329.54</val>
          </value>
        </values>
      </ddeItem>
      <ddeItem name="NCFB1.131" advise="1">
        <values>
          <value>
            <val>16456.939999999999</val>
          </value>
        </values>
      </ddeItem>
      <ddeItem name="NCFB1.132" advise="1">
        <values>
          <value>
            <val>16329.54</val>
          </value>
        </values>
      </ddeItem>
      <ddeItem name="NCFB1.133" advise="1">
        <values>
          <value>
            <val>4024617</val>
          </value>
        </values>
      </ddeItem>
      <ddeItem name="NCFB1.135" advise="1">
        <values>
          <value t="str">
            <val xml:space="preserve"> -</val>
          </value>
        </values>
      </ddeItem>
      <ddeItem name="NCFB1.136" advise="1">
        <values>
          <value t="str">
            <val xml:space="preserve"> -</val>
          </value>
        </values>
      </ddeItem>
      <ddeItem name="NCFB1.201" advise="1">
        <values>
          <value t="str">
            <val xml:space="preserve"> -</val>
          </value>
        </values>
      </ddeItem>
      <ddeItem name="NCFB1.202" advise="1">
        <values>
          <value t="str">
            <val xml:space="preserve"> -</val>
          </value>
        </values>
      </ddeItem>
      <ddeItem name="NCFB1.203" advise="1">
        <values>
          <value t="str">
            <val xml:space="preserve"> -</val>
          </value>
        </values>
      </ddeItem>
      <ddeItem name="NCFB1.204" advise="1">
        <values>
          <value t="str">
            <val xml:space="preserve"> -</val>
          </value>
        </values>
      </ddeItem>
      <ddeItem name="NCFB1.205" advise="1">
        <values>
          <value t="str">
            <val xml:space="preserve"> -</val>
          </value>
        </values>
      </ddeItem>
      <ddeItem name="NCFB1.211" advise="1">
        <values>
          <value t="str">
            <val xml:space="preserve"> -</val>
          </value>
        </values>
      </ddeItem>
      <ddeItem name="NCFB1.212" advise="1">
        <values>
          <value t="str">
            <val xml:space="preserve"> -</val>
          </value>
        </values>
      </ddeItem>
      <ddeItem name="NCFB1.213" advise="1">
        <values>
          <value t="str">
            <val xml:space="preserve"> -</val>
          </value>
        </values>
      </ddeItem>
      <ddeItem name="NCFB1.214" advise="1">
        <values>
          <value t="str">
            <val xml:space="preserve"> -</val>
          </value>
        </values>
      </ddeItem>
      <ddeItem name="NCFB1.215" advise="1">
        <values>
          <value t="str">
            <val xml:space="preserve"> -</val>
          </value>
        </values>
      </ddeItem>
      <ddeItem name="NCFB1.221" advise="1">
        <values>
          <value t="str">
            <val>-</val>
          </value>
        </values>
      </ddeItem>
      <ddeItem name="NCFB1.222" advise="1">
        <values>
          <value t="str">
            <val>-</val>
          </value>
        </values>
      </ddeItem>
      <ddeItem name="NCFB1.223" advise="1">
        <values>
          <value t="str">
            <val>-</val>
          </value>
        </values>
      </ddeItem>
      <ddeItem name="NCFB1.224" advise="1">
        <values>
          <value t="str">
            <val>-</val>
          </value>
        </values>
      </ddeItem>
      <ddeItem name="NCFB1.225" advise="1">
        <values>
          <value t="str">
            <val>-</val>
          </value>
        </values>
      </ddeItem>
      <ddeItem name="NCFB1.231" advise="1">
        <values>
          <value t="str">
            <val>-</val>
          </value>
        </values>
      </ddeItem>
      <ddeItem name="NCFB1.232" advise="1">
        <values>
          <value t="str">
            <val>-</val>
          </value>
        </values>
      </ddeItem>
      <ddeItem name="NCFB1.233" advise="1">
        <values>
          <value t="str">
            <val>-</val>
          </value>
        </values>
      </ddeItem>
      <ddeItem name="NCFB1.234" advise="1">
        <values>
          <value t="str">
            <val>-</val>
          </value>
        </values>
      </ddeItem>
      <ddeItem name="NCFB1.235" advise="1">
        <values>
          <value t="str">
            <val>-</val>
          </value>
        </values>
      </ddeItem>
      <ddeItem name="NCFB1.402" advise="1">
        <values>
          <value t="str">
            <val>加權指數</val>
          </value>
        </values>
      </ddeItem>
      <ddeItem name="NCFB1.406" advise="1">
        <values>
          <value t="str">
            <val xml:space="preserve"> -</val>
          </value>
        </values>
      </ddeItem>
      <ddeItem name="NCFB1.407" advise="1">
        <values>
          <value t="str">
            <val xml:space="preserve"> -</val>
          </value>
        </values>
      </ddeItem>
      <ddeItem name="NCFB1.431" advise="1">
        <values>
          <value t="str">
            <val>-</val>
          </value>
        </values>
      </ddeItem>
      <ddeItem name="NCFB1.437" advise="1">
        <values>
          <value t="str">
            <val xml:space="preserve"> -</val>
          </value>
        </values>
      </ddeItem>
      <ddeItem name="NDFB1.123" advise="1">
        <values>
          <value>
            <val>100145</val>
          </value>
        </values>
      </ddeItem>
      <ddeItem name="NDFB1.124" advise="1">
        <values>
          <value>
            <val>16422.560000000001</val>
          </value>
        </values>
      </ddeItem>
      <ddeItem name="NDFB1.125" advise="1">
        <values>
          <value>
            <val>-20.84</val>
          </value>
        </values>
      </ddeItem>
      <ddeItem name="NDFB1.128" advise="1">
        <values>
          <value>
            <val>1824</val>
          </value>
        </values>
      </ddeItem>
      <ddeItem name="NDFB1.130" advise="1">
        <values>
          <value>
            <val>16329.54</val>
          </value>
        </values>
      </ddeItem>
      <ddeItem name="NDFB1.131" advise="1">
        <values>
          <value>
            <val>16456.939999999999</val>
          </value>
        </values>
      </ddeItem>
      <ddeItem name="NDFB1.132" advise="1">
        <values>
          <value>
            <val>16329.54</val>
          </value>
        </values>
      </ddeItem>
      <ddeItem name="NDFB1.133" advise="1">
        <values>
          <value>
            <val>4024617</val>
          </value>
        </values>
      </ddeItem>
      <ddeItem name="NDFB1.135" advise="1">
        <values>
          <value t="str">
            <val xml:space="preserve"> -</val>
          </value>
        </values>
      </ddeItem>
      <ddeItem name="NDFB1.136" advise="1">
        <values>
          <value t="str">
            <val xml:space="preserve"> -</val>
          </value>
        </values>
      </ddeItem>
      <ddeItem name="NDFB1.201" advise="1">
        <values>
          <value t="str">
            <val xml:space="preserve"> -</val>
          </value>
        </values>
      </ddeItem>
      <ddeItem name="NDFB1.202" advise="1">
        <values>
          <value t="str">
            <val xml:space="preserve"> -</val>
          </value>
        </values>
      </ddeItem>
      <ddeItem name="NDFB1.203" advise="1">
        <values>
          <value t="str">
            <val xml:space="preserve"> -</val>
          </value>
        </values>
      </ddeItem>
      <ddeItem name="NDFB1.204" advise="1">
        <values>
          <value t="str">
            <val xml:space="preserve"> -</val>
          </value>
        </values>
      </ddeItem>
      <ddeItem name="NDFB1.205" advise="1">
        <values>
          <value t="str">
            <val xml:space="preserve"> -</val>
          </value>
        </values>
      </ddeItem>
      <ddeItem name="NDFB1.211" advise="1">
        <values>
          <value t="str">
            <val xml:space="preserve"> -</val>
          </value>
        </values>
      </ddeItem>
      <ddeItem name="NDFB1.212" advise="1">
        <values>
          <value t="str">
            <val xml:space="preserve"> -</val>
          </value>
        </values>
      </ddeItem>
      <ddeItem name="NDFB1.213" advise="1">
        <values>
          <value t="str">
            <val xml:space="preserve"> -</val>
          </value>
        </values>
      </ddeItem>
      <ddeItem name="NDFB1.214" advise="1">
        <values>
          <value t="str">
            <val xml:space="preserve"> -</val>
          </value>
        </values>
      </ddeItem>
      <ddeItem name="NDFB1.215" advise="1">
        <values>
          <value t="str">
            <val xml:space="preserve"> -</val>
          </value>
        </values>
      </ddeItem>
      <ddeItem name="NDFB1.221" advise="1">
        <values>
          <value t="str">
            <val>-</val>
          </value>
        </values>
      </ddeItem>
      <ddeItem name="NDFB1.222" advise="1">
        <values>
          <value t="str">
            <val>-</val>
          </value>
        </values>
      </ddeItem>
      <ddeItem name="NDFB1.223" advise="1">
        <values>
          <value t="str">
            <val>-</val>
          </value>
        </values>
      </ddeItem>
      <ddeItem name="NDFB1.224" advise="1">
        <values>
          <value t="str">
            <val>-</val>
          </value>
        </values>
      </ddeItem>
      <ddeItem name="NDFB1.225" advise="1">
        <values>
          <value t="str">
            <val>-</val>
          </value>
        </values>
      </ddeItem>
      <ddeItem name="NDFB1.231" advise="1">
        <values>
          <value t="str">
            <val>-</val>
          </value>
        </values>
      </ddeItem>
      <ddeItem name="NDFB1.232" advise="1">
        <values>
          <value t="str">
            <val>-</val>
          </value>
        </values>
      </ddeItem>
      <ddeItem name="NDFB1.233" advise="1">
        <values>
          <value t="str">
            <val>-</val>
          </value>
        </values>
      </ddeItem>
      <ddeItem name="NDFB1.234" advise="1">
        <values>
          <value t="str">
            <val>-</val>
          </value>
        </values>
      </ddeItem>
      <ddeItem name="NDFB1.235" advise="1">
        <values>
          <value t="str">
            <val>-</val>
          </value>
        </values>
      </ddeItem>
      <ddeItem name="NDFB1.402" advise="1">
        <values>
          <value t="str">
            <val>加權指數</val>
          </value>
        </values>
      </ddeItem>
      <ddeItem name="NDFB1.406" advise="1">
        <values>
          <value t="str">
            <val xml:space="preserve"> -</val>
          </value>
        </values>
      </ddeItem>
      <ddeItem name="NDFB1.407" advise="1">
        <values>
          <value t="str">
            <val xml:space="preserve"> -</val>
          </value>
        </values>
      </ddeItem>
      <ddeItem name="NDFB1.431" advise="1">
        <values>
          <value t="str">
            <val>-</val>
          </value>
        </values>
      </ddeItem>
      <ddeItem name="NDFB1.437" advise="1">
        <values>
          <value t="str">
            <val xml:space="preserve"> -</val>
          </value>
        </values>
      </ddeItem>
      <ddeItem name="NEFB1.123" advise="1">
        <values>
          <value>
            <val>100145</val>
          </value>
        </values>
      </ddeItem>
      <ddeItem name="NEFB1.124" advise="1">
        <values>
          <value>
            <val>13895.21</val>
          </value>
        </values>
      </ddeItem>
      <ddeItem name="NEFB1.125" advise="1">
        <values>
          <value>
            <val>8.6300000000000008</val>
          </value>
        </values>
      </ddeItem>
      <ddeItem name="NEFB1.128" advise="1">
        <values>
          <value>
            <val>435</val>
          </value>
        </values>
      </ddeItem>
      <ddeItem name="NEFB1.130" advise="1">
        <values>
          <value>
            <val>13893.03</val>
          </value>
        </values>
      </ddeItem>
      <ddeItem name="NEFB1.131" advise="1">
        <values>
          <value>
            <val>13945.78</val>
          </value>
        </values>
      </ddeItem>
      <ddeItem name="NEFB1.132" advise="1">
        <values>
          <value>
            <val>13875.82</val>
          </value>
        </values>
      </ddeItem>
      <ddeItem name="NEFB1.133" advise="1">
        <values>
          <value>
            <val>872940</val>
          </value>
        </values>
      </ddeItem>
      <ddeItem name="NEFB1.135" advise="1">
        <values>
          <value t="str">
            <val xml:space="preserve"> -</val>
          </value>
        </values>
      </ddeItem>
      <ddeItem name="NEFB1.136" advise="1">
        <values>
          <value t="str">
            <val xml:space="preserve"> -</val>
          </value>
        </values>
      </ddeItem>
      <ddeItem name="NEFB1.201" advise="1">
        <values>
          <value t="str">
            <val xml:space="preserve"> -</val>
          </value>
        </values>
      </ddeItem>
      <ddeItem name="NEFB1.202" advise="1">
        <values>
          <value t="str">
            <val xml:space="preserve"> -</val>
          </value>
        </values>
      </ddeItem>
      <ddeItem name="NEFB1.203" advise="1">
        <values>
          <value t="str">
            <val xml:space="preserve"> -</val>
          </value>
        </values>
      </ddeItem>
      <ddeItem name="NEFB1.204" advise="1">
        <values>
          <value t="str">
            <val xml:space="preserve"> -</val>
          </value>
        </values>
      </ddeItem>
      <ddeItem name="NEFB1.205" advise="1">
        <values>
          <value t="str">
            <val xml:space="preserve"> -</val>
          </value>
        </values>
      </ddeItem>
      <ddeItem name="NEFB1.211" advise="1">
        <values>
          <value t="str">
            <val xml:space="preserve"> -</val>
          </value>
        </values>
      </ddeItem>
      <ddeItem name="NEFB1.212" advise="1">
        <values>
          <value t="str">
            <val xml:space="preserve"> -</val>
          </value>
        </values>
      </ddeItem>
      <ddeItem name="NEFB1.213" advise="1">
        <values>
          <value t="str">
            <val xml:space="preserve"> -</val>
          </value>
        </values>
      </ddeItem>
      <ddeItem name="NEFB1.214" advise="1">
        <values>
          <value t="str">
            <val xml:space="preserve"> -</val>
          </value>
        </values>
      </ddeItem>
      <ddeItem name="NEFB1.215" advise="1">
        <values>
          <value t="str">
            <val xml:space="preserve"> -</val>
          </value>
        </values>
      </ddeItem>
      <ddeItem name="NEFB1.221" advise="1">
        <values>
          <value t="str">
            <val>-</val>
          </value>
        </values>
      </ddeItem>
      <ddeItem name="NEFB1.222" advise="1">
        <values>
          <value t="str">
            <val>-</val>
          </value>
        </values>
      </ddeItem>
      <ddeItem name="NEFB1.223" advise="1">
        <values>
          <value t="str">
            <val>-</val>
          </value>
        </values>
      </ddeItem>
      <ddeItem name="NEFB1.224" advise="1">
        <values>
          <value t="str">
            <val>-</val>
          </value>
        </values>
      </ddeItem>
      <ddeItem name="NEFB1.225" advise="1">
        <values>
          <value t="str">
            <val>-</val>
          </value>
        </values>
      </ddeItem>
      <ddeItem name="NEFB1.231" advise="1">
        <values>
          <value t="str">
            <val>-</val>
          </value>
        </values>
      </ddeItem>
      <ddeItem name="NEFB1.232" advise="1">
        <values>
          <value t="str">
            <val>-</val>
          </value>
        </values>
      </ddeItem>
      <ddeItem name="NEFB1.233" advise="1">
        <values>
          <value t="str">
            <val>-</val>
          </value>
        </values>
      </ddeItem>
      <ddeItem name="NEFB1.234" advise="1">
        <values>
          <value t="str">
            <val>-</val>
          </value>
        </values>
      </ddeItem>
      <ddeItem name="NEFB1.235" advise="1">
        <values>
          <value t="str">
            <val>-</val>
          </value>
        </values>
      </ddeItem>
      <ddeItem name="NEFB1.402" advise="1">
        <values>
          <value t="str">
            <val>不含金電</val>
          </value>
        </values>
      </ddeItem>
      <ddeItem name="NEFB1.406" advise="1">
        <values>
          <value t="str">
            <val xml:space="preserve"> -</val>
          </value>
        </values>
      </ddeItem>
      <ddeItem name="NEFB1.407" advise="1">
        <values>
          <value t="str">
            <val xml:space="preserve"> -</val>
          </value>
        </values>
      </ddeItem>
      <ddeItem name="NEFB1.431" advise="1">
        <values>
          <value t="str">
            <val>-</val>
          </value>
        </values>
      </ddeItem>
      <ddeItem name="NEFB1.437" advise="1">
        <values>
          <value t="str">
            <val xml:space="preserve"> -</val>
          </value>
        </values>
      </ddeItem>
      <ddeItem name="NGFB1.123" advise="1">
        <values>
          <value>
            <val>100140</val>
          </value>
        </values>
      </ddeItem>
      <ddeItem name="NGFB1.124" advise="1">
        <values>
          <value>
            <val>16428.68</val>
          </value>
        </values>
      </ddeItem>
      <ddeItem name="NGFB1.125" advise="1">
        <values>
          <value>
            <val>-14.72</val>
          </value>
        </values>
      </ddeItem>
      <ddeItem name="NGFB1.128" advise="1">
        <values>
          <value>
            <val>2686</val>
          </value>
        </values>
      </ddeItem>
      <ddeItem name="NGFB1.130" advise="1">
        <values>
          <value>
            <val>16329.54</val>
          </value>
        </values>
      </ddeItem>
      <ddeItem name="NGFB1.131" advise="1">
        <values>
          <value>
            <val>16456.939999999999</val>
          </value>
        </values>
      </ddeItem>
      <ddeItem name="NGFB1.132" advise="1">
        <values>
          <value>
            <val>16329.54</val>
          </value>
        </values>
      </ddeItem>
      <ddeItem name="NGFB1.133" advise="1">
        <values>
          <value>
            <val>4022793</val>
          </value>
        </values>
      </ddeItem>
      <ddeItem name="NGFB1.135" advise="1">
        <values>
          <value t="str">
            <val xml:space="preserve"> -</val>
          </value>
        </values>
      </ddeItem>
      <ddeItem name="NGFB1.136" advise="1">
        <values>
          <value t="str">
            <val xml:space="preserve"> -</val>
          </value>
        </values>
      </ddeItem>
      <ddeItem name="NGFB1.201" advise="1">
        <values>
          <value t="str">
            <val xml:space="preserve"> -</val>
          </value>
        </values>
      </ddeItem>
      <ddeItem name="NGFB1.202" advise="1">
        <values>
          <value t="str">
            <val xml:space="preserve"> -</val>
          </value>
        </values>
      </ddeItem>
      <ddeItem name="NGFB1.203" advise="1">
        <values>
          <value t="str">
            <val xml:space="preserve"> -</val>
          </value>
        </values>
      </ddeItem>
      <ddeItem name="NGFB1.204" advise="1">
        <values>
          <value t="str">
            <val xml:space="preserve"> -</val>
          </value>
        </values>
      </ddeItem>
      <ddeItem name="NGFB1.205" advise="1">
        <values>
          <value t="str">
            <val xml:space="preserve"> -</val>
          </value>
        </values>
      </ddeItem>
      <ddeItem name="NGFB1.211" advise="1">
        <values>
          <value t="str">
            <val xml:space="preserve"> -</val>
          </value>
        </values>
      </ddeItem>
      <ddeItem name="NGFB1.212" advise="1">
        <values>
          <value t="str">
            <val xml:space="preserve"> -</val>
          </value>
        </values>
      </ddeItem>
      <ddeItem name="NGFB1.213" advise="1">
        <values>
          <value t="str">
            <val xml:space="preserve"> -</val>
          </value>
        </values>
      </ddeItem>
      <ddeItem name="NGFB1.214" advise="1">
        <values>
          <value t="str">
            <val xml:space="preserve"> -</val>
          </value>
        </values>
      </ddeItem>
      <ddeItem name="NGFB1.215" advise="1">
        <values>
          <value t="str">
            <val xml:space="preserve"> -</val>
          </value>
        </values>
      </ddeItem>
      <ddeItem name="NGFB1.221" advise="1">
        <values>
          <value t="str">
            <val>-</val>
          </value>
        </values>
      </ddeItem>
      <ddeItem name="NGFB1.222" advise="1">
        <values>
          <value t="str">
            <val>-</val>
          </value>
        </values>
      </ddeItem>
      <ddeItem name="NGFB1.223" advise="1">
        <values>
          <value t="str">
            <val>-</val>
          </value>
        </values>
      </ddeItem>
      <ddeItem name="NGFB1.224" advise="1">
        <values>
          <value t="str">
            <val>-</val>
          </value>
        </values>
      </ddeItem>
      <ddeItem name="NGFB1.225" advise="1">
        <values>
          <value t="str">
            <val>-</val>
          </value>
        </values>
      </ddeItem>
      <ddeItem name="NGFB1.231" advise="1">
        <values>
          <value t="str">
            <val>-</val>
          </value>
        </values>
      </ddeItem>
      <ddeItem name="NGFB1.232" advise="1">
        <values>
          <value t="str">
            <val>-</val>
          </value>
        </values>
      </ddeItem>
      <ddeItem name="NGFB1.233" advise="1">
        <values>
          <value t="str">
            <val>-</val>
          </value>
        </values>
      </ddeItem>
      <ddeItem name="NGFB1.234" advise="1">
        <values>
          <value t="str">
            <val>-</val>
          </value>
        </values>
      </ddeItem>
      <ddeItem name="NGFB1.235" advise="1">
        <values>
          <value t="str">
            <val>-</val>
          </value>
        </values>
      </ddeItem>
      <ddeItem name="NGFB1.402" advise="1">
        <values>
          <value t="str">
            <val>加權指數</val>
          </value>
        </values>
      </ddeItem>
      <ddeItem name="NGFB1.406" advise="1">
        <values>
          <value t="str">
            <val xml:space="preserve"> -</val>
          </value>
        </values>
      </ddeItem>
      <ddeItem name="NGFB1.407" advise="1">
        <values>
          <value t="str">
            <val xml:space="preserve"> -</val>
          </value>
        </values>
      </ddeItem>
      <ddeItem name="NGFB1.431" advise="1">
        <values>
          <value t="str">
            <val>-</val>
          </value>
        </values>
      </ddeItem>
      <ddeItem name="NGFB1.437" advise="1">
        <values>
          <value t="str">
            <val xml:space="preserve"> -</val>
          </value>
        </values>
      </ddeItem>
      <ddeItem name="NIFB1.123" advise="1">
        <values>
          <value>
            <val>100135</val>
          </value>
        </values>
      </ddeItem>
      <ddeItem name="NIFB1.124" advise="1">
        <values>
          <value>
            <val>13893.65</val>
          </value>
        </values>
      </ddeItem>
      <ddeItem name="NIFB1.125" advise="1">
        <values>
          <value>
            <val>7.07</val>
          </value>
        </values>
      </ddeItem>
      <ddeItem name="NIFB1.128" advise="1">
        <values>
          <value>
            <val>611</val>
          </value>
        </values>
      </ddeItem>
      <ddeItem name="NIFB1.130" advise="1">
        <values>
          <value>
            <val>13893.03</val>
          </value>
        </values>
      </ddeItem>
      <ddeItem name="NIFB1.131" advise="1">
        <values>
          <value>
            <val>13945.78</val>
          </value>
        </values>
      </ddeItem>
      <ddeItem name="NIFB1.132" advise="1">
        <values>
          <value>
            <val>13875.82</val>
          </value>
        </values>
      </ddeItem>
      <ddeItem name="NIFB1.133" advise="1">
        <values>
          <value>
            <val>871785</val>
          </value>
        </values>
      </ddeItem>
      <ddeItem name="NIFB1.135" advise="1">
        <values>
          <value t="str">
            <val xml:space="preserve"> -</val>
          </value>
        </values>
      </ddeItem>
      <ddeItem name="NIFB1.136" advise="1">
        <values>
          <value t="str">
            <val xml:space="preserve"> -</val>
          </value>
        </values>
      </ddeItem>
      <ddeItem name="NIFB1.201" advise="1">
        <values>
          <value t="str">
            <val xml:space="preserve"> -</val>
          </value>
        </values>
      </ddeItem>
      <ddeItem name="NIFB1.202" advise="1">
        <values>
          <value t="str">
            <val xml:space="preserve"> -</val>
          </value>
        </values>
      </ddeItem>
      <ddeItem name="NIFB1.203" advise="1">
        <values>
          <value t="str">
            <val xml:space="preserve"> -</val>
          </value>
        </values>
      </ddeItem>
      <ddeItem name="NIFB1.204" advise="1">
        <values>
          <value t="str">
            <val xml:space="preserve"> -</val>
          </value>
        </values>
      </ddeItem>
      <ddeItem name="NIFB1.205" advise="1">
        <values>
          <value t="str">
            <val xml:space="preserve"> -</val>
          </value>
        </values>
      </ddeItem>
      <ddeItem name="NIFB1.211" advise="1">
        <values>
          <value t="str">
            <val xml:space="preserve"> -</val>
          </value>
        </values>
      </ddeItem>
      <ddeItem name="NIFB1.212" advise="1">
        <values>
          <value t="str">
            <val xml:space="preserve"> -</val>
          </value>
        </values>
      </ddeItem>
      <ddeItem name="NIFB1.213" advise="1">
        <values>
          <value t="str">
            <val xml:space="preserve"> -</val>
          </value>
        </values>
      </ddeItem>
      <ddeItem name="NIFB1.214" advise="1">
        <values>
          <value t="str">
            <val xml:space="preserve"> -</val>
          </value>
        </values>
      </ddeItem>
      <ddeItem name="NIFB1.215" advise="1">
        <values>
          <value t="str">
            <val xml:space="preserve"> -</val>
          </value>
        </values>
      </ddeItem>
      <ddeItem name="NIFB1.221" advise="1">
        <values>
          <value t="str">
            <val>-</val>
          </value>
        </values>
      </ddeItem>
      <ddeItem name="NIFB1.222" advise="1">
        <values>
          <value t="str">
            <val>-</val>
          </value>
        </values>
      </ddeItem>
      <ddeItem name="NIFB1.223" advise="1">
        <values>
          <value t="str">
            <val>-</val>
          </value>
        </values>
      </ddeItem>
      <ddeItem name="NIFB1.224" advise="1">
        <values>
          <value t="str">
            <val>-</val>
          </value>
        </values>
      </ddeItem>
      <ddeItem name="NIFB1.225" advise="1">
        <values>
          <value t="str">
            <val>-</val>
          </value>
        </values>
      </ddeItem>
      <ddeItem name="NIFB1.231" advise="1">
        <values>
          <value t="str">
            <val>-</val>
          </value>
        </values>
      </ddeItem>
      <ddeItem name="NIFB1.232" advise="1">
        <values>
          <value t="str">
            <val>-</val>
          </value>
        </values>
      </ddeItem>
      <ddeItem name="NIFB1.233" advise="1">
        <values>
          <value t="str">
            <val>-</val>
          </value>
        </values>
      </ddeItem>
      <ddeItem name="NIFB1.234" advise="1">
        <values>
          <value t="str">
            <val>-</val>
          </value>
        </values>
      </ddeItem>
      <ddeItem name="NIFB1.235" advise="1">
        <values>
          <value t="str">
            <val>-</val>
          </value>
        </values>
      </ddeItem>
      <ddeItem name="NIFB1.402" advise="1">
        <values>
          <value t="str">
            <val>不含金電</val>
          </value>
        </values>
      </ddeItem>
      <ddeItem name="NIFB1.406" advise="1">
        <values>
          <value t="str">
            <val xml:space="preserve"> -</val>
          </value>
        </values>
      </ddeItem>
      <ddeItem name="NIFB1.407" advise="1">
        <values>
          <value t="str">
            <val xml:space="preserve"> -</val>
          </value>
        </values>
      </ddeItem>
      <ddeItem name="NIFB1.431" advise="1">
        <values>
          <value t="str">
            <val>-</val>
          </value>
        </values>
      </ddeItem>
      <ddeItem name="NIFB1.437" advise="1">
        <values>
          <value t="str">
            <val xml:space="preserve"> -</val>
          </value>
        </values>
      </ddeItem>
      <ddeItem name="NJFB1.123" advise="1">
        <values>
          <value>
            <val>100135</val>
          </value>
        </values>
      </ddeItem>
      <ddeItem name="NJFB1.124" advise="1">
        <values>
          <value>
            <val>16424.64</val>
          </value>
        </values>
      </ddeItem>
      <ddeItem name="NJFB1.125" advise="1">
        <values>
          <value>
            <val>-18.760000000000002</val>
          </value>
        </values>
      </ddeItem>
      <ddeItem name="NJFB1.128" advise="1">
        <values>
          <value>
            <val>1648</val>
          </value>
        </values>
      </ddeItem>
      <ddeItem name="NJFB1.130" advise="1">
        <values>
          <value>
            <val>16329.54</val>
          </value>
        </values>
      </ddeItem>
      <ddeItem name="NJFB1.131" advise="1">
        <values>
          <value>
            <val>16456.939999999999</val>
          </value>
        </values>
      </ddeItem>
      <ddeItem name="NJFB1.132" advise="1">
        <values>
          <value>
            <val>16329.54</val>
          </value>
        </values>
      </ddeItem>
      <ddeItem name="NJFB1.133" advise="1">
        <values>
          <value>
            <val>4020107</val>
          </value>
        </values>
      </ddeItem>
      <ddeItem name="NJFB1.135" advise="1">
        <values>
          <value t="str">
            <val xml:space="preserve"> -</val>
          </value>
        </values>
      </ddeItem>
      <ddeItem name="NJFB1.136" advise="1">
        <values>
          <value t="str">
            <val xml:space="preserve"> -</val>
          </value>
        </values>
      </ddeItem>
      <ddeItem name="NJFB1.201" advise="1">
        <values>
          <value t="str">
            <val xml:space="preserve"> -</val>
          </value>
        </values>
      </ddeItem>
      <ddeItem name="NJFB1.202" advise="1">
        <values>
          <value t="str">
            <val xml:space="preserve"> -</val>
          </value>
        </values>
      </ddeItem>
      <ddeItem name="NJFB1.203" advise="1">
        <values>
          <value t="str">
            <val xml:space="preserve"> -</val>
          </value>
        </values>
      </ddeItem>
      <ddeItem name="NJFB1.204" advise="1">
        <values>
          <value t="str">
            <val xml:space="preserve"> -</val>
          </value>
        </values>
      </ddeItem>
      <ddeItem name="NJFB1.205" advise="1">
        <values>
          <value t="str">
            <val xml:space="preserve"> -</val>
          </value>
        </values>
      </ddeItem>
      <ddeItem name="NJFB1.211" advise="1">
        <values>
          <value t="str">
            <val xml:space="preserve"> -</val>
          </value>
        </values>
      </ddeItem>
      <ddeItem name="NJFB1.212" advise="1">
        <values>
          <value t="str">
            <val xml:space="preserve"> -</val>
          </value>
        </values>
      </ddeItem>
      <ddeItem name="NJFB1.213" advise="1">
        <values>
          <value t="str">
            <val xml:space="preserve"> -</val>
          </value>
        </values>
      </ddeItem>
      <ddeItem name="NJFB1.214" advise="1">
        <values>
          <value t="str">
            <val xml:space="preserve"> -</val>
          </value>
        </values>
      </ddeItem>
      <ddeItem name="NJFB1.215" advise="1">
        <values>
          <value t="str">
            <val xml:space="preserve"> -</val>
          </value>
        </values>
      </ddeItem>
      <ddeItem name="NJFB1.221" advise="1">
        <values>
          <value t="str">
            <val>-</val>
          </value>
        </values>
      </ddeItem>
      <ddeItem name="NJFB1.222" advise="1">
        <values>
          <value t="str">
            <val>-</val>
          </value>
        </values>
      </ddeItem>
      <ddeItem name="NJFB1.223" advise="1">
        <values>
          <value t="str">
            <val>-</val>
          </value>
        </values>
      </ddeItem>
      <ddeItem name="NJFB1.224" advise="1">
        <values>
          <value t="str">
            <val>-</val>
          </value>
        </values>
      </ddeItem>
      <ddeItem name="NJFB1.225" advise="1">
        <values>
          <value t="str">
            <val>-</val>
          </value>
        </values>
      </ddeItem>
      <ddeItem name="NJFB1.231" advise="1">
        <values>
          <value t="str">
            <val>-</val>
          </value>
        </values>
      </ddeItem>
      <ddeItem name="NJFB1.232" advise="1">
        <values>
          <value t="str">
            <val>-</val>
          </value>
        </values>
      </ddeItem>
      <ddeItem name="NJFB1.233" advise="1">
        <values>
          <value t="str">
            <val>-</val>
          </value>
        </values>
      </ddeItem>
      <ddeItem name="NJFB1.234" advise="1">
        <values>
          <value t="str">
            <val>-</val>
          </value>
        </values>
      </ddeItem>
      <ddeItem name="NJFB1.235" advise="1">
        <values>
          <value t="str">
            <val>-</val>
          </value>
        </values>
      </ddeItem>
      <ddeItem name="NJFB1.402" advise="1">
        <values>
          <value t="str">
            <val>加權指數</val>
          </value>
        </values>
      </ddeItem>
      <ddeItem name="NJFB1.406" advise="1">
        <values>
          <value t="str">
            <val xml:space="preserve"> -</val>
          </value>
        </values>
      </ddeItem>
      <ddeItem name="NJFB1.407" advise="1">
        <values>
          <value t="str">
            <val xml:space="preserve"> -</val>
          </value>
        </values>
      </ddeItem>
      <ddeItem name="NJFB1.431" advise="1">
        <values>
          <value t="str">
            <val>-</val>
          </value>
        </values>
      </ddeItem>
      <ddeItem name="NJFB1.437" advise="1">
        <values>
          <value t="str">
            <val xml:space="preserve"> -</val>
          </value>
        </values>
      </ddeItem>
      <ddeItem name="NLFB1.123" advise="1">
        <values>
          <value>
            <val>100135</val>
          </value>
        </values>
      </ddeItem>
      <ddeItem name="NLFB1.124" advise="1">
        <values>
          <value>
            <val>13893.65</val>
          </value>
        </values>
      </ddeItem>
      <ddeItem name="NLFB1.125" advise="1">
        <values>
          <value>
            <val>7.07</val>
          </value>
        </values>
      </ddeItem>
      <ddeItem name="NLFB1.128" advise="1">
        <values>
          <value>
            <val>611</val>
          </value>
        </values>
      </ddeItem>
      <ddeItem name="NLFB1.130" advise="1">
        <values>
          <value>
            <val>13893.03</val>
          </value>
        </values>
      </ddeItem>
      <ddeItem name="NLFB1.131" advise="1">
        <values>
          <value>
            <val>13945.78</val>
          </value>
        </values>
      </ddeItem>
      <ddeItem name="NLFB1.132" advise="1">
        <values>
          <value>
            <val>13875.82</val>
          </value>
        </values>
      </ddeItem>
      <ddeItem name="NLFB1.133" advise="1">
        <values>
          <value>
            <val>871785</val>
          </value>
        </values>
      </ddeItem>
      <ddeItem name="NLFB1.135" advise="1">
        <values>
          <value t="str">
            <val xml:space="preserve"> -</val>
          </value>
        </values>
      </ddeItem>
      <ddeItem name="NLFB1.136" advise="1">
        <values>
          <value t="str">
            <val xml:space="preserve"> -</val>
          </value>
        </values>
      </ddeItem>
      <ddeItem name="NLFB1.201" advise="1">
        <values>
          <value t="str">
            <val xml:space="preserve"> -</val>
          </value>
        </values>
      </ddeItem>
      <ddeItem name="NLFB1.202" advise="1">
        <values>
          <value t="str">
            <val xml:space="preserve"> -</val>
          </value>
        </values>
      </ddeItem>
      <ddeItem name="NLFB1.203" advise="1">
        <values>
          <value t="str">
            <val xml:space="preserve"> -</val>
          </value>
        </values>
      </ddeItem>
      <ddeItem name="NLFB1.204" advise="1">
        <values>
          <value t="str">
            <val xml:space="preserve"> -</val>
          </value>
        </values>
      </ddeItem>
      <ddeItem name="NLFB1.205" advise="1">
        <values>
          <value t="str">
            <val xml:space="preserve"> -</val>
          </value>
        </values>
      </ddeItem>
      <ddeItem name="NLFB1.211" advise="1">
        <values>
          <value t="str">
            <val xml:space="preserve"> -</val>
          </value>
        </values>
      </ddeItem>
      <ddeItem name="NLFB1.212" advise="1">
        <values>
          <value t="str">
            <val xml:space="preserve"> -</val>
          </value>
        </values>
      </ddeItem>
      <ddeItem name="NLFB1.213" advise="1">
        <values>
          <value t="str">
            <val xml:space="preserve"> -</val>
          </value>
        </values>
      </ddeItem>
      <ddeItem name="NLFB1.214" advise="1">
        <values>
          <value t="str">
            <val xml:space="preserve"> -</val>
          </value>
        </values>
      </ddeItem>
      <ddeItem name="NLFB1.215" advise="1">
        <values>
          <value t="str">
            <val xml:space="preserve"> -</val>
          </value>
        </values>
      </ddeItem>
      <ddeItem name="NLFB1.221" advise="1">
        <values>
          <value t="str">
            <val>-</val>
          </value>
        </values>
      </ddeItem>
      <ddeItem name="NLFB1.222" advise="1">
        <values>
          <value t="str">
            <val>-</val>
          </value>
        </values>
      </ddeItem>
      <ddeItem name="NLFB1.223" advise="1">
        <values>
          <value t="str">
            <val>-</val>
          </value>
        </values>
      </ddeItem>
      <ddeItem name="NLFB1.224" advise="1">
        <values>
          <value t="str">
            <val>-</val>
          </value>
        </values>
      </ddeItem>
      <ddeItem name="NLFB1.225" advise="1">
        <values>
          <value t="str">
            <val>-</val>
          </value>
        </values>
      </ddeItem>
      <ddeItem name="NLFB1.231" advise="1">
        <values>
          <value t="str">
            <val>-</val>
          </value>
        </values>
      </ddeItem>
      <ddeItem name="NLFB1.232" advise="1">
        <values>
          <value t="str">
            <val>-</val>
          </value>
        </values>
      </ddeItem>
      <ddeItem name="NLFB1.233" advise="1">
        <values>
          <value t="str">
            <val>-</val>
          </value>
        </values>
      </ddeItem>
      <ddeItem name="NLFB1.234" advise="1">
        <values>
          <value t="str">
            <val>-</val>
          </value>
        </values>
      </ddeItem>
      <ddeItem name="NLFB1.235" advise="1">
        <values>
          <value t="str">
            <val>-</val>
          </value>
        </values>
      </ddeItem>
      <ddeItem name="NLFB1.402" advise="1">
        <values>
          <value t="str">
            <val>不含金電</val>
          </value>
        </values>
      </ddeItem>
      <ddeItem name="NLFB1.406" advise="1">
        <values>
          <value t="str">
            <val xml:space="preserve"> -</val>
          </value>
        </values>
      </ddeItem>
      <ddeItem name="NLFB1.407" advise="1">
        <values>
          <value t="str">
            <val xml:space="preserve"> -</val>
          </value>
        </values>
      </ddeItem>
      <ddeItem name="NLFB1.431" advise="1">
        <values>
          <value t="str">
            <val>-</val>
          </value>
        </values>
      </ddeItem>
      <ddeItem name="NLFB1.437" advise="1">
        <values>
          <value t="str">
            <val xml:space="preserve"> -</val>
          </value>
        </values>
      </ddeItem>
      <ddeItem name="NMFB1.123" advise="1">
        <values>
          <value>
            <val>100135</val>
          </value>
        </values>
      </ddeItem>
      <ddeItem name="NMFB1.124" advise="1">
        <values>
          <value>
            <val>16424.64</val>
          </value>
        </values>
      </ddeItem>
      <ddeItem name="NMFB1.125" advise="1">
        <values>
          <value>
            <val>-18.760000000000002</val>
          </value>
        </values>
      </ddeItem>
      <ddeItem name="NMFB1.128" advise="1">
        <values>
          <value>
            <val>1648</val>
          </value>
        </values>
      </ddeItem>
      <ddeItem name="NMFB1.130" advise="1">
        <values>
          <value>
            <val>16329.54</val>
          </value>
        </values>
      </ddeItem>
      <ddeItem name="NMFB1.131" advise="1">
        <values>
          <value>
            <val>16456.939999999999</val>
          </value>
        </values>
      </ddeItem>
      <ddeItem name="NMFB1.132" advise="1">
        <values>
          <value>
            <val>16329.54</val>
          </value>
        </values>
      </ddeItem>
      <ddeItem name="NMFB1.133" advise="1">
        <values>
          <value>
            <val>4020107</val>
          </value>
        </values>
      </ddeItem>
      <ddeItem name="NMFB1.135" advise="1">
        <values>
          <value t="str">
            <val xml:space="preserve"> -</val>
          </value>
        </values>
      </ddeItem>
      <ddeItem name="NMFB1.136" advise="1">
        <values>
          <value t="str">
            <val xml:space="preserve"> -</val>
          </value>
        </values>
      </ddeItem>
      <ddeItem name="NMFB1.201" advise="1">
        <values>
          <value t="str">
            <val xml:space="preserve"> -</val>
          </value>
        </values>
      </ddeItem>
      <ddeItem name="NMFB1.202" advise="1">
        <values>
          <value t="str">
            <val xml:space="preserve"> -</val>
          </value>
        </values>
      </ddeItem>
      <ddeItem name="NMFB1.203" advise="1">
        <values>
          <value t="str">
            <val xml:space="preserve"> -</val>
          </value>
        </values>
      </ddeItem>
      <ddeItem name="NMFB1.204" advise="1">
        <values>
          <value t="str">
            <val xml:space="preserve"> -</val>
          </value>
        </values>
      </ddeItem>
      <ddeItem name="NMFB1.205" advise="1">
        <values>
          <value t="str">
            <val xml:space="preserve"> -</val>
          </value>
        </values>
      </ddeItem>
      <ddeItem name="NMFB1.211" advise="1">
        <values>
          <value t="str">
            <val xml:space="preserve"> -</val>
          </value>
        </values>
      </ddeItem>
      <ddeItem name="NMFB1.212" advise="1">
        <values>
          <value t="str">
            <val xml:space="preserve"> -</val>
          </value>
        </values>
      </ddeItem>
      <ddeItem name="NMFB1.213" advise="1">
        <values>
          <value t="str">
            <val xml:space="preserve"> -</val>
          </value>
        </values>
      </ddeItem>
      <ddeItem name="NMFB1.214" advise="1">
        <values>
          <value t="str">
            <val xml:space="preserve"> -</val>
          </value>
        </values>
      </ddeItem>
      <ddeItem name="NMFB1.215" advise="1">
        <values>
          <value t="str">
            <val xml:space="preserve"> -</val>
          </value>
        </values>
      </ddeItem>
      <ddeItem name="NMFB1.221" advise="1">
        <values>
          <value t="str">
            <val>-</val>
          </value>
        </values>
      </ddeItem>
      <ddeItem name="NMFB1.222" advise="1">
        <values>
          <value t="str">
            <val>-</val>
          </value>
        </values>
      </ddeItem>
      <ddeItem name="NMFB1.223" advise="1">
        <values>
          <value t="str">
            <val>-</val>
          </value>
        </values>
      </ddeItem>
      <ddeItem name="NMFB1.224" advise="1">
        <values>
          <value t="str">
            <val>-</val>
          </value>
        </values>
      </ddeItem>
      <ddeItem name="NMFB1.225" advise="1">
        <values>
          <value t="str">
            <val>-</val>
          </value>
        </values>
      </ddeItem>
      <ddeItem name="NMFB1.231" advise="1">
        <values>
          <value t="str">
            <val>-</val>
          </value>
        </values>
      </ddeItem>
      <ddeItem name="NMFB1.232" advise="1">
        <values>
          <value t="str">
            <val>-</val>
          </value>
        </values>
      </ddeItem>
      <ddeItem name="NMFB1.233" advise="1">
        <values>
          <value t="str">
            <val>-</val>
          </value>
        </values>
      </ddeItem>
      <ddeItem name="NMFB1.234" advise="1">
        <values>
          <value t="str">
            <val>-</val>
          </value>
        </values>
      </ddeItem>
      <ddeItem name="NMFB1.235" advise="1">
        <values>
          <value t="str">
            <val>-</val>
          </value>
        </values>
      </ddeItem>
      <ddeItem name="NMFB1.402" advise="1">
        <values>
          <value t="str">
            <val>加權指數</val>
          </value>
        </values>
      </ddeItem>
      <ddeItem name="NMFB1.406" advise="1">
        <values>
          <value t="str">
            <val xml:space="preserve"> -</val>
          </value>
        </values>
      </ddeItem>
      <ddeItem name="NMFB1.407" advise="1">
        <values>
          <value t="str">
            <val xml:space="preserve"> -</val>
          </value>
        </values>
      </ddeItem>
      <ddeItem name="NMFB1.431" advise="1">
        <values>
          <value t="str">
            <val>-</val>
          </value>
        </values>
      </ddeItem>
      <ddeItem name="NMFB1.437" advise="1">
        <values>
          <value t="str">
            <val xml:space="preserve"> -</val>
          </value>
        </values>
      </ddeItem>
      <ddeItem name="NOFB1.123" advise="1">
        <values>
          <value>
            <val>100130</val>
          </value>
        </values>
      </ddeItem>
      <ddeItem name="NOFB1.124" advise="1">
        <values>
          <value>
            <val>16422.080000000002</val>
          </value>
        </values>
      </ddeItem>
      <ddeItem name="NOFB1.125" advise="1">
        <values>
          <value>
            <val>-21.32</val>
          </value>
        </values>
      </ddeItem>
      <ddeItem name="NOFB1.128" advise="1">
        <values>
          <value>
            <val>3347</val>
          </value>
        </values>
      </ddeItem>
      <ddeItem name="NOFB1.130" advise="1">
        <values>
          <value>
            <val>16329.54</val>
          </value>
        </values>
      </ddeItem>
      <ddeItem name="NOFB1.131" advise="1">
        <values>
          <value>
            <val>16456.939999999999</val>
          </value>
        </values>
      </ddeItem>
      <ddeItem name="NOFB1.132" advise="1">
        <values>
          <value>
            <val>16329.54</val>
          </value>
        </values>
      </ddeItem>
      <ddeItem name="NOFB1.133" advise="1">
        <values>
          <value>
            <val>4018459</val>
          </value>
        </values>
      </ddeItem>
      <ddeItem name="NOFB1.135" advise="1">
        <values>
          <value t="str">
            <val xml:space="preserve"> -</val>
          </value>
        </values>
      </ddeItem>
      <ddeItem name="NOFB1.136" advise="1">
        <values>
          <value t="str">
            <val xml:space="preserve"> -</val>
          </value>
        </values>
      </ddeItem>
      <ddeItem name="NOFB1.201" advise="1">
        <values>
          <value t="str">
            <val xml:space="preserve"> -</val>
          </value>
        </values>
      </ddeItem>
      <ddeItem name="NOFB1.202" advise="1">
        <values>
          <value t="str">
            <val xml:space="preserve"> -</val>
          </value>
        </values>
      </ddeItem>
      <ddeItem name="NOFB1.203" advise="1">
        <values>
          <value t="str">
            <val xml:space="preserve"> -</val>
          </value>
        </values>
      </ddeItem>
      <ddeItem name="NOFB1.204" advise="1">
        <values>
          <value t="str">
            <val xml:space="preserve"> -</val>
          </value>
        </values>
      </ddeItem>
      <ddeItem name="NOFB1.205" advise="1">
        <values>
          <value t="str">
            <val xml:space="preserve"> -</val>
          </value>
        </values>
      </ddeItem>
      <ddeItem name="NOFB1.211" advise="1">
        <values>
          <value t="str">
            <val xml:space="preserve"> -</val>
          </value>
        </values>
      </ddeItem>
      <ddeItem name="NOFB1.212" advise="1">
        <values>
          <value t="str">
            <val xml:space="preserve"> -</val>
          </value>
        </values>
      </ddeItem>
      <ddeItem name="NOFB1.213" advise="1">
        <values>
          <value t="str">
            <val xml:space="preserve"> -</val>
          </value>
        </values>
      </ddeItem>
      <ddeItem name="NOFB1.214" advise="1">
        <values>
          <value t="str">
            <val xml:space="preserve"> -</val>
          </value>
        </values>
      </ddeItem>
      <ddeItem name="NOFB1.215" advise="1">
        <values>
          <value t="str">
            <val xml:space="preserve"> -</val>
          </value>
        </values>
      </ddeItem>
      <ddeItem name="NOFB1.221" advise="1">
        <values>
          <value t="str">
            <val>-</val>
          </value>
        </values>
      </ddeItem>
      <ddeItem name="NOFB1.222" advise="1">
        <values>
          <value t="str">
            <val>-</val>
          </value>
        </values>
      </ddeItem>
      <ddeItem name="NOFB1.223" advise="1">
        <values>
          <value t="str">
            <val>-</val>
          </value>
        </values>
      </ddeItem>
      <ddeItem name="NOFB1.224" advise="1">
        <values>
          <value t="str">
            <val>-</val>
          </value>
        </values>
      </ddeItem>
      <ddeItem name="NOFB1.225" advise="1">
        <values>
          <value t="str">
            <val>-</val>
          </value>
        </values>
      </ddeItem>
      <ddeItem name="NOFB1.231" advise="1">
        <values>
          <value t="str">
            <val>-</val>
          </value>
        </values>
      </ddeItem>
      <ddeItem name="NOFB1.232" advise="1">
        <values>
          <value t="str">
            <val>-</val>
          </value>
        </values>
      </ddeItem>
      <ddeItem name="NOFB1.233" advise="1">
        <values>
          <value t="str">
            <val>-</val>
          </value>
        </values>
      </ddeItem>
      <ddeItem name="NOFB1.234" advise="1">
        <values>
          <value t="str">
            <val>-</val>
          </value>
        </values>
      </ddeItem>
      <ddeItem name="NOFB1.235" advise="1">
        <values>
          <value t="str">
            <val>-</val>
          </value>
        </values>
      </ddeItem>
      <ddeItem name="NOFB1.402" advise="1">
        <values>
          <value t="str">
            <val>加權指數</val>
          </value>
        </values>
      </ddeItem>
      <ddeItem name="NOFB1.406" advise="1">
        <values>
          <value t="str">
            <val xml:space="preserve"> -</val>
          </value>
        </values>
      </ddeItem>
      <ddeItem name="NOFB1.407" advise="1">
        <values>
          <value t="str">
            <val xml:space="preserve"> -</val>
          </value>
        </values>
      </ddeItem>
      <ddeItem name="NOFB1.431" advise="1">
        <values>
          <value t="str">
            <val>-</val>
          </value>
        </values>
      </ddeItem>
      <ddeItem name="NOFB1.437" advise="1">
        <values>
          <value t="str">
            <val xml:space="preserve"> -</val>
          </value>
        </values>
      </ddeItem>
      <ddeItem name="NQFB1.123" advise="1">
        <values>
          <value>
            <val>0</val>
          </value>
        </values>
      </ddeItem>
      <ddeItem name="NQFB1.124" advise="1">
        <values>
          <value>
            <val>20878632</val>
          </value>
        </values>
      </ddeItem>
      <ddeItem name="NQFB1.125" advise="1">
        <values>
          <value t="str">
            <val xml:space="preserve"> </val>
          </value>
        </values>
      </ddeItem>
      <ddeItem name="NQFB1.128" advise="1">
        <values>
          <value>
            <val>1212870150</val>
          </value>
        </values>
      </ddeItem>
      <ddeItem name="NQFB1.130" advise="1">
        <values>
          <value>
            <val>20803788</val>
          </value>
        </values>
      </ddeItem>
      <ddeItem name="NQFB1.131" advise="1">
        <values>
          <value>
            <val>20804690</val>
          </value>
        </values>
      </ddeItem>
      <ddeItem name="NQFB1.132" advise="1">
        <values>
          <value>
            <val>10989732</val>
          </value>
        </values>
      </ddeItem>
      <ddeItem name="NQFB1.133" advise="1">
        <values>
          <value>
            <val>2088371110</val>
          </value>
        </values>
      </ddeItem>
      <ddeItem name="NQFB1.135" advise="1">
        <values>
          <value t="str">
            <val xml:space="preserve"> -</val>
          </value>
        </values>
      </ddeItem>
      <ddeItem name="NQFB1.136" advise="1">
        <values>
          <value t="str">
            <val xml:space="preserve"> -</val>
          </value>
        </values>
      </ddeItem>
      <ddeItem name="NQFB1.201" advise="1">
        <values>
          <value t="str">
            <val xml:space="preserve"> -</val>
          </value>
        </values>
      </ddeItem>
      <ddeItem name="NQFB1.202" advise="1">
        <values>
          <value t="str">
            <val xml:space="preserve"> -</val>
          </value>
        </values>
      </ddeItem>
      <ddeItem name="NQFB1.203" advise="1">
        <values>
          <value t="str">
            <val xml:space="preserve"> -</val>
          </value>
        </values>
      </ddeItem>
      <ddeItem name="NQFB1.204" advise="1">
        <values>
          <value t="str">
            <val xml:space="preserve"> -</val>
          </value>
        </values>
      </ddeItem>
      <ddeItem name="NQFB1.205" advise="1">
        <values>
          <value t="str">
            <val xml:space="preserve"> -</val>
          </value>
        </values>
      </ddeItem>
      <ddeItem name="NQFB1.211" advise="1">
        <values>
          <value t="str">
            <val xml:space="preserve"> -</val>
          </value>
        </values>
      </ddeItem>
      <ddeItem name="NQFB1.212" advise="1">
        <values>
          <value t="str">
            <val xml:space="preserve"> -</val>
          </value>
        </values>
      </ddeItem>
      <ddeItem name="NQFB1.213" advise="1">
        <values>
          <value t="str">
            <val xml:space="preserve"> -</val>
          </value>
        </values>
      </ddeItem>
      <ddeItem name="NQFB1.214" advise="1">
        <values>
          <value t="str">
            <val xml:space="preserve"> -</val>
          </value>
        </values>
      </ddeItem>
      <ddeItem name="NQFB1.215" advise="1">
        <values>
          <value t="str">
            <val xml:space="preserve"> -</val>
          </value>
        </values>
      </ddeItem>
      <ddeItem name="NQFB1.221" advise="1">
        <values>
          <value t="str">
            <val>-</val>
          </value>
        </values>
      </ddeItem>
      <ddeItem name="NQFB1.222" advise="1">
        <values>
          <value t="str">
            <val>-</val>
          </value>
        </values>
      </ddeItem>
      <ddeItem name="NQFB1.223" advise="1">
        <values>
          <value t="str">
            <val>-</val>
          </value>
        </values>
      </ddeItem>
      <ddeItem name="NQFB1.224" advise="1">
        <values>
          <value t="str">
            <val>-</val>
          </value>
        </values>
      </ddeItem>
      <ddeItem name="NQFB1.225" advise="1">
        <values>
          <value t="str">
            <val>-</val>
          </value>
        </values>
      </ddeItem>
      <ddeItem name="NQFB1.231" advise="1">
        <values>
          <value t="str">
            <val>-</val>
          </value>
        </values>
      </ddeItem>
      <ddeItem name="NQFB1.232" advise="1">
        <values>
          <value t="str">
            <val>-</val>
          </value>
        </values>
      </ddeItem>
      <ddeItem name="NQFB1.233" advise="1">
        <values>
          <value t="str">
            <val>-</val>
          </value>
        </values>
      </ddeItem>
      <ddeItem name="NQFB1.234" advise="1">
        <values>
          <value t="str">
            <val>-</val>
          </value>
        </values>
      </ddeItem>
      <ddeItem name="NQFB1.235" advise="1">
        <values>
          <value t="str">
            <val>-</val>
          </value>
        </values>
      </ddeItem>
      <ddeItem name="NQFB1.402" advise="1"/>
      <ddeItem name="NQFB1.406" advise="1">
        <values>
          <value t="str">
            <val xml:space="preserve"> -</val>
          </value>
        </values>
      </ddeItem>
      <ddeItem name="NQFB1.407" advise="1">
        <values>
          <value t="str">
            <val xml:space="preserve"> -</val>
          </value>
        </values>
      </ddeItem>
      <ddeItem name="NQFB1.431" advise="1">
        <values>
          <value t="str">
            <val>-</val>
          </value>
        </values>
      </ddeItem>
      <ddeItem name="NQFB1.437" advise="1">
        <values>
          <value t="str">
            <val xml:space="preserve"> -</val>
          </value>
        </values>
      </ddeItem>
      <ddeItem name="NSFB1.123" advise="1">
        <values>
          <value>
            <val>100145</val>
          </value>
        </values>
      </ddeItem>
      <ddeItem name="NSFB1.124" advise="1">
        <values>
          <value>
            <val>16422.560000000001</val>
          </value>
        </values>
      </ddeItem>
      <ddeItem name="NSFB1.125" advise="1">
        <values>
          <value>
            <val>-20.84</val>
          </value>
        </values>
      </ddeItem>
      <ddeItem name="NSFB1.128" advise="1">
        <values>
          <value>
            <val>1824</val>
          </value>
        </values>
      </ddeItem>
      <ddeItem name="NSFB1.130" advise="1">
        <values>
          <value>
            <val>16329.54</val>
          </value>
        </values>
      </ddeItem>
      <ddeItem name="NSFB1.131" advise="1">
        <values>
          <value>
            <val>16456.939999999999</val>
          </value>
        </values>
      </ddeItem>
      <ddeItem name="NSFB1.132" advise="1">
        <values>
          <value>
            <val>16329.54</val>
          </value>
        </values>
      </ddeItem>
      <ddeItem name="NSFB1.133" advise="1">
        <values>
          <value>
            <val>4024617</val>
          </value>
        </values>
      </ddeItem>
      <ddeItem name="NSFB1.135" advise="1">
        <values>
          <value t="str">
            <val xml:space="preserve"> -</val>
          </value>
        </values>
      </ddeItem>
      <ddeItem name="NSFB1.136" advise="1">
        <values>
          <value t="str">
            <val xml:space="preserve"> -</val>
          </value>
        </values>
      </ddeItem>
      <ddeItem name="NSFB1.201" advise="1">
        <values>
          <value t="str">
            <val xml:space="preserve"> -</val>
          </value>
        </values>
      </ddeItem>
      <ddeItem name="NSFB1.202" advise="1">
        <values>
          <value t="str">
            <val xml:space="preserve"> -</val>
          </value>
        </values>
      </ddeItem>
      <ddeItem name="NSFB1.203" advise="1">
        <values>
          <value t="str">
            <val xml:space="preserve"> -</val>
          </value>
        </values>
      </ddeItem>
      <ddeItem name="NSFB1.204" advise="1">
        <values>
          <value t="str">
            <val xml:space="preserve"> -</val>
          </value>
        </values>
      </ddeItem>
      <ddeItem name="NSFB1.205" advise="1">
        <values>
          <value t="str">
            <val xml:space="preserve"> -</val>
          </value>
        </values>
      </ddeItem>
      <ddeItem name="NSFB1.211" advise="1">
        <values>
          <value t="str">
            <val xml:space="preserve"> -</val>
          </value>
        </values>
      </ddeItem>
      <ddeItem name="NSFB1.212" advise="1">
        <values>
          <value t="str">
            <val xml:space="preserve"> -</val>
          </value>
        </values>
      </ddeItem>
      <ddeItem name="NSFB1.213" advise="1">
        <values>
          <value t="str">
            <val xml:space="preserve"> -</val>
          </value>
        </values>
      </ddeItem>
      <ddeItem name="NSFB1.214" advise="1">
        <values>
          <value t="str">
            <val xml:space="preserve"> -</val>
          </value>
        </values>
      </ddeItem>
      <ddeItem name="NSFB1.215" advise="1">
        <values>
          <value t="str">
            <val xml:space="preserve"> -</val>
          </value>
        </values>
      </ddeItem>
      <ddeItem name="NSFB1.221" advise="1">
        <values>
          <value t="str">
            <val>-</val>
          </value>
        </values>
      </ddeItem>
      <ddeItem name="NSFB1.222" advise="1">
        <values>
          <value t="str">
            <val>-</val>
          </value>
        </values>
      </ddeItem>
      <ddeItem name="NSFB1.223" advise="1">
        <values>
          <value t="str">
            <val>-</val>
          </value>
        </values>
      </ddeItem>
      <ddeItem name="NSFB1.224" advise="1">
        <values>
          <value t="str">
            <val>-</val>
          </value>
        </values>
      </ddeItem>
      <ddeItem name="NSFB1.225" advise="1">
        <values>
          <value t="str">
            <val>-</val>
          </value>
        </values>
      </ddeItem>
      <ddeItem name="NSFB1.231" advise="1">
        <values>
          <value t="str">
            <val>-</val>
          </value>
        </values>
      </ddeItem>
      <ddeItem name="NSFB1.232" advise="1">
        <values>
          <value t="str">
            <val>-</val>
          </value>
        </values>
      </ddeItem>
      <ddeItem name="NSFB1.233" advise="1">
        <values>
          <value t="str">
            <val>-</val>
          </value>
        </values>
      </ddeItem>
      <ddeItem name="NSFB1.234" advise="1">
        <values>
          <value t="str">
            <val>-</val>
          </value>
        </values>
      </ddeItem>
      <ddeItem name="NSFB1.235" advise="1">
        <values>
          <value t="str">
            <val>-</val>
          </value>
        </values>
      </ddeItem>
      <ddeItem name="NSFB1.402" advise="1">
        <values>
          <value t="str">
            <val>加權指數</val>
          </value>
        </values>
      </ddeItem>
      <ddeItem name="NSFB1.406" advise="1">
        <values>
          <value t="str">
            <val xml:space="preserve"> -</val>
          </value>
        </values>
      </ddeItem>
      <ddeItem name="NSFB1.407" advise="1">
        <values>
          <value t="str">
            <val xml:space="preserve"> -</val>
          </value>
        </values>
      </ddeItem>
      <ddeItem name="NSFB1.431" advise="1">
        <values>
          <value t="str">
            <val>-</val>
          </value>
        </values>
      </ddeItem>
      <ddeItem name="NSFB1.437" advise="1">
        <values>
          <value t="str">
            <val xml:space="preserve"> -</val>
          </value>
        </values>
      </ddeItem>
      <ddeItem name="NUFB1.123" advise="1">
        <values>
          <value>
            <val>100145</val>
          </value>
        </values>
      </ddeItem>
      <ddeItem name="NUFB1.124" advise="1">
        <values>
          <value>
            <val>16422.560000000001</val>
          </value>
        </values>
      </ddeItem>
      <ddeItem name="NUFB1.125" advise="1">
        <values>
          <value>
            <val>-20.84</val>
          </value>
        </values>
      </ddeItem>
      <ddeItem name="NUFB1.128" advise="1">
        <values>
          <value>
            <val>1824</val>
          </value>
        </values>
      </ddeItem>
      <ddeItem name="NUFB1.130" advise="1">
        <values>
          <value>
            <val>16329.54</val>
          </value>
        </values>
      </ddeItem>
      <ddeItem name="NUFB1.131" advise="1">
        <values>
          <value>
            <val>16456.939999999999</val>
          </value>
        </values>
      </ddeItem>
      <ddeItem name="NUFB1.132" advise="1">
        <values>
          <value>
            <val>16329.54</val>
          </value>
        </values>
      </ddeItem>
      <ddeItem name="NUFB1.133" advise="1">
        <values>
          <value>
            <val>4024617</val>
          </value>
        </values>
      </ddeItem>
      <ddeItem name="NUFB1.135" advise="1">
        <values>
          <value t="str">
            <val xml:space="preserve"> -</val>
          </value>
        </values>
      </ddeItem>
      <ddeItem name="NUFB1.136" advise="1">
        <values>
          <value t="str">
            <val xml:space="preserve"> -</val>
          </value>
        </values>
      </ddeItem>
      <ddeItem name="NUFB1.201" advise="1">
        <values>
          <value t="str">
            <val xml:space="preserve"> -</val>
          </value>
        </values>
      </ddeItem>
      <ddeItem name="NUFB1.202" advise="1">
        <values>
          <value t="str">
            <val xml:space="preserve"> -</val>
          </value>
        </values>
      </ddeItem>
      <ddeItem name="NUFB1.203" advise="1">
        <values>
          <value t="str">
            <val xml:space="preserve"> -</val>
          </value>
        </values>
      </ddeItem>
      <ddeItem name="NUFB1.204" advise="1">
        <values>
          <value t="str">
            <val xml:space="preserve"> -</val>
          </value>
        </values>
      </ddeItem>
      <ddeItem name="NUFB1.205" advise="1">
        <values>
          <value t="str">
            <val xml:space="preserve"> -</val>
          </value>
        </values>
      </ddeItem>
      <ddeItem name="NUFB1.211" advise="1">
        <values>
          <value t="str">
            <val xml:space="preserve"> -</val>
          </value>
        </values>
      </ddeItem>
      <ddeItem name="NUFB1.212" advise="1">
        <values>
          <value t="str">
            <val xml:space="preserve"> -</val>
          </value>
        </values>
      </ddeItem>
      <ddeItem name="NUFB1.213" advise="1">
        <values>
          <value t="str">
            <val xml:space="preserve"> -</val>
          </value>
        </values>
      </ddeItem>
      <ddeItem name="NUFB1.214" advise="1">
        <values>
          <value t="str">
            <val xml:space="preserve"> -</val>
          </value>
        </values>
      </ddeItem>
      <ddeItem name="NUFB1.215" advise="1">
        <values>
          <value t="str">
            <val xml:space="preserve"> -</val>
          </value>
        </values>
      </ddeItem>
      <ddeItem name="NUFB1.221" advise="1">
        <values>
          <value t="str">
            <val>-</val>
          </value>
        </values>
      </ddeItem>
      <ddeItem name="NUFB1.222" advise="1">
        <values>
          <value t="str">
            <val>-</val>
          </value>
        </values>
      </ddeItem>
      <ddeItem name="NUFB1.223" advise="1">
        <values>
          <value t="str">
            <val>-</val>
          </value>
        </values>
      </ddeItem>
      <ddeItem name="NUFB1.224" advise="1">
        <values>
          <value t="str">
            <val>-</val>
          </value>
        </values>
      </ddeItem>
      <ddeItem name="NUFB1.225" advise="1">
        <values>
          <value t="str">
            <val>-</val>
          </value>
        </values>
      </ddeItem>
      <ddeItem name="NUFB1.231" advise="1">
        <values>
          <value t="str">
            <val>-</val>
          </value>
        </values>
      </ddeItem>
      <ddeItem name="NUFB1.232" advise="1">
        <values>
          <value t="str">
            <val>-</val>
          </value>
        </values>
      </ddeItem>
      <ddeItem name="NUFB1.233" advise="1">
        <values>
          <value t="str">
            <val>-</val>
          </value>
        </values>
      </ddeItem>
      <ddeItem name="NUFB1.234" advise="1">
        <values>
          <value t="str">
            <val>-</val>
          </value>
        </values>
      </ddeItem>
      <ddeItem name="NUFB1.235" advise="1">
        <values>
          <value t="str">
            <val>-</val>
          </value>
        </values>
      </ddeItem>
      <ddeItem name="NUFB1.402" advise="1">
        <values>
          <value t="str">
            <val>加權指數</val>
          </value>
        </values>
      </ddeItem>
      <ddeItem name="NUFB1.406" advise="1">
        <values>
          <value t="str">
            <val xml:space="preserve"> -</val>
          </value>
        </values>
      </ddeItem>
      <ddeItem name="NUFB1.407" advise="1">
        <values>
          <value t="str">
            <val xml:space="preserve"> -</val>
          </value>
        </values>
      </ddeItem>
      <ddeItem name="NUFB1.431" advise="1">
        <values>
          <value t="str">
            <val>-</val>
          </value>
        </values>
      </ddeItem>
      <ddeItem name="NUFB1.437" advise="1">
        <values>
          <value t="str">
            <val xml:space="preserve"> -</val>
          </value>
        </values>
      </ddeItem>
      <ddeItem name="NVFB1.123" advise="1">
        <values>
          <value>
            <val>100145</val>
          </value>
        </values>
      </ddeItem>
      <ddeItem name="NVFB1.124" advise="1">
        <values>
          <value>
            <val>16422.560000000001</val>
          </value>
        </values>
      </ddeItem>
      <ddeItem name="NVFB1.125" advise="1">
        <values>
          <value>
            <val>-20.84</val>
          </value>
        </values>
      </ddeItem>
      <ddeItem name="NVFB1.128" advise="1">
        <values>
          <value>
            <val>1824</val>
          </value>
        </values>
      </ddeItem>
      <ddeItem name="NVFB1.130" advise="1">
        <values>
          <value>
            <val>16329.54</val>
          </value>
        </values>
      </ddeItem>
      <ddeItem name="NVFB1.131" advise="1">
        <values>
          <value>
            <val>16456.939999999999</val>
          </value>
        </values>
      </ddeItem>
      <ddeItem name="NVFB1.132" advise="1">
        <values>
          <value>
            <val>16329.54</val>
          </value>
        </values>
      </ddeItem>
      <ddeItem name="NVFB1.133" advise="1">
        <values>
          <value>
            <val>4024617</val>
          </value>
        </values>
      </ddeItem>
      <ddeItem name="NVFB1.135" advise="1">
        <values>
          <value t="str">
            <val xml:space="preserve"> -</val>
          </value>
        </values>
      </ddeItem>
      <ddeItem name="NVFB1.136" advise="1">
        <values>
          <value t="str">
            <val xml:space="preserve"> -</val>
          </value>
        </values>
      </ddeItem>
      <ddeItem name="NVFB1.201" advise="1">
        <values>
          <value t="str">
            <val xml:space="preserve"> -</val>
          </value>
        </values>
      </ddeItem>
      <ddeItem name="NVFB1.202" advise="1">
        <values>
          <value t="str">
            <val xml:space="preserve"> -</val>
          </value>
        </values>
      </ddeItem>
      <ddeItem name="NVFB1.203" advise="1">
        <values>
          <value t="str">
            <val xml:space="preserve"> -</val>
          </value>
        </values>
      </ddeItem>
      <ddeItem name="NVFB1.204" advise="1">
        <values>
          <value t="str">
            <val xml:space="preserve"> -</val>
          </value>
        </values>
      </ddeItem>
      <ddeItem name="NVFB1.205" advise="1">
        <values>
          <value t="str">
            <val xml:space="preserve"> -</val>
          </value>
        </values>
      </ddeItem>
      <ddeItem name="NVFB1.211" advise="1">
        <values>
          <value t="str">
            <val xml:space="preserve"> -</val>
          </value>
        </values>
      </ddeItem>
      <ddeItem name="NVFB1.212" advise="1">
        <values>
          <value t="str">
            <val xml:space="preserve"> -</val>
          </value>
        </values>
      </ddeItem>
      <ddeItem name="NVFB1.213" advise="1">
        <values>
          <value t="str">
            <val xml:space="preserve"> -</val>
          </value>
        </values>
      </ddeItem>
      <ddeItem name="NVFB1.214" advise="1">
        <values>
          <value t="str">
            <val xml:space="preserve"> -</val>
          </value>
        </values>
      </ddeItem>
      <ddeItem name="NVFB1.215" advise="1">
        <values>
          <value t="str">
            <val xml:space="preserve"> -</val>
          </value>
        </values>
      </ddeItem>
      <ddeItem name="NVFB1.221" advise="1">
        <values>
          <value t="str">
            <val>-</val>
          </value>
        </values>
      </ddeItem>
      <ddeItem name="NVFB1.222" advise="1">
        <values>
          <value t="str">
            <val>-</val>
          </value>
        </values>
      </ddeItem>
      <ddeItem name="NVFB1.223" advise="1">
        <values>
          <value t="str">
            <val>-</val>
          </value>
        </values>
      </ddeItem>
      <ddeItem name="NVFB1.224" advise="1">
        <values>
          <value t="str">
            <val>-</val>
          </value>
        </values>
      </ddeItem>
      <ddeItem name="NVFB1.225" advise="1">
        <values>
          <value t="str">
            <val>-</val>
          </value>
        </values>
      </ddeItem>
      <ddeItem name="NVFB1.231" advise="1">
        <values>
          <value t="str">
            <val>-</val>
          </value>
        </values>
      </ddeItem>
      <ddeItem name="NVFB1.232" advise="1">
        <values>
          <value t="str">
            <val>-</val>
          </value>
        </values>
      </ddeItem>
      <ddeItem name="NVFB1.233" advise="1">
        <values>
          <value t="str">
            <val>-</val>
          </value>
        </values>
      </ddeItem>
      <ddeItem name="NVFB1.234" advise="1">
        <values>
          <value t="str">
            <val>-</val>
          </value>
        </values>
      </ddeItem>
      <ddeItem name="NVFB1.235" advise="1">
        <values>
          <value t="str">
            <val>-</val>
          </value>
        </values>
      </ddeItem>
      <ddeItem name="NVFB1.402" advise="1">
        <values>
          <value t="str">
            <val>加權指數</val>
          </value>
        </values>
      </ddeItem>
      <ddeItem name="NVFB1.406" advise="1">
        <values>
          <value t="str">
            <val xml:space="preserve"> -</val>
          </value>
        </values>
      </ddeItem>
      <ddeItem name="NVFB1.407" advise="1">
        <values>
          <value t="str">
            <val xml:space="preserve"> -</val>
          </value>
        </values>
      </ddeItem>
      <ddeItem name="NVFB1.431" advise="1">
        <values>
          <value t="str">
            <val>-</val>
          </value>
        </values>
      </ddeItem>
      <ddeItem name="NVFB1.437" advise="1">
        <values>
          <value t="str">
            <val xml:space="preserve"> -</val>
          </value>
        </values>
      </ddeItem>
      <ddeItem name="NWFB1.123" advise="1">
        <values>
          <value>
            <val>100140</val>
          </value>
        </values>
      </ddeItem>
      <ddeItem name="NWFB1.124" advise="1">
        <values>
          <value>
            <val>16428.68</val>
          </value>
        </values>
      </ddeItem>
      <ddeItem name="NWFB1.125" advise="1">
        <values>
          <value>
            <val>-14.72</val>
          </value>
        </values>
      </ddeItem>
      <ddeItem name="NWFB1.128" advise="1">
        <values>
          <value>
            <val>2686</val>
          </value>
        </values>
      </ddeItem>
      <ddeItem name="NWFB1.130" advise="1">
        <values>
          <value>
            <val>16329.54</val>
          </value>
        </values>
      </ddeItem>
      <ddeItem name="NWFB1.131" advise="1">
        <values>
          <value>
            <val>16456.939999999999</val>
          </value>
        </values>
      </ddeItem>
      <ddeItem name="NWFB1.132" advise="1">
        <values>
          <value>
            <val>16329.54</val>
          </value>
        </values>
      </ddeItem>
      <ddeItem name="NWFB1.133" advise="1">
        <values>
          <value>
            <val>4022793</val>
          </value>
        </values>
      </ddeItem>
      <ddeItem name="NWFB1.135" advise="1">
        <values>
          <value t="str">
            <val xml:space="preserve"> -</val>
          </value>
        </values>
      </ddeItem>
      <ddeItem name="NWFB1.136" advise="1">
        <values>
          <value t="str">
            <val xml:space="preserve"> -</val>
          </value>
        </values>
      </ddeItem>
      <ddeItem name="NWFB1.201" advise="1">
        <values>
          <value t="str">
            <val xml:space="preserve"> -</val>
          </value>
        </values>
      </ddeItem>
      <ddeItem name="NWFB1.202" advise="1">
        <values>
          <value t="str">
            <val xml:space="preserve"> -</val>
          </value>
        </values>
      </ddeItem>
      <ddeItem name="NWFB1.203" advise="1">
        <values>
          <value t="str">
            <val xml:space="preserve"> -</val>
          </value>
        </values>
      </ddeItem>
      <ddeItem name="NWFB1.204" advise="1">
        <values>
          <value t="str">
            <val xml:space="preserve"> -</val>
          </value>
        </values>
      </ddeItem>
      <ddeItem name="NWFB1.205" advise="1">
        <values>
          <value t="str">
            <val xml:space="preserve"> -</val>
          </value>
        </values>
      </ddeItem>
      <ddeItem name="NWFB1.211" advise="1">
        <values>
          <value t="str">
            <val xml:space="preserve"> -</val>
          </value>
        </values>
      </ddeItem>
      <ddeItem name="NWFB1.212" advise="1">
        <values>
          <value t="str">
            <val xml:space="preserve"> -</val>
          </value>
        </values>
      </ddeItem>
      <ddeItem name="NWFB1.213" advise="1">
        <values>
          <value t="str">
            <val xml:space="preserve"> -</val>
          </value>
        </values>
      </ddeItem>
      <ddeItem name="NWFB1.214" advise="1">
        <values>
          <value t="str">
            <val xml:space="preserve"> -</val>
          </value>
        </values>
      </ddeItem>
      <ddeItem name="NWFB1.215" advise="1">
        <values>
          <value t="str">
            <val xml:space="preserve"> -</val>
          </value>
        </values>
      </ddeItem>
      <ddeItem name="NWFB1.221" advise="1">
        <values>
          <value t="str">
            <val>-</val>
          </value>
        </values>
      </ddeItem>
      <ddeItem name="NWFB1.222" advise="1">
        <values>
          <value t="str">
            <val>-</val>
          </value>
        </values>
      </ddeItem>
      <ddeItem name="NWFB1.223" advise="1">
        <values>
          <value t="str">
            <val>-</val>
          </value>
        </values>
      </ddeItem>
      <ddeItem name="NWFB1.224" advise="1">
        <values>
          <value t="str">
            <val>-</val>
          </value>
        </values>
      </ddeItem>
      <ddeItem name="NWFB1.225" advise="1">
        <values>
          <value t="str">
            <val>-</val>
          </value>
        </values>
      </ddeItem>
      <ddeItem name="NWFB1.231" advise="1">
        <values>
          <value t="str">
            <val>-</val>
          </value>
        </values>
      </ddeItem>
      <ddeItem name="NWFB1.232" advise="1">
        <values>
          <value t="str">
            <val>-</val>
          </value>
        </values>
      </ddeItem>
      <ddeItem name="NWFB1.233" advise="1">
        <values>
          <value t="str">
            <val>-</val>
          </value>
        </values>
      </ddeItem>
      <ddeItem name="NWFB1.234" advise="1">
        <values>
          <value t="str">
            <val>-</val>
          </value>
        </values>
      </ddeItem>
      <ddeItem name="NWFB1.235" advise="1">
        <values>
          <value t="str">
            <val>-</val>
          </value>
        </values>
      </ddeItem>
      <ddeItem name="NWFB1.402" advise="1">
        <values>
          <value t="str">
            <val>加權指數</val>
          </value>
        </values>
      </ddeItem>
      <ddeItem name="NWFB1.406" advise="1">
        <values>
          <value t="str">
            <val xml:space="preserve"> -</val>
          </value>
        </values>
      </ddeItem>
      <ddeItem name="NWFB1.407" advise="1">
        <values>
          <value t="str">
            <val xml:space="preserve"> -</val>
          </value>
        </values>
      </ddeItem>
      <ddeItem name="NWFB1.431" advise="1">
        <values>
          <value t="str">
            <val>-</val>
          </value>
        </values>
      </ddeItem>
      <ddeItem name="NWFB1.437" advise="1">
        <values>
          <value t="str">
            <val xml:space="preserve"> -</val>
          </value>
        </values>
      </ddeItem>
      <ddeItem name="NXFB1.123" advise="1">
        <values>
          <value>
            <val>0</val>
          </value>
        </values>
      </ddeItem>
      <ddeItem name="NXFB1.124" advise="1">
        <values>
          <value>
            <val>20878632</val>
          </value>
        </values>
      </ddeItem>
      <ddeItem name="NXFB1.125" advise="1">
        <values>
          <value t="str">
            <val xml:space="preserve"> </val>
          </value>
        </values>
      </ddeItem>
      <ddeItem name="NXFB1.128" advise="1">
        <values>
          <value>
            <val>1212870150</val>
          </value>
        </values>
      </ddeItem>
      <ddeItem name="NXFB1.130" advise="1">
        <values>
          <value>
            <val>20803788</val>
          </value>
        </values>
      </ddeItem>
      <ddeItem name="NXFB1.131" advise="1">
        <values>
          <value>
            <val>20804690</val>
          </value>
        </values>
      </ddeItem>
      <ddeItem name="NXFB1.132" advise="1">
        <values>
          <value>
            <val>10989732</val>
          </value>
        </values>
      </ddeItem>
      <ddeItem name="NXFB1.133" advise="1">
        <values>
          <value>
            <val>2088371110</val>
          </value>
        </values>
      </ddeItem>
      <ddeItem name="NXFB1.135" advise="1">
        <values>
          <value t="str">
            <val xml:space="preserve"> -</val>
          </value>
        </values>
      </ddeItem>
      <ddeItem name="NXFB1.136" advise="1">
        <values>
          <value t="str">
            <val xml:space="preserve"> -</val>
          </value>
        </values>
      </ddeItem>
      <ddeItem name="NXFB1.201" advise="1">
        <values>
          <value t="str">
            <val xml:space="preserve"> -</val>
          </value>
        </values>
      </ddeItem>
      <ddeItem name="NXFB1.202" advise="1">
        <values>
          <value t="str">
            <val xml:space="preserve"> -</val>
          </value>
        </values>
      </ddeItem>
      <ddeItem name="NXFB1.203" advise="1">
        <values>
          <value t="str">
            <val xml:space="preserve"> -</val>
          </value>
        </values>
      </ddeItem>
      <ddeItem name="NXFB1.204" advise="1">
        <values>
          <value t="str">
            <val xml:space="preserve"> -</val>
          </value>
        </values>
      </ddeItem>
      <ddeItem name="NXFB1.205" advise="1">
        <values>
          <value t="str">
            <val xml:space="preserve"> -</val>
          </value>
        </values>
      </ddeItem>
      <ddeItem name="NXFB1.211" advise="1">
        <values>
          <value t="str">
            <val xml:space="preserve"> -</val>
          </value>
        </values>
      </ddeItem>
      <ddeItem name="NXFB1.212" advise="1">
        <values>
          <value t="str">
            <val xml:space="preserve"> -</val>
          </value>
        </values>
      </ddeItem>
      <ddeItem name="NXFB1.213" advise="1">
        <values>
          <value t="str">
            <val xml:space="preserve"> -</val>
          </value>
        </values>
      </ddeItem>
      <ddeItem name="NXFB1.214" advise="1">
        <values>
          <value t="str">
            <val xml:space="preserve"> -</val>
          </value>
        </values>
      </ddeItem>
      <ddeItem name="NXFB1.215" advise="1">
        <values>
          <value t="str">
            <val xml:space="preserve"> -</val>
          </value>
        </values>
      </ddeItem>
      <ddeItem name="NXFB1.221" advise="1">
        <values>
          <value t="str">
            <val>-</val>
          </value>
        </values>
      </ddeItem>
      <ddeItem name="NXFB1.222" advise="1">
        <values>
          <value t="str">
            <val>-</val>
          </value>
        </values>
      </ddeItem>
      <ddeItem name="NXFB1.223" advise="1">
        <values>
          <value t="str">
            <val>-</val>
          </value>
        </values>
      </ddeItem>
      <ddeItem name="NXFB1.224" advise="1">
        <values>
          <value t="str">
            <val>-</val>
          </value>
        </values>
      </ddeItem>
      <ddeItem name="NXFB1.225" advise="1">
        <values>
          <value t="str">
            <val>-</val>
          </value>
        </values>
      </ddeItem>
      <ddeItem name="NXFB1.231" advise="1">
        <values>
          <value t="str">
            <val>-</val>
          </value>
        </values>
      </ddeItem>
      <ddeItem name="NXFB1.232" advise="1">
        <values>
          <value t="str">
            <val>-</val>
          </value>
        </values>
      </ddeItem>
      <ddeItem name="NXFB1.233" advise="1">
        <values>
          <value t="str">
            <val>-</val>
          </value>
        </values>
      </ddeItem>
      <ddeItem name="NXFB1.234" advise="1">
        <values>
          <value t="str">
            <val>-</val>
          </value>
        </values>
      </ddeItem>
      <ddeItem name="NXFB1.235" advise="1">
        <values>
          <value t="str">
            <val>-</val>
          </value>
        </values>
      </ddeItem>
      <ddeItem name="NXFB1.402" advise="1"/>
      <ddeItem name="NXFB1.406" advise="1">
        <values>
          <value t="str">
            <val xml:space="preserve"> -</val>
          </value>
        </values>
      </ddeItem>
      <ddeItem name="NXFB1.407" advise="1">
        <values>
          <value t="str">
            <val xml:space="preserve"> -</val>
          </value>
        </values>
      </ddeItem>
      <ddeItem name="NXFB1.431" advise="1">
        <values>
          <value t="str">
            <val>-</val>
          </value>
        </values>
      </ddeItem>
      <ddeItem name="NXFB1.437" advise="1">
        <values>
          <value t="str">
            <val xml:space="preserve"> -</val>
          </value>
        </values>
      </ddeItem>
      <ddeItem name="NYFB1.123" advise="1">
        <values>
          <value>
            <val>0</val>
          </value>
        </values>
      </ddeItem>
      <ddeItem name="NYFB1.124" advise="1">
        <values>
          <value>
            <val>20878632</val>
          </value>
        </values>
      </ddeItem>
      <ddeItem name="NYFB1.125" advise="1">
        <values>
          <value t="str">
            <val xml:space="preserve"> </val>
          </value>
        </values>
      </ddeItem>
      <ddeItem name="NYFB1.128" advise="1">
        <values>
          <value>
            <val>1212870150</val>
          </value>
        </values>
      </ddeItem>
      <ddeItem name="NYFB1.130" advise="1">
        <values>
          <value>
            <val>20803788</val>
          </value>
        </values>
      </ddeItem>
      <ddeItem name="NYFB1.131" advise="1">
        <values>
          <value>
            <val>20804690</val>
          </value>
        </values>
      </ddeItem>
      <ddeItem name="NYFB1.132" advise="1">
        <values>
          <value>
            <val>10989732</val>
          </value>
        </values>
      </ddeItem>
      <ddeItem name="NYFB1.133" advise="1">
        <values>
          <value>
            <val>2088371110</val>
          </value>
        </values>
      </ddeItem>
      <ddeItem name="NYFB1.135" advise="1">
        <values>
          <value t="str">
            <val xml:space="preserve"> -</val>
          </value>
        </values>
      </ddeItem>
      <ddeItem name="NYFB1.136" advise="1">
        <values>
          <value t="str">
            <val xml:space="preserve"> -</val>
          </value>
        </values>
      </ddeItem>
      <ddeItem name="NYFB1.201" advise="1">
        <values>
          <value t="str">
            <val xml:space="preserve"> -</val>
          </value>
        </values>
      </ddeItem>
      <ddeItem name="NYFB1.202" advise="1">
        <values>
          <value t="str">
            <val xml:space="preserve"> -</val>
          </value>
        </values>
      </ddeItem>
      <ddeItem name="NYFB1.203" advise="1">
        <values>
          <value t="str">
            <val xml:space="preserve"> -</val>
          </value>
        </values>
      </ddeItem>
      <ddeItem name="NYFB1.204" advise="1">
        <values>
          <value t="str">
            <val xml:space="preserve"> -</val>
          </value>
        </values>
      </ddeItem>
      <ddeItem name="NYFB1.205" advise="1">
        <values>
          <value t="str">
            <val xml:space="preserve"> -</val>
          </value>
        </values>
      </ddeItem>
      <ddeItem name="NYFB1.211" advise="1">
        <values>
          <value t="str">
            <val xml:space="preserve"> -</val>
          </value>
        </values>
      </ddeItem>
      <ddeItem name="NYFB1.212" advise="1">
        <values>
          <value t="str">
            <val xml:space="preserve"> -</val>
          </value>
        </values>
      </ddeItem>
      <ddeItem name="NYFB1.213" advise="1">
        <values>
          <value t="str">
            <val xml:space="preserve"> -</val>
          </value>
        </values>
      </ddeItem>
      <ddeItem name="NYFB1.214" advise="1">
        <values>
          <value t="str">
            <val xml:space="preserve"> -</val>
          </value>
        </values>
      </ddeItem>
      <ddeItem name="NYFB1.215" advise="1">
        <values>
          <value t="str">
            <val xml:space="preserve"> -</val>
          </value>
        </values>
      </ddeItem>
      <ddeItem name="NYFB1.221" advise="1">
        <values>
          <value t="str">
            <val>-</val>
          </value>
        </values>
      </ddeItem>
      <ddeItem name="NYFB1.222" advise="1">
        <values>
          <value t="str">
            <val>-</val>
          </value>
        </values>
      </ddeItem>
      <ddeItem name="NYFB1.223" advise="1">
        <values>
          <value t="str">
            <val>-</val>
          </value>
        </values>
      </ddeItem>
      <ddeItem name="NYFB1.224" advise="1">
        <values>
          <value t="str">
            <val>-</val>
          </value>
        </values>
      </ddeItem>
      <ddeItem name="NYFB1.225" advise="1">
        <values>
          <value t="str">
            <val>-</val>
          </value>
        </values>
      </ddeItem>
      <ddeItem name="NYFB1.231" advise="1">
        <values>
          <value t="str">
            <val>-</val>
          </value>
        </values>
      </ddeItem>
      <ddeItem name="NYFB1.232" advise="1">
        <values>
          <value t="str">
            <val>-</val>
          </value>
        </values>
      </ddeItem>
      <ddeItem name="NYFB1.233" advise="1">
        <values>
          <value t="str">
            <val>-</val>
          </value>
        </values>
      </ddeItem>
      <ddeItem name="NYFB1.234" advise="1">
        <values>
          <value t="str">
            <val>-</val>
          </value>
        </values>
      </ddeItem>
      <ddeItem name="NYFB1.235" advise="1">
        <values>
          <value t="str">
            <val>-</val>
          </value>
        </values>
      </ddeItem>
      <ddeItem name="NYFB1.402" advise="1"/>
      <ddeItem name="NYFB1.406" advise="1">
        <values>
          <value t="str">
            <val xml:space="preserve"> -</val>
          </value>
        </values>
      </ddeItem>
      <ddeItem name="NYFB1.407" advise="1">
        <values>
          <value t="str">
            <val xml:space="preserve"> -</val>
          </value>
        </values>
      </ddeItem>
      <ddeItem name="NYFB1.431" advise="1">
        <values>
          <value t="str">
            <val>-</val>
          </value>
        </values>
      </ddeItem>
      <ddeItem name="NYFB1.437" advise="1">
        <values>
          <value t="str">
            <val xml:space="preserve"> -</val>
          </value>
        </values>
      </ddeItem>
      <ddeItem name="NZFB1.123" advise="1">
        <values>
          <value>
            <val>100135</val>
          </value>
        </values>
      </ddeItem>
      <ddeItem name="NZFB1.124" advise="1">
        <values>
          <value>
            <val>16424.64</val>
          </value>
        </values>
      </ddeItem>
      <ddeItem name="NZFB1.125" advise="1">
        <values>
          <value>
            <val>-18.760000000000002</val>
          </value>
        </values>
      </ddeItem>
      <ddeItem name="NZFB1.128" advise="1">
        <values>
          <value>
            <val>1648</val>
          </value>
        </values>
      </ddeItem>
      <ddeItem name="NZFB1.130" advise="1">
        <values>
          <value>
            <val>16329.54</val>
          </value>
        </values>
      </ddeItem>
      <ddeItem name="NZFB1.131" advise="1">
        <values>
          <value>
            <val>16456.939999999999</val>
          </value>
        </values>
      </ddeItem>
      <ddeItem name="NZFB1.132" advise="1">
        <values>
          <value>
            <val>16329.54</val>
          </value>
        </values>
      </ddeItem>
      <ddeItem name="NZFB1.133" advise="1">
        <values>
          <value>
            <val>4020107</val>
          </value>
        </values>
      </ddeItem>
      <ddeItem name="NZFB1.135" advise="1">
        <values>
          <value t="str">
            <val xml:space="preserve"> -</val>
          </value>
        </values>
      </ddeItem>
      <ddeItem name="NZFB1.136" advise="1">
        <values>
          <value t="str">
            <val xml:space="preserve"> -</val>
          </value>
        </values>
      </ddeItem>
      <ddeItem name="NZFB1.201" advise="1">
        <values>
          <value t="str">
            <val xml:space="preserve"> -</val>
          </value>
        </values>
      </ddeItem>
      <ddeItem name="NZFB1.202" advise="1">
        <values>
          <value t="str">
            <val xml:space="preserve"> -</val>
          </value>
        </values>
      </ddeItem>
      <ddeItem name="NZFB1.203" advise="1">
        <values>
          <value t="str">
            <val xml:space="preserve"> -</val>
          </value>
        </values>
      </ddeItem>
      <ddeItem name="NZFB1.204" advise="1">
        <values>
          <value t="str">
            <val xml:space="preserve"> -</val>
          </value>
        </values>
      </ddeItem>
      <ddeItem name="NZFB1.205" advise="1">
        <values>
          <value t="str">
            <val xml:space="preserve"> -</val>
          </value>
        </values>
      </ddeItem>
      <ddeItem name="NZFB1.211" advise="1">
        <values>
          <value t="str">
            <val xml:space="preserve"> -</val>
          </value>
        </values>
      </ddeItem>
      <ddeItem name="NZFB1.212" advise="1">
        <values>
          <value t="str">
            <val xml:space="preserve"> -</val>
          </value>
        </values>
      </ddeItem>
      <ddeItem name="NZFB1.213" advise="1">
        <values>
          <value t="str">
            <val xml:space="preserve"> -</val>
          </value>
        </values>
      </ddeItem>
      <ddeItem name="NZFB1.214" advise="1">
        <values>
          <value t="str">
            <val xml:space="preserve"> -</val>
          </value>
        </values>
      </ddeItem>
      <ddeItem name="NZFB1.215" advise="1">
        <values>
          <value t="str">
            <val xml:space="preserve"> -</val>
          </value>
        </values>
      </ddeItem>
      <ddeItem name="NZFB1.221" advise="1">
        <values>
          <value t="str">
            <val>-</val>
          </value>
        </values>
      </ddeItem>
      <ddeItem name="NZFB1.222" advise="1">
        <values>
          <value t="str">
            <val>-</val>
          </value>
        </values>
      </ddeItem>
      <ddeItem name="NZFB1.223" advise="1">
        <values>
          <value t="str">
            <val>-</val>
          </value>
        </values>
      </ddeItem>
      <ddeItem name="NZFB1.224" advise="1">
        <values>
          <value t="str">
            <val>-</val>
          </value>
        </values>
      </ddeItem>
      <ddeItem name="NZFB1.225" advise="1">
        <values>
          <value t="str">
            <val>-</val>
          </value>
        </values>
      </ddeItem>
      <ddeItem name="NZFB1.231" advise="1">
        <values>
          <value t="str">
            <val>-</val>
          </value>
        </values>
      </ddeItem>
      <ddeItem name="NZFB1.232" advise="1">
        <values>
          <value t="str">
            <val>-</val>
          </value>
        </values>
      </ddeItem>
      <ddeItem name="NZFB1.233" advise="1">
        <values>
          <value t="str">
            <val>-</val>
          </value>
        </values>
      </ddeItem>
      <ddeItem name="NZFB1.234" advise="1">
        <values>
          <value t="str">
            <val>-</val>
          </value>
        </values>
      </ddeItem>
      <ddeItem name="NZFB1.235" advise="1">
        <values>
          <value t="str">
            <val>-</val>
          </value>
        </values>
      </ddeItem>
      <ddeItem name="NZFB1.402" advise="1">
        <values>
          <value t="str">
            <val>加權指數</val>
          </value>
        </values>
      </ddeItem>
      <ddeItem name="NZFB1.406" advise="1">
        <values>
          <value t="str">
            <val xml:space="preserve"> -</val>
          </value>
        </values>
      </ddeItem>
      <ddeItem name="NZFB1.407" advise="1">
        <values>
          <value t="str">
            <val xml:space="preserve"> -</val>
          </value>
        </values>
      </ddeItem>
      <ddeItem name="NZFB1.431" advise="1">
        <values>
          <value t="str">
            <val>-</val>
          </value>
        </values>
      </ddeItem>
      <ddeItem name="NZFB1.437" advise="1">
        <values>
          <value t="str">
            <val xml:space="preserve"> -</val>
          </value>
        </values>
      </ddeItem>
      <ddeItem name="OAFB1.123" advise="1">
        <values>
          <value>
            <val>100150</val>
          </value>
        </values>
      </ddeItem>
      <ddeItem name="OAFB1.124" advise="1">
        <values>
          <value>
            <val>16421.62</val>
          </value>
        </values>
      </ddeItem>
      <ddeItem name="OAFB1.125" advise="1">
        <values>
          <value>
            <val>-21.78</val>
          </value>
        </values>
      </ddeItem>
      <ddeItem name="OAFB1.128" advise="1">
        <values>
          <value>
            <val>2439</val>
          </value>
        </values>
      </ddeItem>
      <ddeItem name="OAFB1.130" advise="1">
        <values>
          <value>
            <val>16329.54</val>
          </value>
        </values>
      </ddeItem>
      <ddeItem name="OAFB1.131" advise="1">
        <values>
          <value>
            <val>16456.939999999999</val>
          </value>
        </values>
      </ddeItem>
      <ddeItem name="OAFB1.132" advise="1">
        <values>
          <value>
            <val>16329.54</val>
          </value>
        </values>
      </ddeItem>
      <ddeItem name="OAFB1.133" advise="1">
        <values>
          <value>
            <val>4027056</val>
          </value>
        </values>
      </ddeItem>
      <ddeItem name="OAFB1.135" advise="1">
        <values>
          <value t="str">
            <val xml:space="preserve"> -</val>
          </value>
        </values>
      </ddeItem>
      <ddeItem name="OAFB1.136" advise="1">
        <values>
          <value t="str">
            <val xml:space="preserve"> -</val>
          </value>
        </values>
      </ddeItem>
      <ddeItem name="OAFB1.201" advise="1">
        <values>
          <value t="str">
            <val xml:space="preserve"> -</val>
          </value>
        </values>
      </ddeItem>
      <ddeItem name="OAFB1.202" advise="1">
        <values>
          <value t="str">
            <val xml:space="preserve"> -</val>
          </value>
        </values>
      </ddeItem>
      <ddeItem name="OAFB1.203" advise="1">
        <values>
          <value t="str">
            <val xml:space="preserve"> -</val>
          </value>
        </values>
      </ddeItem>
      <ddeItem name="OAFB1.204" advise="1">
        <values>
          <value t="str">
            <val xml:space="preserve"> -</val>
          </value>
        </values>
      </ddeItem>
      <ddeItem name="OAFB1.205" advise="1">
        <values>
          <value t="str">
            <val xml:space="preserve"> -</val>
          </value>
        </values>
      </ddeItem>
      <ddeItem name="OAFB1.211" advise="1">
        <values>
          <value t="str">
            <val xml:space="preserve"> -</val>
          </value>
        </values>
      </ddeItem>
      <ddeItem name="OAFB1.212" advise="1">
        <values>
          <value t="str">
            <val xml:space="preserve"> -</val>
          </value>
        </values>
      </ddeItem>
      <ddeItem name="OAFB1.213" advise="1">
        <values>
          <value t="str">
            <val xml:space="preserve"> -</val>
          </value>
        </values>
      </ddeItem>
      <ddeItem name="OAFB1.214" advise="1">
        <values>
          <value t="str">
            <val xml:space="preserve"> -</val>
          </value>
        </values>
      </ddeItem>
      <ddeItem name="OAFB1.215" advise="1">
        <values>
          <value t="str">
            <val xml:space="preserve"> -</val>
          </value>
        </values>
      </ddeItem>
      <ddeItem name="OAFB1.221" advise="1">
        <values>
          <value t="str">
            <val>-</val>
          </value>
        </values>
      </ddeItem>
      <ddeItem name="OAFB1.222" advise="1">
        <values>
          <value t="str">
            <val>-</val>
          </value>
        </values>
      </ddeItem>
      <ddeItem name="OAFB1.223" advise="1">
        <values>
          <value t="str">
            <val>-</val>
          </value>
        </values>
      </ddeItem>
      <ddeItem name="OAFB1.224" advise="1">
        <values>
          <value t="str">
            <val>-</val>
          </value>
        </values>
      </ddeItem>
      <ddeItem name="OAFB1.225" advise="1">
        <values>
          <value t="str">
            <val>-</val>
          </value>
        </values>
      </ddeItem>
      <ddeItem name="OAFB1.231" advise="1">
        <values>
          <value t="str">
            <val>-</val>
          </value>
        </values>
      </ddeItem>
      <ddeItem name="OAFB1.232" advise="1">
        <values>
          <value t="str">
            <val>-</val>
          </value>
        </values>
      </ddeItem>
      <ddeItem name="OAFB1.233" advise="1">
        <values>
          <value t="str">
            <val>-</val>
          </value>
        </values>
      </ddeItem>
      <ddeItem name="OAFB1.234" advise="1">
        <values>
          <value t="str">
            <val>-</val>
          </value>
        </values>
      </ddeItem>
      <ddeItem name="OAFB1.235" advise="1">
        <values>
          <value t="str">
            <val>-</val>
          </value>
        </values>
      </ddeItem>
      <ddeItem name="OAFB1.402" advise="1">
        <values>
          <value t="str">
            <val>加權指數</val>
          </value>
        </values>
      </ddeItem>
      <ddeItem name="OAFB1.406" advise="1">
        <values>
          <value t="str">
            <val xml:space="preserve"> -</val>
          </value>
        </values>
      </ddeItem>
      <ddeItem name="OAFB1.407" advise="1">
        <values>
          <value t="str">
            <val xml:space="preserve"> -</val>
          </value>
        </values>
      </ddeItem>
      <ddeItem name="OAFB1.431" advise="1">
        <values>
          <value t="str">
            <val>-</val>
          </value>
        </values>
      </ddeItem>
      <ddeItem name="OAFB1.437" advise="1">
        <values>
          <value t="str">
            <val xml:space="preserve"> -</val>
          </value>
        </values>
      </ddeItem>
      <ddeItem name="OBFB1.123" advise="1">
        <values>
          <value>
            <val>0</val>
          </value>
        </values>
      </ddeItem>
      <ddeItem name="OBFB1.124" advise="1">
        <values>
          <value>
            <val>20878632</val>
          </value>
        </values>
      </ddeItem>
      <ddeItem name="OBFB1.125" advise="1">
        <values>
          <value t="str">
            <val xml:space="preserve"> </val>
          </value>
        </values>
      </ddeItem>
      <ddeItem name="OBFB1.128" advise="1">
        <values>
          <value>
            <val>1212870150</val>
          </value>
        </values>
      </ddeItem>
      <ddeItem name="OBFB1.130" advise="1">
        <values>
          <value>
            <val>20803788</val>
          </value>
        </values>
      </ddeItem>
      <ddeItem name="OBFB1.131" advise="1">
        <values>
          <value>
            <val>20804690</val>
          </value>
        </values>
      </ddeItem>
      <ddeItem name="OBFB1.132" advise="1">
        <values>
          <value>
            <val>10989732</val>
          </value>
        </values>
      </ddeItem>
      <ddeItem name="OBFB1.133" advise="1">
        <values>
          <value>
            <val>2088371110</val>
          </value>
        </values>
      </ddeItem>
      <ddeItem name="OBFB1.135" advise="1">
        <values>
          <value t="str">
            <val xml:space="preserve"> -</val>
          </value>
        </values>
      </ddeItem>
      <ddeItem name="OBFB1.136" advise="1">
        <values>
          <value t="str">
            <val xml:space="preserve"> -</val>
          </value>
        </values>
      </ddeItem>
      <ddeItem name="OBFB1.201" advise="1">
        <values>
          <value t="str">
            <val xml:space="preserve"> -</val>
          </value>
        </values>
      </ddeItem>
      <ddeItem name="OBFB1.202" advise="1">
        <values>
          <value t="str">
            <val xml:space="preserve"> -</val>
          </value>
        </values>
      </ddeItem>
      <ddeItem name="OBFB1.203" advise="1">
        <values>
          <value t="str">
            <val xml:space="preserve"> -</val>
          </value>
        </values>
      </ddeItem>
      <ddeItem name="OBFB1.204" advise="1">
        <values>
          <value t="str">
            <val xml:space="preserve"> -</val>
          </value>
        </values>
      </ddeItem>
      <ddeItem name="OBFB1.205" advise="1">
        <values>
          <value t="str">
            <val xml:space="preserve"> -</val>
          </value>
        </values>
      </ddeItem>
      <ddeItem name="OBFB1.211" advise="1">
        <values>
          <value t="str">
            <val xml:space="preserve"> -</val>
          </value>
        </values>
      </ddeItem>
      <ddeItem name="OBFB1.212" advise="1">
        <values>
          <value t="str">
            <val xml:space="preserve"> -</val>
          </value>
        </values>
      </ddeItem>
      <ddeItem name="OBFB1.213" advise="1">
        <values>
          <value t="str">
            <val xml:space="preserve"> -</val>
          </value>
        </values>
      </ddeItem>
      <ddeItem name="OBFB1.214" advise="1">
        <values>
          <value t="str">
            <val xml:space="preserve"> -</val>
          </value>
        </values>
      </ddeItem>
      <ddeItem name="OBFB1.215" advise="1">
        <values>
          <value t="str">
            <val xml:space="preserve"> -</val>
          </value>
        </values>
      </ddeItem>
      <ddeItem name="OBFB1.221" advise="1">
        <values>
          <value t="str">
            <val>-</val>
          </value>
        </values>
      </ddeItem>
      <ddeItem name="OBFB1.222" advise="1">
        <values>
          <value t="str">
            <val>-</val>
          </value>
        </values>
      </ddeItem>
      <ddeItem name="OBFB1.223" advise="1">
        <values>
          <value t="str">
            <val>-</val>
          </value>
        </values>
      </ddeItem>
      <ddeItem name="OBFB1.224" advise="1">
        <values>
          <value t="str">
            <val>-</val>
          </value>
        </values>
      </ddeItem>
      <ddeItem name="OBFB1.225" advise="1">
        <values>
          <value t="str">
            <val>-</val>
          </value>
        </values>
      </ddeItem>
      <ddeItem name="OBFB1.231" advise="1">
        <values>
          <value t="str">
            <val>-</val>
          </value>
        </values>
      </ddeItem>
      <ddeItem name="OBFB1.232" advise="1">
        <values>
          <value t="str">
            <val>-</val>
          </value>
        </values>
      </ddeItem>
      <ddeItem name="OBFB1.233" advise="1">
        <values>
          <value t="str">
            <val>-</val>
          </value>
        </values>
      </ddeItem>
      <ddeItem name="OBFB1.234" advise="1">
        <values>
          <value t="str">
            <val>-</val>
          </value>
        </values>
      </ddeItem>
      <ddeItem name="OBFB1.235" advise="1">
        <values>
          <value t="str">
            <val>-</val>
          </value>
        </values>
      </ddeItem>
      <ddeItem name="OBFB1.402" advise="1"/>
      <ddeItem name="OBFB1.406" advise="1">
        <values>
          <value t="str">
            <val xml:space="preserve"> -</val>
          </value>
        </values>
      </ddeItem>
      <ddeItem name="OBFB1.407" advise="1">
        <values>
          <value t="str">
            <val xml:space="preserve"> -</val>
          </value>
        </values>
      </ddeItem>
      <ddeItem name="OBFB1.431" advise="1">
        <values>
          <value t="str">
            <val>-</val>
          </value>
        </values>
      </ddeItem>
      <ddeItem name="OBFB1.437" advise="1">
        <values>
          <value t="str">
            <val xml:space="preserve"> -</val>
          </value>
        </values>
      </ddeItem>
      <ddeItem name="OCFB1.123" advise="1">
        <values>
          <value>
            <val>100145</val>
          </value>
        </values>
      </ddeItem>
      <ddeItem name="OCFB1.124" advise="1">
        <values>
          <value>
            <val>16422.560000000001</val>
          </value>
        </values>
      </ddeItem>
      <ddeItem name="OCFB1.125" advise="1">
        <values>
          <value>
            <val>-20.84</val>
          </value>
        </values>
      </ddeItem>
      <ddeItem name="OCFB1.128" advise="1">
        <values>
          <value>
            <val>1824</val>
          </value>
        </values>
      </ddeItem>
      <ddeItem name="OCFB1.130" advise="1">
        <values>
          <value>
            <val>16329.54</val>
          </value>
        </values>
      </ddeItem>
      <ddeItem name="OCFB1.131" advise="1">
        <values>
          <value>
            <val>16456.939999999999</val>
          </value>
        </values>
      </ddeItem>
      <ddeItem name="OCFB1.132" advise="1">
        <values>
          <value>
            <val>16329.54</val>
          </value>
        </values>
      </ddeItem>
      <ddeItem name="OCFB1.133" advise="1">
        <values>
          <value>
            <val>4024617</val>
          </value>
        </values>
      </ddeItem>
      <ddeItem name="OCFB1.135" advise="1">
        <values>
          <value t="str">
            <val xml:space="preserve"> -</val>
          </value>
        </values>
      </ddeItem>
      <ddeItem name="OCFB1.136" advise="1">
        <values>
          <value t="str">
            <val xml:space="preserve"> -</val>
          </value>
        </values>
      </ddeItem>
      <ddeItem name="OCFB1.201" advise="1">
        <values>
          <value t="str">
            <val xml:space="preserve"> -</val>
          </value>
        </values>
      </ddeItem>
      <ddeItem name="OCFB1.202" advise="1">
        <values>
          <value t="str">
            <val xml:space="preserve"> -</val>
          </value>
        </values>
      </ddeItem>
      <ddeItem name="OCFB1.203" advise="1">
        <values>
          <value t="str">
            <val xml:space="preserve"> -</val>
          </value>
        </values>
      </ddeItem>
      <ddeItem name="OCFB1.204" advise="1">
        <values>
          <value t="str">
            <val xml:space="preserve"> -</val>
          </value>
        </values>
      </ddeItem>
      <ddeItem name="OCFB1.205" advise="1">
        <values>
          <value t="str">
            <val xml:space="preserve"> -</val>
          </value>
        </values>
      </ddeItem>
      <ddeItem name="OCFB1.211" advise="1">
        <values>
          <value t="str">
            <val xml:space="preserve"> -</val>
          </value>
        </values>
      </ddeItem>
      <ddeItem name="OCFB1.212" advise="1">
        <values>
          <value t="str">
            <val xml:space="preserve"> -</val>
          </value>
        </values>
      </ddeItem>
      <ddeItem name="OCFB1.213" advise="1">
        <values>
          <value t="str">
            <val xml:space="preserve"> -</val>
          </value>
        </values>
      </ddeItem>
      <ddeItem name="OCFB1.214" advise="1">
        <values>
          <value t="str">
            <val xml:space="preserve"> -</val>
          </value>
        </values>
      </ddeItem>
      <ddeItem name="OCFB1.215" advise="1">
        <values>
          <value t="str">
            <val xml:space="preserve"> -</val>
          </value>
        </values>
      </ddeItem>
      <ddeItem name="OCFB1.221" advise="1">
        <values>
          <value t="str">
            <val>-</val>
          </value>
        </values>
      </ddeItem>
      <ddeItem name="OCFB1.222" advise="1">
        <values>
          <value t="str">
            <val>-</val>
          </value>
        </values>
      </ddeItem>
      <ddeItem name="OCFB1.223" advise="1">
        <values>
          <value t="str">
            <val>-</val>
          </value>
        </values>
      </ddeItem>
      <ddeItem name="OCFB1.224" advise="1">
        <values>
          <value t="str">
            <val>-</val>
          </value>
        </values>
      </ddeItem>
      <ddeItem name="OCFB1.225" advise="1">
        <values>
          <value t="str">
            <val>-</val>
          </value>
        </values>
      </ddeItem>
      <ddeItem name="OCFB1.231" advise="1">
        <values>
          <value t="str">
            <val>-</val>
          </value>
        </values>
      </ddeItem>
      <ddeItem name="OCFB1.232" advise="1">
        <values>
          <value t="str">
            <val>-</val>
          </value>
        </values>
      </ddeItem>
      <ddeItem name="OCFB1.233" advise="1">
        <values>
          <value t="str">
            <val>-</val>
          </value>
        </values>
      </ddeItem>
      <ddeItem name="OCFB1.234" advise="1">
        <values>
          <value t="str">
            <val>-</val>
          </value>
        </values>
      </ddeItem>
      <ddeItem name="OCFB1.235" advise="1">
        <values>
          <value t="str">
            <val>-</val>
          </value>
        </values>
      </ddeItem>
      <ddeItem name="OCFB1.402" advise="1">
        <values>
          <value t="str">
            <val>加權指數</val>
          </value>
        </values>
      </ddeItem>
      <ddeItem name="OCFB1.406" advise="1">
        <values>
          <value t="str">
            <val xml:space="preserve"> -</val>
          </value>
        </values>
      </ddeItem>
      <ddeItem name="OCFB1.407" advise="1">
        <values>
          <value t="str">
            <val xml:space="preserve"> -</val>
          </value>
        </values>
      </ddeItem>
      <ddeItem name="OCFB1.431" advise="1">
        <values>
          <value t="str">
            <val>-</val>
          </value>
        </values>
      </ddeItem>
      <ddeItem name="OCFB1.437" advise="1">
        <values>
          <value t="str">
            <val xml:space="preserve"> -</val>
          </value>
        </values>
      </ddeItem>
      <ddeItem name="ODFB1.123" advise="1">
        <values>
          <value>
            <val>100145</val>
          </value>
        </values>
      </ddeItem>
      <ddeItem name="ODFB1.124" advise="1">
        <values>
          <value>
            <val>16422.560000000001</val>
          </value>
        </values>
      </ddeItem>
      <ddeItem name="ODFB1.125" advise="1">
        <values>
          <value>
            <val>-20.84</val>
          </value>
        </values>
      </ddeItem>
      <ddeItem name="ODFB1.128" advise="1">
        <values>
          <value>
            <val>1824</val>
          </value>
        </values>
      </ddeItem>
      <ddeItem name="ODFB1.130" advise="1">
        <values>
          <value>
            <val>16329.54</val>
          </value>
        </values>
      </ddeItem>
      <ddeItem name="ODFB1.131" advise="1">
        <values>
          <value>
            <val>16456.939999999999</val>
          </value>
        </values>
      </ddeItem>
      <ddeItem name="ODFB1.132" advise="1">
        <values>
          <value>
            <val>16329.54</val>
          </value>
        </values>
      </ddeItem>
      <ddeItem name="ODFB1.133" advise="1">
        <values>
          <value>
            <val>4024617</val>
          </value>
        </values>
      </ddeItem>
      <ddeItem name="ODFB1.135" advise="1">
        <values>
          <value t="str">
            <val xml:space="preserve"> -</val>
          </value>
        </values>
      </ddeItem>
      <ddeItem name="ODFB1.136" advise="1">
        <values>
          <value t="str">
            <val xml:space="preserve"> -</val>
          </value>
        </values>
      </ddeItem>
      <ddeItem name="ODFB1.201" advise="1">
        <values>
          <value t="str">
            <val xml:space="preserve"> -</val>
          </value>
        </values>
      </ddeItem>
      <ddeItem name="ODFB1.202" advise="1">
        <values>
          <value t="str">
            <val xml:space="preserve"> -</val>
          </value>
        </values>
      </ddeItem>
      <ddeItem name="ODFB1.203" advise="1">
        <values>
          <value t="str">
            <val xml:space="preserve"> -</val>
          </value>
        </values>
      </ddeItem>
      <ddeItem name="ODFB1.204" advise="1">
        <values>
          <value t="str">
            <val xml:space="preserve"> -</val>
          </value>
        </values>
      </ddeItem>
      <ddeItem name="ODFB1.205" advise="1">
        <values>
          <value t="str">
            <val xml:space="preserve"> -</val>
          </value>
        </values>
      </ddeItem>
      <ddeItem name="ODFB1.211" advise="1">
        <values>
          <value t="str">
            <val xml:space="preserve"> -</val>
          </value>
        </values>
      </ddeItem>
      <ddeItem name="ODFB1.212" advise="1">
        <values>
          <value t="str">
            <val xml:space="preserve"> -</val>
          </value>
        </values>
      </ddeItem>
      <ddeItem name="ODFB1.213" advise="1">
        <values>
          <value t="str">
            <val xml:space="preserve"> -</val>
          </value>
        </values>
      </ddeItem>
      <ddeItem name="ODFB1.214" advise="1">
        <values>
          <value t="str">
            <val xml:space="preserve"> -</val>
          </value>
        </values>
      </ddeItem>
      <ddeItem name="ODFB1.215" advise="1">
        <values>
          <value t="str">
            <val xml:space="preserve"> -</val>
          </value>
        </values>
      </ddeItem>
      <ddeItem name="ODFB1.221" advise="1">
        <values>
          <value t="str">
            <val>-</val>
          </value>
        </values>
      </ddeItem>
      <ddeItem name="ODFB1.222" advise="1">
        <values>
          <value t="str">
            <val>-</val>
          </value>
        </values>
      </ddeItem>
      <ddeItem name="ODFB1.223" advise="1">
        <values>
          <value t="str">
            <val>-</val>
          </value>
        </values>
      </ddeItem>
      <ddeItem name="ODFB1.224" advise="1">
        <values>
          <value t="str">
            <val>-</val>
          </value>
        </values>
      </ddeItem>
      <ddeItem name="ODFB1.225" advise="1">
        <values>
          <value t="str">
            <val>-</val>
          </value>
        </values>
      </ddeItem>
      <ddeItem name="ODFB1.231" advise="1">
        <values>
          <value t="str">
            <val>-</val>
          </value>
        </values>
      </ddeItem>
      <ddeItem name="ODFB1.232" advise="1">
        <values>
          <value t="str">
            <val>-</val>
          </value>
        </values>
      </ddeItem>
      <ddeItem name="ODFB1.233" advise="1">
        <values>
          <value t="str">
            <val>-</val>
          </value>
        </values>
      </ddeItem>
      <ddeItem name="ODFB1.234" advise="1">
        <values>
          <value t="str">
            <val>-</val>
          </value>
        </values>
      </ddeItem>
      <ddeItem name="ODFB1.235" advise="1">
        <values>
          <value t="str">
            <val>-</val>
          </value>
        </values>
      </ddeItem>
      <ddeItem name="ODFB1.402" advise="1">
        <values>
          <value t="str">
            <val>加權指數</val>
          </value>
        </values>
      </ddeItem>
      <ddeItem name="ODFB1.406" advise="1">
        <values>
          <value t="str">
            <val xml:space="preserve"> -</val>
          </value>
        </values>
      </ddeItem>
      <ddeItem name="ODFB1.407" advise="1">
        <values>
          <value t="str">
            <val xml:space="preserve"> -</val>
          </value>
        </values>
      </ddeItem>
      <ddeItem name="ODFB1.431" advise="1">
        <values>
          <value t="str">
            <val>-</val>
          </value>
        </values>
      </ddeItem>
      <ddeItem name="ODFB1.437" advise="1">
        <values>
          <value t="str">
            <val xml:space="preserve"> -</val>
          </value>
        </values>
      </ddeItem>
      <ddeItem name="OEFB1.123" advise="1">
        <values>
          <value>
            <val>100145</val>
          </value>
        </values>
      </ddeItem>
      <ddeItem name="OEFB1.124" advise="1">
        <values>
          <value>
            <val>16422.560000000001</val>
          </value>
        </values>
      </ddeItem>
      <ddeItem name="OEFB1.125" advise="1">
        <values>
          <value>
            <val>-20.84</val>
          </value>
        </values>
      </ddeItem>
      <ddeItem name="OEFB1.128" advise="1">
        <values>
          <value>
            <val>1824</val>
          </value>
        </values>
      </ddeItem>
      <ddeItem name="OEFB1.130" advise="1">
        <values>
          <value>
            <val>16329.54</val>
          </value>
        </values>
      </ddeItem>
      <ddeItem name="OEFB1.131" advise="1">
        <values>
          <value>
            <val>16456.939999999999</val>
          </value>
        </values>
      </ddeItem>
      <ddeItem name="OEFB1.132" advise="1">
        <values>
          <value>
            <val>16329.54</val>
          </value>
        </values>
      </ddeItem>
      <ddeItem name="OEFB1.133" advise="1">
        <values>
          <value>
            <val>4024617</val>
          </value>
        </values>
      </ddeItem>
      <ddeItem name="OEFB1.135" advise="1">
        <values>
          <value t="str">
            <val xml:space="preserve"> -</val>
          </value>
        </values>
      </ddeItem>
      <ddeItem name="OEFB1.136" advise="1">
        <values>
          <value t="str">
            <val xml:space="preserve"> -</val>
          </value>
        </values>
      </ddeItem>
      <ddeItem name="OEFB1.201" advise="1">
        <values>
          <value t="str">
            <val xml:space="preserve"> -</val>
          </value>
        </values>
      </ddeItem>
      <ddeItem name="OEFB1.202" advise="1">
        <values>
          <value t="str">
            <val xml:space="preserve"> -</val>
          </value>
        </values>
      </ddeItem>
      <ddeItem name="OEFB1.203" advise="1">
        <values>
          <value t="str">
            <val xml:space="preserve"> -</val>
          </value>
        </values>
      </ddeItem>
      <ddeItem name="OEFB1.204" advise="1">
        <values>
          <value t="str">
            <val xml:space="preserve"> -</val>
          </value>
        </values>
      </ddeItem>
      <ddeItem name="OEFB1.205" advise="1">
        <values>
          <value t="str">
            <val xml:space="preserve"> -</val>
          </value>
        </values>
      </ddeItem>
      <ddeItem name="OEFB1.211" advise="1">
        <values>
          <value t="str">
            <val xml:space="preserve"> -</val>
          </value>
        </values>
      </ddeItem>
      <ddeItem name="OEFB1.212" advise="1">
        <values>
          <value t="str">
            <val xml:space="preserve"> -</val>
          </value>
        </values>
      </ddeItem>
      <ddeItem name="OEFB1.213" advise="1">
        <values>
          <value t="str">
            <val xml:space="preserve"> -</val>
          </value>
        </values>
      </ddeItem>
      <ddeItem name="OEFB1.214" advise="1">
        <values>
          <value t="str">
            <val xml:space="preserve"> -</val>
          </value>
        </values>
      </ddeItem>
      <ddeItem name="OEFB1.215" advise="1">
        <values>
          <value t="str">
            <val xml:space="preserve"> -</val>
          </value>
        </values>
      </ddeItem>
      <ddeItem name="OEFB1.221" advise="1">
        <values>
          <value t="str">
            <val>-</val>
          </value>
        </values>
      </ddeItem>
      <ddeItem name="OEFB1.222" advise="1">
        <values>
          <value t="str">
            <val>-</val>
          </value>
        </values>
      </ddeItem>
      <ddeItem name="OEFB1.223" advise="1">
        <values>
          <value t="str">
            <val>-</val>
          </value>
        </values>
      </ddeItem>
      <ddeItem name="OEFB1.224" advise="1">
        <values>
          <value t="str">
            <val>-</val>
          </value>
        </values>
      </ddeItem>
      <ddeItem name="OEFB1.225" advise="1">
        <values>
          <value t="str">
            <val>-</val>
          </value>
        </values>
      </ddeItem>
      <ddeItem name="OEFB1.231" advise="1">
        <values>
          <value t="str">
            <val>-</val>
          </value>
        </values>
      </ddeItem>
      <ddeItem name="OEFB1.232" advise="1">
        <values>
          <value t="str">
            <val>-</val>
          </value>
        </values>
      </ddeItem>
      <ddeItem name="OEFB1.233" advise="1">
        <values>
          <value t="str">
            <val>-</val>
          </value>
        </values>
      </ddeItem>
      <ddeItem name="OEFB1.234" advise="1">
        <values>
          <value t="str">
            <val>-</val>
          </value>
        </values>
      </ddeItem>
      <ddeItem name="OEFB1.235" advise="1">
        <values>
          <value t="str">
            <val>-</val>
          </value>
        </values>
      </ddeItem>
      <ddeItem name="OEFB1.402" advise="1">
        <values>
          <value t="str">
            <val>加權指數</val>
          </value>
        </values>
      </ddeItem>
      <ddeItem name="OEFB1.406" advise="1">
        <values>
          <value t="str">
            <val xml:space="preserve"> -</val>
          </value>
        </values>
      </ddeItem>
      <ddeItem name="OEFB1.407" advise="1">
        <values>
          <value t="str">
            <val xml:space="preserve"> -</val>
          </value>
        </values>
      </ddeItem>
      <ddeItem name="OEFB1.431" advise="1">
        <values>
          <value t="str">
            <val>-</val>
          </value>
        </values>
      </ddeItem>
      <ddeItem name="OEFB1.437" advise="1">
        <values>
          <value t="str">
            <val xml:space="preserve"> -</val>
          </value>
        </values>
      </ddeItem>
      <ddeItem name="OHFB1.123" advise="1">
        <values>
          <value>
            <val>100140</val>
          </value>
        </values>
      </ddeItem>
      <ddeItem name="OHFB1.124" advise="1">
        <values>
          <value>
            <val>13893.18</val>
          </value>
        </values>
      </ddeItem>
      <ddeItem name="OHFB1.125" advise="1">
        <values>
          <value>
            <val>6.6</val>
          </value>
        </values>
      </ddeItem>
      <ddeItem name="OHFB1.128" advise="1">
        <values>
          <value>
            <val>720</val>
          </value>
        </values>
      </ddeItem>
      <ddeItem name="OHFB1.130" advise="1">
        <values>
          <value>
            <val>13893.03</val>
          </value>
        </values>
      </ddeItem>
      <ddeItem name="OHFB1.131" advise="1">
        <values>
          <value>
            <val>13945.78</val>
          </value>
        </values>
      </ddeItem>
      <ddeItem name="OHFB1.132" advise="1">
        <values>
          <value>
            <val>13875.82</val>
          </value>
        </values>
      </ddeItem>
      <ddeItem name="OHFB1.133" advise="1">
        <values>
          <value>
            <val>872505</val>
          </value>
        </values>
      </ddeItem>
      <ddeItem name="OHFB1.135" advise="1">
        <values>
          <value t="str">
            <val xml:space="preserve"> -</val>
          </value>
        </values>
      </ddeItem>
      <ddeItem name="OHFB1.136" advise="1">
        <values>
          <value t="str">
            <val xml:space="preserve"> -</val>
          </value>
        </values>
      </ddeItem>
      <ddeItem name="OHFB1.201" advise="1">
        <values>
          <value t="str">
            <val xml:space="preserve"> -</val>
          </value>
        </values>
      </ddeItem>
      <ddeItem name="OHFB1.202" advise="1">
        <values>
          <value t="str">
            <val xml:space="preserve"> -</val>
          </value>
        </values>
      </ddeItem>
      <ddeItem name="OHFB1.203" advise="1">
        <values>
          <value t="str">
            <val xml:space="preserve"> -</val>
          </value>
        </values>
      </ddeItem>
      <ddeItem name="OHFB1.204" advise="1">
        <values>
          <value t="str">
            <val xml:space="preserve"> -</val>
          </value>
        </values>
      </ddeItem>
      <ddeItem name="OHFB1.205" advise="1">
        <values>
          <value t="str">
            <val xml:space="preserve"> -</val>
          </value>
        </values>
      </ddeItem>
      <ddeItem name="OHFB1.211" advise="1">
        <values>
          <value t="str">
            <val xml:space="preserve"> -</val>
          </value>
        </values>
      </ddeItem>
      <ddeItem name="OHFB1.212" advise="1">
        <values>
          <value t="str">
            <val xml:space="preserve"> -</val>
          </value>
        </values>
      </ddeItem>
      <ddeItem name="OHFB1.213" advise="1">
        <values>
          <value t="str">
            <val xml:space="preserve"> -</val>
          </value>
        </values>
      </ddeItem>
      <ddeItem name="OHFB1.214" advise="1">
        <values>
          <value t="str">
            <val xml:space="preserve"> -</val>
          </value>
        </values>
      </ddeItem>
      <ddeItem name="OHFB1.215" advise="1">
        <values>
          <value t="str">
            <val xml:space="preserve"> -</val>
          </value>
        </values>
      </ddeItem>
      <ddeItem name="OHFB1.221" advise="1">
        <values>
          <value t="str">
            <val>-</val>
          </value>
        </values>
      </ddeItem>
      <ddeItem name="OHFB1.222" advise="1">
        <values>
          <value t="str">
            <val>-</val>
          </value>
        </values>
      </ddeItem>
      <ddeItem name="OHFB1.223" advise="1">
        <values>
          <value t="str">
            <val>-</val>
          </value>
        </values>
      </ddeItem>
      <ddeItem name="OHFB1.224" advise="1">
        <values>
          <value t="str">
            <val>-</val>
          </value>
        </values>
      </ddeItem>
      <ddeItem name="OHFB1.225" advise="1">
        <values>
          <value t="str">
            <val>-</val>
          </value>
        </values>
      </ddeItem>
      <ddeItem name="OHFB1.231" advise="1">
        <values>
          <value t="str">
            <val>-</val>
          </value>
        </values>
      </ddeItem>
      <ddeItem name="OHFB1.232" advise="1">
        <values>
          <value t="str">
            <val>-</val>
          </value>
        </values>
      </ddeItem>
      <ddeItem name="OHFB1.233" advise="1">
        <values>
          <value t="str">
            <val>-</val>
          </value>
        </values>
      </ddeItem>
      <ddeItem name="OHFB1.234" advise="1">
        <values>
          <value t="str">
            <val>-</val>
          </value>
        </values>
      </ddeItem>
      <ddeItem name="OHFB1.235" advise="1">
        <values>
          <value t="str">
            <val>-</val>
          </value>
        </values>
      </ddeItem>
      <ddeItem name="OHFB1.402" advise="1">
        <values>
          <value t="str">
            <val>不含金電</val>
          </value>
        </values>
      </ddeItem>
      <ddeItem name="OHFB1.406" advise="1">
        <values>
          <value t="str">
            <val xml:space="preserve"> -</val>
          </value>
        </values>
      </ddeItem>
      <ddeItem name="OHFB1.407" advise="1">
        <values>
          <value t="str">
            <val xml:space="preserve"> -</val>
          </value>
        </values>
      </ddeItem>
      <ddeItem name="OHFB1.431" advise="1">
        <values>
          <value t="str">
            <val>-</val>
          </value>
        </values>
      </ddeItem>
      <ddeItem name="OHFB1.437" advise="1">
        <values>
          <value t="str">
            <val xml:space="preserve"> -</val>
          </value>
        </values>
      </ddeItem>
      <ddeItem name="OJFB1.123" advise="1">
        <values>
          <value>
            <val>100135</val>
          </value>
        </values>
      </ddeItem>
      <ddeItem name="OJFB1.124" advise="1">
        <values>
          <value>
            <val>16424.64</val>
          </value>
        </values>
      </ddeItem>
      <ddeItem name="OJFB1.125" advise="1">
        <values>
          <value>
            <val>-18.760000000000002</val>
          </value>
        </values>
      </ddeItem>
      <ddeItem name="OJFB1.128" advise="1">
        <values>
          <value>
            <val>1648</val>
          </value>
        </values>
      </ddeItem>
      <ddeItem name="OJFB1.130" advise="1">
        <values>
          <value>
            <val>16329.54</val>
          </value>
        </values>
      </ddeItem>
      <ddeItem name="OJFB1.131" advise="1">
        <values>
          <value>
            <val>16456.939999999999</val>
          </value>
        </values>
      </ddeItem>
      <ddeItem name="OJFB1.132" advise="1">
        <values>
          <value>
            <val>16329.54</val>
          </value>
        </values>
      </ddeItem>
      <ddeItem name="OJFB1.133" advise="1">
        <values>
          <value>
            <val>4020107</val>
          </value>
        </values>
      </ddeItem>
      <ddeItem name="OJFB1.135" advise="1">
        <values>
          <value t="str">
            <val xml:space="preserve"> -</val>
          </value>
        </values>
      </ddeItem>
      <ddeItem name="OJFB1.136" advise="1">
        <values>
          <value t="str">
            <val xml:space="preserve"> -</val>
          </value>
        </values>
      </ddeItem>
      <ddeItem name="OJFB1.201" advise="1">
        <values>
          <value t="str">
            <val xml:space="preserve"> -</val>
          </value>
        </values>
      </ddeItem>
      <ddeItem name="OJFB1.202" advise="1">
        <values>
          <value t="str">
            <val xml:space="preserve"> -</val>
          </value>
        </values>
      </ddeItem>
      <ddeItem name="OJFB1.203" advise="1">
        <values>
          <value t="str">
            <val xml:space="preserve"> -</val>
          </value>
        </values>
      </ddeItem>
      <ddeItem name="OJFB1.204" advise="1">
        <values>
          <value t="str">
            <val xml:space="preserve"> -</val>
          </value>
        </values>
      </ddeItem>
      <ddeItem name="OJFB1.205" advise="1">
        <values>
          <value t="str">
            <val xml:space="preserve"> -</val>
          </value>
        </values>
      </ddeItem>
      <ddeItem name="OJFB1.211" advise="1">
        <values>
          <value t="str">
            <val xml:space="preserve"> -</val>
          </value>
        </values>
      </ddeItem>
      <ddeItem name="OJFB1.212" advise="1">
        <values>
          <value t="str">
            <val xml:space="preserve"> -</val>
          </value>
        </values>
      </ddeItem>
      <ddeItem name="OJFB1.213" advise="1">
        <values>
          <value t="str">
            <val xml:space="preserve"> -</val>
          </value>
        </values>
      </ddeItem>
      <ddeItem name="OJFB1.214" advise="1">
        <values>
          <value t="str">
            <val xml:space="preserve"> -</val>
          </value>
        </values>
      </ddeItem>
      <ddeItem name="OJFB1.215" advise="1">
        <values>
          <value t="str">
            <val xml:space="preserve"> -</val>
          </value>
        </values>
      </ddeItem>
      <ddeItem name="OJFB1.221" advise="1">
        <values>
          <value t="str">
            <val>-</val>
          </value>
        </values>
      </ddeItem>
      <ddeItem name="OJFB1.222" advise="1">
        <values>
          <value t="str">
            <val>-</val>
          </value>
        </values>
      </ddeItem>
      <ddeItem name="OJFB1.223" advise="1">
        <values>
          <value t="str">
            <val>-</val>
          </value>
        </values>
      </ddeItem>
      <ddeItem name="OJFB1.224" advise="1">
        <values>
          <value t="str">
            <val>-</val>
          </value>
        </values>
      </ddeItem>
      <ddeItem name="OJFB1.225" advise="1">
        <values>
          <value t="str">
            <val>-</val>
          </value>
        </values>
      </ddeItem>
      <ddeItem name="OJFB1.231" advise="1">
        <values>
          <value t="str">
            <val>-</val>
          </value>
        </values>
      </ddeItem>
      <ddeItem name="OJFB1.232" advise="1">
        <values>
          <value t="str">
            <val>-</val>
          </value>
        </values>
      </ddeItem>
      <ddeItem name="OJFB1.233" advise="1">
        <values>
          <value t="str">
            <val>-</val>
          </value>
        </values>
      </ddeItem>
      <ddeItem name="OJFB1.234" advise="1">
        <values>
          <value t="str">
            <val>-</val>
          </value>
        </values>
      </ddeItem>
      <ddeItem name="OJFB1.235" advise="1">
        <values>
          <value t="str">
            <val>-</val>
          </value>
        </values>
      </ddeItem>
      <ddeItem name="OJFB1.402" advise="1">
        <values>
          <value t="str">
            <val>加權指數</val>
          </value>
        </values>
      </ddeItem>
      <ddeItem name="OJFB1.406" advise="1">
        <values>
          <value t="str">
            <val xml:space="preserve"> -</val>
          </value>
        </values>
      </ddeItem>
      <ddeItem name="OJFB1.407" advise="1">
        <values>
          <value t="str">
            <val xml:space="preserve"> -</val>
          </value>
        </values>
      </ddeItem>
      <ddeItem name="OJFB1.431" advise="1">
        <values>
          <value t="str">
            <val>-</val>
          </value>
        </values>
      </ddeItem>
      <ddeItem name="OJFB1.437" advise="1">
        <values>
          <value t="str">
            <val xml:space="preserve"> -</val>
          </value>
        </values>
      </ddeItem>
      <ddeItem name="OKFB1.123" advise="1">
        <values>
          <value>
            <val>100135</val>
          </value>
        </values>
      </ddeItem>
      <ddeItem name="OKFB1.124" advise="1">
        <values>
          <value>
            <val>16424.64</val>
          </value>
        </values>
      </ddeItem>
      <ddeItem name="OKFB1.125" advise="1">
        <values>
          <value>
            <val>-18.760000000000002</val>
          </value>
        </values>
      </ddeItem>
      <ddeItem name="OKFB1.128" advise="1">
        <values>
          <value>
            <val>1648</val>
          </value>
        </values>
      </ddeItem>
      <ddeItem name="OKFB1.130" advise="1">
        <values>
          <value>
            <val>16329.54</val>
          </value>
        </values>
      </ddeItem>
      <ddeItem name="OKFB1.131" advise="1">
        <values>
          <value>
            <val>16456.939999999999</val>
          </value>
        </values>
      </ddeItem>
      <ddeItem name="OKFB1.132" advise="1">
        <values>
          <value>
            <val>16329.54</val>
          </value>
        </values>
      </ddeItem>
      <ddeItem name="OKFB1.133" advise="1">
        <values>
          <value>
            <val>4020107</val>
          </value>
        </values>
      </ddeItem>
      <ddeItem name="OKFB1.135" advise="1">
        <values>
          <value t="str">
            <val xml:space="preserve"> -</val>
          </value>
        </values>
      </ddeItem>
      <ddeItem name="OKFB1.136" advise="1">
        <values>
          <value t="str">
            <val xml:space="preserve"> -</val>
          </value>
        </values>
      </ddeItem>
      <ddeItem name="OKFB1.201" advise="1">
        <values>
          <value t="str">
            <val xml:space="preserve"> -</val>
          </value>
        </values>
      </ddeItem>
      <ddeItem name="OKFB1.202" advise="1">
        <values>
          <value t="str">
            <val xml:space="preserve"> -</val>
          </value>
        </values>
      </ddeItem>
      <ddeItem name="OKFB1.203" advise="1">
        <values>
          <value t="str">
            <val xml:space="preserve"> -</val>
          </value>
        </values>
      </ddeItem>
      <ddeItem name="OKFB1.204" advise="1">
        <values>
          <value t="str">
            <val xml:space="preserve"> -</val>
          </value>
        </values>
      </ddeItem>
      <ddeItem name="OKFB1.205" advise="1">
        <values>
          <value t="str">
            <val xml:space="preserve"> -</val>
          </value>
        </values>
      </ddeItem>
      <ddeItem name="OKFB1.211" advise="1">
        <values>
          <value t="str">
            <val xml:space="preserve"> -</val>
          </value>
        </values>
      </ddeItem>
      <ddeItem name="OKFB1.212" advise="1">
        <values>
          <value t="str">
            <val xml:space="preserve"> -</val>
          </value>
        </values>
      </ddeItem>
      <ddeItem name="OKFB1.213" advise="1">
        <values>
          <value t="str">
            <val xml:space="preserve"> -</val>
          </value>
        </values>
      </ddeItem>
      <ddeItem name="OKFB1.214" advise="1">
        <values>
          <value t="str">
            <val xml:space="preserve"> -</val>
          </value>
        </values>
      </ddeItem>
      <ddeItem name="OKFB1.215" advise="1">
        <values>
          <value t="str">
            <val xml:space="preserve"> -</val>
          </value>
        </values>
      </ddeItem>
      <ddeItem name="OKFB1.221" advise="1">
        <values>
          <value t="str">
            <val>-</val>
          </value>
        </values>
      </ddeItem>
      <ddeItem name="OKFB1.222" advise="1">
        <values>
          <value t="str">
            <val>-</val>
          </value>
        </values>
      </ddeItem>
      <ddeItem name="OKFB1.223" advise="1">
        <values>
          <value t="str">
            <val>-</val>
          </value>
        </values>
      </ddeItem>
      <ddeItem name="OKFB1.224" advise="1">
        <values>
          <value t="str">
            <val>-</val>
          </value>
        </values>
      </ddeItem>
      <ddeItem name="OKFB1.225" advise="1">
        <values>
          <value t="str">
            <val>-</val>
          </value>
        </values>
      </ddeItem>
      <ddeItem name="OKFB1.231" advise="1">
        <values>
          <value t="str">
            <val>-</val>
          </value>
        </values>
      </ddeItem>
      <ddeItem name="OKFB1.232" advise="1">
        <values>
          <value t="str">
            <val>-</val>
          </value>
        </values>
      </ddeItem>
      <ddeItem name="OKFB1.233" advise="1">
        <values>
          <value t="str">
            <val>-</val>
          </value>
        </values>
      </ddeItem>
      <ddeItem name="OKFB1.234" advise="1">
        <values>
          <value t="str">
            <val>-</val>
          </value>
        </values>
      </ddeItem>
      <ddeItem name="OKFB1.235" advise="1">
        <values>
          <value t="str">
            <val>-</val>
          </value>
        </values>
      </ddeItem>
      <ddeItem name="OKFB1.402" advise="1">
        <values>
          <value t="str">
            <val>加權指數</val>
          </value>
        </values>
      </ddeItem>
      <ddeItem name="OKFB1.406" advise="1">
        <values>
          <value t="str">
            <val xml:space="preserve"> -</val>
          </value>
        </values>
      </ddeItem>
      <ddeItem name="OKFB1.407" advise="1">
        <values>
          <value t="str">
            <val xml:space="preserve"> -</val>
          </value>
        </values>
      </ddeItem>
      <ddeItem name="OKFB1.431" advise="1">
        <values>
          <value t="str">
            <val>-</val>
          </value>
        </values>
      </ddeItem>
      <ddeItem name="OKFB1.437" advise="1">
        <values>
          <value t="str">
            <val xml:space="preserve"> -</val>
          </value>
        </values>
      </ddeItem>
      <ddeItem name="OLFB1.123" advise="1">
        <values>
          <value>
            <val>100135</val>
          </value>
        </values>
      </ddeItem>
      <ddeItem name="OLFB1.124" advise="1">
        <values>
          <value>
            <val>16424.64</val>
          </value>
        </values>
      </ddeItem>
      <ddeItem name="OLFB1.125" advise="1">
        <values>
          <value>
            <val>-18.760000000000002</val>
          </value>
        </values>
      </ddeItem>
      <ddeItem name="OLFB1.128" advise="1">
        <values>
          <value>
            <val>1648</val>
          </value>
        </values>
      </ddeItem>
      <ddeItem name="OLFB1.130" advise="1">
        <values>
          <value>
            <val>16329.54</val>
          </value>
        </values>
      </ddeItem>
      <ddeItem name="OLFB1.131" advise="1">
        <values>
          <value>
            <val>16456.939999999999</val>
          </value>
        </values>
      </ddeItem>
      <ddeItem name="OLFB1.132" advise="1">
        <values>
          <value>
            <val>16329.54</val>
          </value>
        </values>
      </ddeItem>
      <ddeItem name="OLFB1.133" advise="1">
        <values>
          <value>
            <val>4020107</val>
          </value>
        </values>
      </ddeItem>
      <ddeItem name="OLFB1.135" advise="1">
        <values>
          <value t="str">
            <val xml:space="preserve"> -</val>
          </value>
        </values>
      </ddeItem>
      <ddeItem name="OLFB1.136" advise="1">
        <values>
          <value t="str">
            <val xml:space="preserve"> -</val>
          </value>
        </values>
      </ddeItem>
      <ddeItem name="OLFB1.201" advise="1">
        <values>
          <value t="str">
            <val xml:space="preserve"> -</val>
          </value>
        </values>
      </ddeItem>
      <ddeItem name="OLFB1.202" advise="1">
        <values>
          <value t="str">
            <val xml:space="preserve"> -</val>
          </value>
        </values>
      </ddeItem>
      <ddeItem name="OLFB1.203" advise="1">
        <values>
          <value t="str">
            <val xml:space="preserve"> -</val>
          </value>
        </values>
      </ddeItem>
      <ddeItem name="OLFB1.204" advise="1">
        <values>
          <value t="str">
            <val xml:space="preserve"> -</val>
          </value>
        </values>
      </ddeItem>
      <ddeItem name="OLFB1.205" advise="1">
        <values>
          <value t="str">
            <val xml:space="preserve"> -</val>
          </value>
        </values>
      </ddeItem>
      <ddeItem name="OLFB1.211" advise="1">
        <values>
          <value t="str">
            <val xml:space="preserve"> -</val>
          </value>
        </values>
      </ddeItem>
      <ddeItem name="OLFB1.212" advise="1">
        <values>
          <value t="str">
            <val xml:space="preserve"> -</val>
          </value>
        </values>
      </ddeItem>
      <ddeItem name="OLFB1.213" advise="1">
        <values>
          <value t="str">
            <val xml:space="preserve"> -</val>
          </value>
        </values>
      </ddeItem>
      <ddeItem name="OLFB1.214" advise="1">
        <values>
          <value t="str">
            <val xml:space="preserve"> -</val>
          </value>
        </values>
      </ddeItem>
      <ddeItem name="OLFB1.215" advise="1">
        <values>
          <value t="str">
            <val xml:space="preserve"> -</val>
          </value>
        </values>
      </ddeItem>
      <ddeItem name="OLFB1.221" advise="1">
        <values>
          <value t="str">
            <val>-</val>
          </value>
        </values>
      </ddeItem>
      <ddeItem name="OLFB1.222" advise="1">
        <values>
          <value t="str">
            <val>-</val>
          </value>
        </values>
      </ddeItem>
      <ddeItem name="OLFB1.223" advise="1">
        <values>
          <value t="str">
            <val>-</val>
          </value>
        </values>
      </ddeItem>
      <ddeItem name="OLFB1.224" advise="1">
        <values>
          <value t="str">
            <val>-</val>
          </value>
        </values>
      </ddeItem>
      <ddeItem name="OLFB1.225" advise="1">
        <values>
          <value t="str">
            <val>-</val>
          </value>
        </values>
      </ddeItem>
      <ddeItem name="OLFB1.231" advise="1">
        <values>
          <value t="str">
            <val>-</val>
          </value>
        </values>
      </ddeItem>
      <ddeItem name="OLFB1.232" advise="1">
        <values>
          <value t="str">
            <val>-</val>
          </value>
        </values>
      </ddeItem>
      <ddeItem name="OLFB1.233" advise="1">
        <values>
          <value t="str">
            <val>-</val>
          </value>
        </values>
      </ddeItem>
      <ddeItem name="OLFB1.234" advise="1">
        <values>
          <value t="str">
            <val>-</val>
          </value>
        </values>
      </ddeItem>
      <ddeItem name="OLFB1.235" advise="1">
        <values>
          <value t="str">
            <val>-</val>
          </value>
        </values>
      </ddeItem>
      <ddeItem name="OLFB1.402" advise="1">
        <values>
          <value t="str">
            <val>加權指數</val>
          </value>
        </values>
      </ddeItem>
      <ddeItem name="OLFB1.406" advise="1">
        <values>
          <value t="str">
            <val xml:space="preserve"> -</val>
          </value>
        </values>
      </ddeItem>
      <ddeItem name="OLFB1.407" advise="1">
        <values>
          <value t="str">
            <val xml:space="preserve"> -</val>
          </value>
        </values>
      </ddeItem>
      <ddeItem name="OLFB1.431" advise="1">
        <values>
          <value t="str">
            <val>-</val>
          </value>
        </values>
      </ddeItem>
      <ddeItem name="OLFB1.437" advise="1">
        <values>
          <value t="str">
            <val xml:space="preserve"> -</val>
          </value>
        </values>
      </ddeItem>
      <ddeItem name="OMFB1.123" advise="1">
        <values>
          <value>
            <val>0</val>
          </value>
        </values>
      </ddeItem>
      <ddeItem name="OMFB1.124" advise="1">
        <values>
          <value>
            <val>20878632</val>
          </value>
        </values>
      </ddeItem>
      <ddeItem name="OMFB1.125" advise="1">
        <values>
          <value t="str">
            <val xml:space="preserve"> </val>
          </value>
        </values>
      </ddeItem>
      <ddeItem name="OMFB1.128" advise="1">
        <values>
          <value>
            <val>1212870150</val>
          </value>
        </values>
      </ddeItem>
      <ddeItem name="OMFB1.130" advise="1">
        <values>
          <value>
            <val>20803788</val>
          </value>
        </values>
      </ddeItem>
      <ddeItem name="OMFB1.131" advise="1">
        <values>
          <value>
            <val>20804690</val>
          </value>
        </values>
      </ddeItem>
      <ddeItem name="OMFB1.132" advise="1">
        <values>
          <value>
            <val>10989732</val>
          </value>
        </values>
      </ddeItem>
      <ddeItem name="OMFB1.133" advise="1">
        <values>
          <value>
            <val>2088371110</val>
          </value>
        </values>
      </ddeItem>
      <ddeItem name="OMFB1.135" advise="1">
        <values>
          <value t="str">
            <val xml:space="preserve"> -</val>
          </value>
        </values>
      </ddeItem>
      <ddeItem name="OMFB1.136" advise="1">
        <values>
          <value t="str">
            <val xml:space="preserve"> -</val>
          </value>
        </values>
      </ddeItem>
      <ddeItem name="OMFB1.201" advise="1">
        <values>
          <value t="str">
            <val xml:space="preserve"> -</val>
          </value>
        </values>
      </ddeItem>
      <ddeItem name="OMFB1.202" advise="1">
        <values>
          <value t="str">
            <val xml:space="preserve"> -</val>
          </value>
        </values>
      </ddeItem>
      <ddeItem name="OMFB1.203" advise="1">
        <values>
          <value t="str">
            <val xml:space="preserve"> -</val>
          </value>
        </values>
      </ddeItem>
      <ddeItem name="OMFB1.204" advise="1">
        <values>
          <value t="str">
            <val xml:space="preserve"> -</val>
          </value>
        </values>
      </ddeItem>
      <ddeItem name="OMFB1.205" advise="1">
        <values>
          <value t="str">
            <val xml:space="preserve"> -</val>
          </value>
        </values>
      </ddeItem>
      <ddeItem name="OMFB1.211" advise="1">
        <values>
          <value t="str">
            <val xml:space="preserve"> -</val>
          </value>
        </values>
      </ddeItem>
      <ddeItem name="OMFB1.212" advise="1">
        <values>
          <value t="str">
            <val xml:space="preserve"> -</val>
          </value>
        </values>
      </ddeItem>
      <ddeItem name="OMFB1.213" advise="1">
        <values>
          <value t="str">
            <val xml:space="preserve"> -</val>
          </value>
        </values>
      </ddeItem>
      <ddeItem name="OMFB1.214" advise="1">
        <values>
          <value t="str">
            <val xml:space="preserve"> -</val>
          </value>
        </values>
      </ddeItem>
      <ddeItem name="OMFB1.215" advise="1">
        <values>
          <value t="str">
            <val xml:space="preserve"> -</val>
          </value>
        </values>
      </ddeItem>
      <ddeItem name="OMFB1.221" advise="1">
        <values>
          <value t="str">
            <val>-</val>
          </value>
        </values>
      </ddeItem>
      <ddeItem name="OMFB1.222" advise="1">
        <values>
          <value t="str">
            <val>-</val>
          </value>
        </values>
      </ddeItem>
      <ddeItem name="OMFB1.223" advise="1">
        <values>
          <value t="str">
            <val>-</val>
          </value>
        </values>
      </ddeItem>
      <ddeItem name="OMFB1.224" advise="1">
        <values>
          <value t="str">
            <val>-</val>
          </value>
        </values>
      </ddeItem>
      <ddeItem name="OMFB1.225" advise="1">
        <values>
          <value t="str">
            <val>-</val>
          </value>
        </values>
      </ddeItem>
      <ddeItem name="OMFB1.231" advise="1">
        <values>
          <value t="str">
            <val>-</val>
          </value>
        </values>
      </ddeItem>
      <ddeItem name="OMFB1.232" advise="1">
        <values>
          <value t="str">
            <val>-</val>
          </value>
        </values>
      </ddeItem>
      <ddeItem name="OMFB1.233" advise="1">
        <values>
          <value t="str">
            <val>-</val>
          </value>
        </values>
      </ddeItem>
      <ddeItem name="OMFB1.234" advise="1">
        <values>
          <value t="str">
            <val>-</val>
          </value>
        </values>
      </ddeItem>
      <ddeItem name="OMFB1.235" advise="1">
        <values>
          <value t="str">
            <val>-</val>
          </value>
        </values>
      </ddeItem>
      <ddeItem name="OMFB1.402" advise="1"/>
      <ddeItem name="OMFB1.406" advise="1">
        <values>
          <value t="str">
            <val xml:space="preserve"> -</val>
          </value>
        </values>
      </ddeItem>
      <ddeItem name="OMFB1.407" advise="1">
        <values>
          <value t="str">
            <val xml:space="preserve"> -</val>
          </value>
        </values>
      </ddeItem>
      <ddeItem name="OMFB1.431" advise="1">
        <values>
          <value t="str">
            <val>-</val>
          </value>
        </values>
      </ddeItem>
      <ddeItem name="OMFB1.437" advise="1">
        <values>
          <value t="str">
            <val xml:space="preserve"> -</val>
          </value>
        </values>
      </ddeItem>
      <ddeItem name="OOFB1.123" advise="1">
        <values>
          <value>
            <val>100130</val>
          </value>
        </values>
      </ddeItem>
      <ddeItem name="OOFB1.124" advise="1">
        <values>
          <value>
            <val>16422.080000000002</val>
          </value>
        </values>
      </ddeItem>
      <ddeItem name="OOFB1.125" advise="1">
        <values>
          <value>
            <val>-21.32</val>
          </value>
        </values>
      </ddeItem>
      <ddeItem name="OOFB1.128" advise="1">
        <values>
          <value>
            <val>3347</val>
          </value>
        </values>
      </ddeItem>
      <ddeItem name="OOFB1.130" advise="1">
        <values>
          <value>
            <val>16329.54</val>
          </value>
        </values>
      </ddeItem>
      <ddeItem name="OOFB1.131" advise="1">
        <values>
          <value>
            <val>16456.939999999999</val>
          </value>
        </values>
      </ddeItem>
      <ddeItem name="OOFB1.132" advise="1">
        <values>
          <value>
            <val>16329.54</val>
          </value>
        </values>
      </ddeItem>
      <ddeItem name="OOFB1.133" advise="1">
        <values>
          <value>
            <val>4018459</val>
          </value>
        </values>
      </ddeItem>
      <ddeItem name="OOFB1.135" advise="1">
        <values>
          <value t="str">
            <val xml:space="preserve"> -</val>
          </value>
        </values>
      </ddeItem>
      <ddeItem name="OOFB1.136" advise="1">
        <values>
          <value t="str">
            <val xml:space="preserve"> -</val>
          </value>
        </values>
      </ddeItem>
      <ddeItem name="OOFB1.201" advise="1">
        <values>
          <value t="str">
            <val xml:space="preserve"> -</val>
          </value>
        </values>
      </ddeItem>
      <ddeItem name="OOFB1.202" advise="1">
        <values>
          <value t="str">
            <val xml:space="preserve"> -</val>
          </value>
        </values>
      </ddeItem>
      <ddeItem name="OOFB1.203" advise="1">
        <values>
          <value t="str">
            <val xml:space="preserve"> -</val>
          </value>
        </values>
      </ddeItem>
      <ddeItem name="OOFB1.204" advise="1">
        <values>
          <value t="str">
            <val xml:space="preserve"> -</val>
          </value>
        </values>
      </ddeItem>
      <ddeItem name="OOFB1.205" advise="1">
        <values>
          <value t="str">
            <val xml:space="preserve"> -</val>
          </value>
        </values>
      </ddeItem>
      <ddeItem name="OOFB1.211" advise="1">
        <values>
          <value t="str">
            <val xml:space="preserve"> -</val>
          </value>
        </values>
      </ddeItem>
      <ddeItem name="OOFB1.212" advise="1">
        <values>
          <value t="str">
            <val xml:space="preserve"> -</val>
          </value>
        </values>
      </ddeItem>
      <ddeItem name="OOFB1.213" advise="1">
        <values>
          <value t="str">
            <val xml:space="preserve"> -</val>
          </value>
        </values>
      </ddeItem>
      <ddeItem name="OOFB1.214" advise="1">
        <values>
          <value t="str">
            <val xml:space="preserve"> -</val>
          </value>
        </values>
      </ddeItem>
      <ddeItem name="OOFB1.215" advise="1">
        <values>
          <value t="str">
            <val xml:space="preserve"> -</val>
          </value>
        </values>
      </ddeItem>
      <ddeItem name="OOFB1.221" advise="1">
        <values>
          <value t="str">
            <val>-</val>
          </value>
        </values>
      </ddeItem>
      <ddeItem name="OOFB1.222" advise="1">
        <values>
          <value t="str">
            <val>-</val>
          </value>
        </values>
      </ddeItem>
      <ddeItem name="OOFB1.223" advise="1">
        <values>
          <value t="str">
            <val>-</val>
          </value>
        </values>
      </ddeItem>
      <ddeItem name="OOFB1.224" advise="1">
        <values>
          <value t="str">
            <val>-</val>
          </value>
        </values>
      </ddeItem>
      <ddeItem name="OOFB1.225" advise="1">
        <values>
          <value t="str">
            <val>-</val>
          </value>
        </values>
      </ddeItem>
      <ddeItem name="OOFB1.231" advise="1">
        <values>
          <value t="str">
            <val>-</val>
          </value>
        </values>
      </ddeItem>
      <ddeItem name="OOFB1.232" advise="1">
        <values>
          <value t="str">
            <val>-</val>
          </value>
        </values>
      </ddeItem>
      <ddeItem name="OOFB1.233" advise="1">
        <values>
          <value t="str">
            <val>-</val>
          </value>
        </values>
      </ddeItem>
      <ddeItem name="OOFB1.234" advise="1">
        <values>
          <value t="str">
            <val>-</val>
          </value>
        </values>
      </ddeItem>
      <ddeItem name="OOFB1.235" advise="1">
        <values>
          <value t="str">
            <val>-</val>
          </value>
        </values>
      </ddeItem>
      <ddeItem name="OOFB1.402" advise="1">
        <values>
          <value t="str">
            <val>加權指數</val>
          </value>
        </values>
      </ddeItem>
      <ddeItem name="OOFB1.406" advise="1">
        <values>
          <value t="str">
            <val xml:space="preserve"> -</val>
          </value>
        </values>
      </ddeItem>
      <ddeItem name="OOFB1.407" advise="1">
        <values>
          <value t="str">
            <val xml:space="preserve"> -</val>
          </value>
        </values>
      </ddeItem>
      <ddeItem name="OOFB1.431" advise="1">
        <values>
          <value t="str">
            <val>-</val>
          </value>
        </values>
      </ddeItem>
      <ddeItem name="OOFB1.437" advise="1">
        <values>
          <value t="str">
            <val xml:space="preserve"> -</val>
          </value>
        </values>
      </ddeItem>
      <ddeItem name="OPFB1.123" advise="1">
        <values>
          <value>
            <val>100130</val>
          </value>
        </values>
      </ddeItem>
      <ddeItem name="OPFB1.124" advise="1">
        <values>
          <value>
            <val>16422.080000000002</val>
          </value>
        </values>
      </ddeItem>
      <ddeItem name="OPFB1.125" advise="1">
        <values>
          <value>
            <val>-21.32</val>
          </value>
        </values>
      </ddeItem>
      <ddeItem name="OPFB1.128" advise="1">
        <values>
          <value>
            <val>3347</val>
          </value>
        </values>
      </ddeItem>
      <ddeItem name="OPFB1.130" advise="1">
        <values>
          <value>
            <val>16329.54</val>
          </value>
        </values>
      </ddeItem>
      <ddeItem name="OPFB1.131" advise="1">
        <values>
          <value>
            <val>16456.939999999999</val>
          </value>
        </values>
      </ddeItem>
      <ddeItem name="OPFB1.132" advise="1">
        <values>
          <value>
            <val>16329.54</val>
          </value>
        </values>
      </ddeItem>
      <ddeItem name="OPFB1.133" advise="1">
        <values>
          <value>
            <val>4018459</val>
          </value>
        </values>
      </ddeItem>
      <ddeItem name="OPFB1.135" advise="1">
        <values>
          <value t="str">
            <val xml:space="preserve"> -</val>
          </value>
        </values>
      </ddeItem>
      <ddeItem name="OPFB1.136" advise="1">
        <values>
          <value t="str">
            <val xml:space="preserve"> -</val>
          </value>
        </values>
      </ddeItem>
      <ddeItem name="OPFB1.201" advise="1">
        <values>
          <value t="str">
            <val xml:space="preserve"> -</val>
          </value>
        </values>
      </ddeItem>
      <ddeItem name="OPFB1.202" advise="1">
        <values>
          <value t="str">
            <val xml:space="preserve"> -</val>
          </value>
        </values>
      </ddeItem>
      <ddeItem name="OPFB1.203" advise="1">
        <values>
          <value t="str">
            <val xml:space="preserve"> -</val>
          </value>
        </values>
      </ddeItem>
      <ddeItem name="OPFB1.204" advise="1">
        <values>
          <value t="str">
            <val xml:space="preserve"> -</val>
          </value>
        </values>
      </ddeItem>
      <ddeItem name="OPFB1.205" advise="1">
        <values>
          <value t="str">
            <val xml:space="preserve"> -</val>
          </value>
        </values>
      </ddeItem>
      <ddeItem name="OPFB1.211" advise="1">
        <values>
          <value t="str">
            <val xml:space="preserve"> -</val>
          </value>
        </values>
      </ddeItem>
      <ddeItem name="OPFB1.212" advise="1">
        <values>
          <value t="str">
            <val xml:space="preserve"> -</val>
          </value>
        </values>
      </ddeItem>
      <ddeItem name="OPFB1.213" advise="1">
        <values>
          <value t="str">
            <val xml:space="preserve"> -</val>
          </value>
        </values>
      </ddeItem>
      <ddeItem name="OPFB1.214" advise="1">
        <values>
          <value t="str">
            <val xml:space="preserve"> -</val>
          </value>
        </values>
      </ddeItem>
      <ddeItem name="OPFB1.215" advise="1">
        <values>
          <value t="str">
            <val xml:space="preserve"> -</val>
          </value>
        </values>
      </ddeItem>
      <ddeItem name="OPFB1.221" advise="1">
        <values>
          <value t="str">
            <val>-</val>
          </value>
        </values>
      </ddeItem>
      <ddeItem name="OPFB1.222" advise="1">
        <values>
          <value t="str">
            <val>-</val>
          </value>
        </values>
      </ddeItem>
      <ddeItem name="OPFB1.223" advise="1">
        <values>
          <value t="str">
            <val>-</val>
          </value>
        </values>
      </ddeItem>
      <ddeItem name="OPFB1.224" advise="1">
        <values>
          <value t="str">
            <val>-</val>
          </value>
        </values>
      </ddeItem>
      <ddeItem name="OPFB1.225" advise="1">
        <values>
          <value t="str">
            <val>-</val>
          </value>
        </values>
      </ddeItem>
      <ddeItem name="OPFB1.231" advise="1">
        <values>
          <value t="str">
            <val>-</val>
          </value>
        </values>
      </ddeItem>
      <ddeItem name="OPFB1.232" advise="1">
        <values>
          <value t="str">
            <val>-</val>
          </value>
        </values>
      </ddeItem>
      <ddeItem name="OPFB1.233" advise="1">
        <values>
          <value t="str">
            <val>-</val>
          </value>
        </values>
      </ddeItem>
      <ddeItem name="OPFB1.234" advise="1">
        <values>
          <value t="str">
            <val>-</val>
          </value>
        </values>
      </ddeItem>
      <ddeItem name="OPFB1.235" advise="1">
        <values>
          <value t="str">
            <val>-</val>
          </value>
        </values>
      </ddeItem>
      <ddeItem name="OPFB1.402" advise="1">
        <values>
          <value t="str">
            <val>加權指數</val>
          </value>
        </values>
      </ddeItem>
      <ddeItem name="OPFB1.406" advise="1">
        <values>
          <value t="str">
            <val xml:space="preserve"> -</val>
          </value>
        </values>
      </ddeItem>
      <ddeItem name="OPFB1.407" advise="1">
        <values>
          <value t="str">
            <val xml:space="preserve"> -</val>
          </value>
        </values>
      </ddeItem>
      <ddeItem name="OPFB1.431" advise="1">
        <values>
          <value t="str">
            <val>-</val>
          </value>
        </values>
      </ddeItem>
      <ddeItem name="OPFB1.437" advise="1">
        <values>
          <value t="str">
            <val xml:space="preserve"> -</val>
          </value>
        </values>
      </ddeItem>
      <ddeItem name="OQFB1.123" advise="1">
        <values>
          <value>
            <val>0</val>
          </value>
        </values>
      </ddeItem>
      <ddeItem name="OQFB1.124" advise="1">
        <values>
          <value>
            <val>20878632</val>
          </value>
        </values>
      </ddeItem>
      <ddeItem name="OQFB1.125" advise="1">
        <values>
          <value t="str">
            <val xml:space="preserve"> </val>
          </value>
        </values>
      </ddeItem>
      <ddeItem name="OQFB1.128" advise="1">
        <values>
          <value>
            <val>1212870150</val>
          </value>
        </values>
      </ddeItem>
      <ddeItem name="OQFB1.130" advise="1">
        <values>
          <value>
            <val>20803788</val>
          </value>
        </values>
      </ddeItem>
      <ddeItem name="OQFB1.131" advise="1">
        <values>
          <value>
            <val>20804690</val>
          </value>
        </values>
      </ddeItem>
      <ddeItem name="OQFB1.132" advise="1">
        <values>
          <value>
            <val>10989732</val>
          </value>
        </values>
      </ddeItem>
      <ddeItem name="OQFB1.133" advise="1">
        <values>
          <value>
            <val>2088371110</val>
          </value>
        </values>
      </ddeItem>
      <ddeItem name="OQFB1.135" advise="1">
        <values>
          <value t="str">
            <val xml:space="preserve"> -</val>
          </value>
        </values>
      </ddeItem>
      <ddeItem name="OQFB1.136" advise="1">
        <values>
          <value t="str">
            <val xml:space="preserve"> -</val>
          </value>
        </values>
      </ddeItem>
      <ddeItem name="OQFB1.201" advise="1">
        <values>
          <value t="str">
            <val xml:space="preserve"> -</val>
          </value>
        </values>
      </ddeItem>
      <ddeItem name="OQFB1.202" advise="1">
        <values>
          <value t="str">
            <val xml:space="preserve"> -</val>
          </value>
        </values>
      </ddeItem>
      <ddeItem name="OQFB1.203" advise="1">
        <values>
          <value t="str">
            <val xml:space="preserve"> -</val>
          </value>
        </values>
      </ddeItem>
      <ddeItem name="OQFB1.204" advise="1">
        <values>
          <value t="str">
            <val xml:space="preserve"> -</val>
          </value>
        </values>
      </ddeItem>
      <ddeItem name="OQFB1.205" advise="1">
        <values>
          <value t="str">
            <val xml:space="preserve"> -</val>
          </value>
        </values>
      </ddeItem>
      <ddeItem name="OQFB1.211" advise="1">
        <values>
          <value t="str">
            <val xml:space="preserve"> -</val>
          </value>
        </values>
      </ddeItem>
      <ddeItem name="OQFB1.212" advise="1">
        <values>
          <value t="str">
            <val xml:space="preserve"> -</val>
          </value>
        </values>
      </ddeItem>
      <ddeItem name="OQFB1.213" advise="1">
        <values>
          <value t="str">
            <val xml:space="preserve"> -</val>
          </value>
        </values>
      </ddeItem>
      <ddeItem name="OQFB1.214" advise="1">
        <values>
          <value t="str">
            <val xml:space="preserve"> -</val>
          </value>
        </values>
      </ddeItem>
      <ddeItem name="OQFB1.215" advise="1">
        <values>
          <value t="str">
            <val xml:space="preserve"> -</val>
          </value>
        </values>
      </ddeItem>
      <ddeItem name="OQFB1.221" advise="1">
        <values>
          <value t="str">
            <val>-</val>
          </value>
        </values>
      </ddeItem>
      <ddeItem name="OQFB1.222" advise="1">
        <values>
          <value t="str">
            <val>-</val>
          </value>
        </values>
      </ddeItem>
      <ddeItem name="OQFB1.223" advise="1">
        <values>
          <value t="str">
            <val>-</val>
          </value>
        </values>
      </ddeItem>
      <ddeItem name="OQFB1.224" advise="1">
        <values>
          <value t="str">
            <val>-</val>
          </value>
        </values>
      </ddeItem>
      <ddeItem name="OQFB1.225" advise="1">
        <values>
          <value t="str">
            <val>-</val>
          </value>
        </values>
      </ddeItem>
      <ddeItem name="OQFB1.231" advise="1">
        <values>
          <value t="str">
            <val>-</val>
          </value>
        </values>
      </ddeItem>
      <ddeItem name="OQFB1.232" advise="1">
        <values>
          <value t="str">
            <val>-</val>
          </value>
        </values>
      </ddeItem>
      <ddeItem name="OQFB1.233" advise="1">
        <values>
          <value t="str">
            <val>-</val>
          </value>
        </values>
      </ddeItem>
      <ddeItem name="OQFB1.234" advise="1">
        <values>
          <value t="str">
            <val>-</val>
          </value>
        </values>
      </ddeItem>
      <ddeItem name="OQFB1.235" advise="1">
        <values>
          <value t="str">
            <val>-</val>
          </value>
        </values>
      </ddeItem>
      <ddeItem name="OQFB1.402" advise="1"/>
      <ddeItem name="OQFB1.406" advise="1">
        <values>
          <value t="str">
            <val xml:space="preserve"> -</val>
          </value>
        </values>
      </ddeItem>
      <ddeItem name="OQFB1.407" advise="1">
        <values>
          <value t="str">
            <val xml:space="preserve"> -</val>
          </value>
        </values>
      </ddeItem>
      <ddeItem name="OQFB1.431" advise="1">
        <values>
          <value t="str">
            <val>-</val>
          </value>
        </values>
      </ddeItem>
      <ddeItem name="OQFB1.437" advise="1">
        <values>
          <value t="str">
            <val xml:space="preserve"> -</val>
          </value>
        </values>
      </ddeItem>
      <ddeItem name="OR1C1.123" advise="1">
        <values>
          <value>
            <val>131734</val>
          </value>
        </values>
      </ddeItem>
      <ddeItem name="OR1C1.124" advise="1">
        <values>
          <value>
            <val>118</val>
          </value>
        </values>
      </ddeItem>
      <ddeItem name="OR1C1.125" advise="1">
        <values>
          <value>
            <val>0</val>
          </value>
        </values>
      </ddeItem>
      <ddeItem name="OR1C1.128" advise="1">
        <values>
          <value>
            <val>1</val>
          </value>
        </values>
      </ddeItem>
      <ddeItem name="OR1C1.130" advise="1">
        <values>
          <value>
            <val>118</val>
          </value>
        </values>
      </ddeItem>
      <ddeItem name="OR1C1.131" advise="1">
        <values>
          <value>
            <val>118</val>
          </value>
        </values>
      </ddeItem>
      <ddeItem name="OR1C1.132" advise="1">
        <values>
          <value>
            <val>118</val>
          </value>
        </values>
      </ddeItem>
      <ddeItem name="OR1C1.133" advise="1">
        <values>
          <value>
            <val>1</val>
          </value>
        </values>
      </ddeItem>
      <ddeItem name="OR1C1.135" advise="1">
        <values>
          <value>
            <val>114</val>
          </value>
        </values>
      </ddeItem>
      <ddeItem name="OR1C1.136" advise="1">
        <values>
          <value>
            <val>120</val>
          </value>
        </values>
      </ddeItem>
      <ddeItem name="OR1C1.201" advise="1">
        <values>
          <value>
            <val>114</val>
          </value>
        </values>
      </ddeItem>
      <ddeItem name="OR1C1.202" advise="1">
        <values>
          <value t="str">
            <val xml:space="preserve"> </val>
          </value>
        </values>
      </ddeItem>
      <ddeItem name="OR1C1.203" advise="1">
        <values>
          <value t="str">
            <val xml:space="preserve"> </val>
          </value>
        </values>
      </ddeItem>
      <ddeItem name="OR1C1.204" advise="1">
        <values>
          <value t="str">
            <val xml:space="preserve"> </val>
          </value>
        </values>
      </ddeItem>
      <ddeItem name="OR1C1.205" advise="1">
        <values>
          <value t="str">
            <val xml:space="preserve"> </val>
          </value>
        </values>
      </ddeItem>
      <ddeItem name="OR1C1.211" advise="1">
        <values>
          <value>
            <val>120</val>
          </value>
        </values>
      </ddeItem>
      <ddeItem name="OR1C1.212" advise="1">
        <values>
          <value t="str">
            <val xml:space="preserve"> </val>
          </value>
        </values>
      </ddeItem>
      <ddeItem name="OR1C1.213" advise="1">
        <values>
          <value t="str">
            <val xml:space="preserve"> </val>
          </value>
        </values>
      </ddeItem>
      <ddeItem name="OR1C1.214" advise="1">
        <values>
          <value t="str">
            <val xml:space="preserve"> </val>
          </value>
        </values>
      </ddeItem>
      <ddeItem name="OR1C1.215" advise="1">
        <values>
          <value t="str">
            <val xml:space="preserve"> </val>
          </value>
        </values>
      </ddeItem>
      <ddeItem name="OR1C1.221" advise="1">
        <values>
          <value>
            <val>1</val>
          </value>
        </values>
      </ddeItem>
      <ddeItem name="OR1C1.222" advise="1">
        <values>
          <value>
            <val>0</val>
          </value>
        </values>
      </ddeItem>
      <ddeItem name="OR1C1.223" advise="1">
        <values>
          <value>
            <val>0</val>
          </value>
        </values>
      </ddeItem>
      <ddeItem name="OR1C1.224" advise="1">
        <values>
          <value>
            <val>0</val>
          </value>
        </values>
      </ddeItem>
      <ddeItem name="OR1C1.225" advise="1">
        <values>
          <value>
            <val>0</val>
          </value>
        </values>
      </ddeItem>
      <ddeItem name="OR1C1.231" advise="1">
        <values>
          <value>
            <val>1</val>
          </value>
        </values>
      </ddeItem>
      <ddeItem name="OR1C1.232" advise="1">
        <values>
          <value>
            <val>0</val>
          </value>
        </values>
      </ddeItem>
      <ddeItem name="OR1C1.233" advise="1">
        <values>
          <value>
            <val>0</val>
          </value>
        </values>
      </ddeItem>
      <ddeItem name="OR1C1.234" advise="1">
        <values>
          <value>
            <val>0</val>
          </value>
        </values>
      </ddeItem>
      <ddeItem name="OR1C1.235" advise="1">
        <values>
          <value>
            <val>0</val>
          </value>
        </values>
      </ddeItem>
      <ddeItem name="OR1C1.402" advise="1">
        <values>
          <value t="str">
            <val>和大1-03</val>
          </value>
        </values>
      </ddeItem>
      <ddeItem name="OR1C1.406" advise="1">
        <values>
          <value>
            <val>129.5</val>
          </value>
        </values>
      </ddeItem>
      <ddeItem name="OR1C1.407" advise="1">
        <values>
          <value>
            <val>106.5</val>
          </value>
        </values>
      </ddeItem>
      <ddeItem name="OR1C1.431" advise="1">
        <values>
          <value>
            <val>20210224</val>
          </value>
        </values>
      </ddeItem>
      <ddeItem name="OR1C1.437" advise="1">
        <values>
          <value>
            <val>115.62</val>
          </value>
        </values>
      </ddeItem>
      <ddeItem name="ORFB1.123" advise="1">
        <values>
          <value>
            <val>100150</val>
          </value>
        </values>
      </ddeItem>
      <ddeItem name="ORFB1.124" advise="1">
        <values>
          <value>
            <val>16421.62</val>
          </value>
        </values>
      </ddeItem>
      <ddeItem name="ORFB1.125" advise="1">
        <values>
          <value>
            <val>-21.78</val>
          </value>
        </values>
      </ddeItem>
      <ddeItem name="ORFB1.128" advise="1">
        <values>
          <value>
            <val>2439</val>
          </value>
        </values>
      </ddeItem>
      <ddeItem name="ORFB1.130" advise="1">
        <values>
          <value>
            <val>16329.54</val>
          </value>
        </values>
      </ddeItem>
      <ddeItem name="ORFB1.131" advise="1">
        <values>
          <value>
            <val>16456.939999999999</val>
          </value>
        </values>
      </ddeItem>
      <ddeItem name="ORFB1.132" advise="1">
        <values>
          <value>
            <val>16329.54</val>
          </value>
        </values>
      </ddeItem>
      <ddeItem name="ORFB1.133" advise="1">
        <values>
          <value>
            <val>4027056</val>
          </value>
        </values>
      </ddeItem>
      <ddeItem name="ORFB1.135" advise="1">
        <values>
          <value t="str">
            <val xml:space="preserve"> -</val>
          </value>
        </values>
      </ddeItem>
      <ddeItem name="ORFB1.136" advise="1">
        <values>
          <value t="str">
            <val xml:space="preserve"> -</val>
          </value>
        </values>
      </ddeItem>
      <ddeItem name="ORFB1.201" advise="1">
        <values>
          <value t="str">
            <val xml:space="preserve"> -</val>
          </value>
        </values>
      </ddeItem>
      <ddeItem name="ORFB1.202" advise="1">
        <values>
          <value t="str">
            <val xml:space="preserve"> -</val>
          </value>
        </values>
      </ddeItem>
      <ddeItem name="ORFB1.203" advise="1">
        <values>
          <value t="str">
            <val xml:space="preserve"> -</val>
          </value>
        </values>
      </ddeItem>
      <ddeItem name="ORFB1.204" advise="1">
        <values>
          <value t="str">
            <val xml:space="preserve"> -</val>
          </value>
        </values>
      </ddeItem>
      <ddeItem name="ORFB1.205" advise="1">
        <values>
          <value t="str">
            <val xml:space="preserve"> -</val>
          </value>
        </values>
      </ddeItem>
      <ddeItem name="ORFB1.211" advise="1">
        <values>
          <value t="str">
            <val xml:space="preserve"> -</val>
          </value>
        </values>
      </ddeItem>
      <ddeItem name="ORFB1.212" advise="1">
        <values>
          <value t="str">
            <val xml:space="preserve"> -</val>
          </value>
        </values>
      </ddeItem>
      <ddeItem name="ORFB1.213" advise="1">
        <values>
          <value t="str">
            <val xml:space="preserve"> -</val>
          </value>
        </values>
      </ddeItem>
      <ddeItem name="ORFB1.214" advise="1">
        <values>
          <value t="str">
            <val xml:space="preserve"> -</val>
          </value>
        </values>
      </ddeItem>
      <ddeItem name="ORFB1.215" advise="1">
        <values>
          <value t="str">
            <val xml:space="preserve"> -</val>
          </value>
        </values>
      </ddeItem>
      <ddeItem name="ORFB1.221" advise="1">
        <values>
          <value t="str">
            <val>-</val>
          </value>
        </values>
      </ddeItem>
      <ddeItem name="ORFB1.222" advise="1">
        <values>
          <value t="str">
            <val>-</val>
          </value>
        </values>
      </ddeItem>
      <ddeItem name="ORFB1.223" advise="1">
        <values>
          <value t="str">
            <val>-</val>
          </value>
        </values>
      </ddeItem>
      <ddeItem name="ORFB1.224" advise="1">
        <values>
          <value t="str">
            <val>-</val>
          </value>
        </values>
      </ddeItem>
      <ddeItem name="ORFB1.225" advise="1">
        <values>
          <value t="str">
            <val>-</val>
          </value>
        </values>
      </ddeItem>
      <ddeItem name="ORFB1.231" advise="1">
        <values>
          <value t="str">
            <val>-</val>
          </value>
        </values>
      </ddeItem>
      <ddeItem name="ORFB1.232" advise="1">
        <values>
          <value t="str">
            <val>-</val>
          </value>
        </values>
      </ddeItem>
      <ddeItem name="ORFB1.233" advise="1">
        <values>
          <value t="str">
            <val>-</val>
          </value>
        </values>
      </ddeItem>
      <ddeItem name="ORFB1.234" advise="1">
        <values>
          <value t="str">
            <val>-</val>
          </value>
        </values>
      </ddeItem>
      <ddeItem name="ORFB1.235" advise="1">
        <values>
          <value t="str">
            <val>-</val>
          </value>
        </values>
      </ddeItem>
      <ddeItem name="ORFB1.402" advise="1">
        <values>
          <value t="str">
            <val>加權指數</val>
          </value>
        </values>
      </ddeItem>
      <ddeItem name="ORFB1.406" advise="1">
        <values>
          <value t="str">
            <val xml:space="preserve"> -</val>
          </value>
        </values>
      </ddeItem>
      <ddeItem name="ORFB1.407" advise="1">
        <values>
          <value t="str">
            <val xml:space="preserve"> -</val>
          </value>
        </values>
      </ddeItem>
      <ddeItem name="ORFB1.431" advise="1">
        <values>
          <value t="str">
            <val>-</val>
          </value>
        </values>
      </ddeItem>
      <ddeItem name="ORFB1.437" advise="1">
        <values>
          <value t="str">
            <val xml:space="preserve"> -</val>
          </value>
        </values>
      </ddeItem>
      <ddeItem name="OSFB1.123" advise="1">
        <values>
          <value>
            <val>100150</val>
          </value>
        </values>
      </ddeItem>
      <ddeItem name="OSFB1.124" advise="1">
        <values>
          <value>
            <val>16421.62</val>
          </value>
        </values>
      </ddeItem>
      <ddeItem name="OSFB1.125" advise="1">
        <values>
          <value>
            <val>-21.78</val>
          </value>
        </values>
      </ddeItem>
      <ddeItem name="OSFB1.128" advise="1">
        <values>
          <value>
            <val>2439</val>
          </value>
        </values>
      </ddeItem>
      <ddeItem name="OSFB1.130" advise="1">
        <values>
          <value>
            <val>16329.54</val>
          </value>
        </values>
      </ddeItem>
      <ddeItem name="OSFB1.131" advise="1">
        <values>
          <value>
            <val>16456.939999999999</val>
          </value>
        </values>
      </ddeItem>
      <ddeItem name="OSFB1.132" advise="1">
        <values>
          <value>
            <val>16329.54</val>
          </value>
        </values>
      </ddeItem>
      <ddeItem name="OSFB1.133" advise="1">
        <values>
          <value>
            <val>4027056</val>
          </value>
        </values>
      </ddeItem>
      <ddeItem name="OSFB1.135" advise="1">
        <values>
          <value t="str">
            <val xml:space="preserve"> -</val>
          </value>
        </values>
      </ddeItem>
      <ddeItem name="OSFB1.136" advise="1">
        <values>
          <value t="str">
            <val xml:space="preserve"> -</val>
          </value>
        </values>
      </ddeItem>
      <ddeItem name="OSFB1.201" advise="1">
        <values>
          <value t="str">
            <val xml:space="preserve"> -</val>
          </value>
        </values>
      </ddeItem>
      <ddeItem name="OSFB1.202" advise="1">
        <values>
          <value t="str">
            <val xml:space="preserve"> -</val>
          </value>
        </values>
      </ddeItem>
      <ddeItem name="OSFB1.203" advise="1">
        <values>
          <value t="str">
            <val xml:space="preserve"> -</val>
          </value>
        </values>
      </ddeItem>
      <ddeItem name="OSFB1.204" advise="1">
        <values>
          <value t="str">
            <val xml:space="preserve"> -</val>
          </value>
        </values>
      </ddeItem>
      <ddeItem name="OSFB1.205" advise="1">
        <values>
          <value t="str">
            <val xml:space="preserve"> -</val>
          </value>
        </values>
      </ddeItem>
      <ddeItem name="OSFB1.211" advise="1">
        <values>
          <value t="str">
            <val xml:space="preserve"> -</val>
          </value>
        </values>
      </ddeItem>
      <ddeItem name="OSFB1.212" advise="1">
        <values>
          <value t="str">
            <val xml:space="preserve"> -</val>
          </value>
        </values>
      </ddeItem>
      <ddeItem name="OSFB1.213" advise="1">
        <values>
          <value t="str">
            <val xml:space="preserve"> -</val>
          </value>
        </values>
      </ddeItem>
      <ddeItem name="OSFB1.214" advise="1">
        <values>
          <value t="str">
            <val xml:space="preserve"> -</val>
          </value>
        </values>
      </ddeItem>
      <ddeItem name="OSFB1.215" advise="1">
        <values>
          <value t="str">
            <val xml:space="preserve"> -</val>
          </value>
        </values>
      </ddeItem>
      <ddeItem name="OSFB1.221" advise="1">
        <values>
          <value t="str">
            <val>-</val>
          </value>
        </values>
      </ddeItem>
      <ddeItem name="OSFB1.222" advise="1">
        <values>
          <value t="str">
            <val>-</val>
          </value>
        </values>
      </ddeItem>
      <ddeItem name="OSFB1.223" advise="1">
        <values>
          <value t="str">
            <val>-</val>
          </value>
        </values>
      </ddeItem>
      <ddeItem name="OSFB1.224" advise="1">
        <values>
          <value t="str">
            <val>-</val>
          </value>
        </values>
      </ddeItem>
      <ddeItem name="OSFB1.225" advise="1">
        <values>
          <value t="str">
            <val>-</val>
          </value>
        </values>
      </ddeItem>
      <ddeItem name="OSFB1.231" advise="1">
        <values>
          <value t="str">
            <val>-</val>
          </value>
        </values>
      </ddeItem>
      <ddeItem name="OSFB1.232" advise="1">
        <values>
          <value t="str">
            <val>-</val>
          </value>
        </values>
      </ddeItem>
      <ddeItem name="OSFB1.233" advise="1">
        <values>
          <value t="str">
            <val>-</val>
          </value>
        </values>
      </ddeItem>
      <ddeItem name="OSFB1.234" advise="1">
        <values>
          <value t="str">
            <val>-</val>
          </value>
        </values>
      </ddeItem>
      <ddeItem name="OSFB1.235" advise="1">
        <values>
          <value t="str">
            <val>-</val>
          </value>
        </values>
      </ddeItem>
      <ddeItem name="OSFB1.402" advise="1">
        <values>
          <value t="str">
            <val>加權指數</val>
          </value>
        </values>
      </ddeItem>
      <ddeItem name="OSFB1.406" advise="1">
        <values>
          <value t="str">
            <val xml:space="preserve"> -</val>
          </value>
        </values>
      </ddeItem>
      <ddeItem name="OSFB1.407" advise="1">
        <values>
          <value t="str">
            <val xml:space="preserve"> -</val>
          </value>
        </values>
      </ddeItem>
      <ddeItem name="OSFB1.431" advise="1">
        <values>
          <value t="str">
            <val>-</val>
          </value>
        </values>
      </ddeItem>
      <ddeItem name="OSFB1.437" advise="1">
        <values>
          <value t="str">
            <val xml:space="preserve"> -</val>
          </value>
        </values>
      </ddeItem>
      <ddeItem name="OTFB1.123" advise="1">
        <values>
          <value>
            <val>100145</val>
          </value>
        </values>
      </ddeItem>
      <ddeItem name="OTFB1.124" advise="1">
        <values>
          <value>
            <val>13895.21</val>
          </value>
        </values>
      </ddeItem>
      <ddeItem name="OTFB1.125" advise="1">
        <values>
          <value>
            <val>8.6300000000000008</val>
          </value>
        </values>
      </ddeItem>
      <ddeItem name="OTFB1.128" advise="1">
        <values>
          <value>
            <val>435</val>
          </value>
        </values>
      </ddeItem>
      <ddeItem name="OTFB1.130" advise="1">
        <values>
          <value>
            <val>13893.03</val>
          </value>
        </values>
      </ddeItem>
      <ddeItem name="OTFB1.131" advise="1">
        <values>
          <value>
            <val>13945.78</val>
          </value>
        </values>
      </ddeItem>
      <ddeItem name="OTFB1.132" advise="1">
        <values>
          <value>
            <val>13875.82</val>
          </value>
        </values>
      </ddeItem>
      <ddeItem name="OTFB1.133" advise="1">
        <values>
          <value>
            <val>872940</val>
          </value>
        </values>
      </ddeItem>
      <ddeItem name="OTFB1.135" advise="1">
        <values>
          <value t="str">
            <val xml:space="preserve"> -</val>
          </value>
        </values>
      </ddeItem>
      <ddeItem name="OTFB1.136" advise="1">
        <values>
          <value t="str">
            <val xml:space="preserve"> -</val>
          </value>
        </values>
      </ddeItem>
      <ddeItem name="OTFB1.201" advise="1">
        <values>
          <value t="str">
            <val xml:space="preserve"> -</val>
          </value>
        </values>
      </ddeItem>
      <ddeItem name="OTFB1.202" advise="1">
        <values>
          <value t="str">
            <val xml:space="preserve"> -</val>
          </value>
        </values>
      </ddeItem>
      <ddeItem name="OTFB1.203" advise="1">
        <values>
          <value t="str">
            <val xml:space="preserve"> -</val>
          </value>
        </values>
      </ddeItem>
      <ddeItem name="OTFB1.204" advise="1">
        <values>
          <value t="str">
            <val xml:space="preserve"> -</val>
          </value>
        </values>
      </ddeItem>
      <ddeItem name="OTFB1.205" advise="1">
        <values>
          <value t="str">
            <val xml:space="preserve"> -</val>
          </value>
        </values>
      </ddeItem>
      <ddeItem name="OTFB1.211" advise="1">
        <values>
          <value t="str">
            <val xml:space="preserve"> -</val>
          </value>
        </values>
      </ddeItem>
      <ddeItem name="OTFB1.212" advise="1">
        <values>
          <value t="str">
            <val xml:space="preserve"> -</val>
          </value>
        </values>
      </ddeItem>
      <ddeItem name="OTFB1.213" advise="1">
        <values>
          <value t="str">
            <val xml:space="preserve"> -</val>
          </value>
        </values>
      </ddeItem>
      <ddeItem name="OTFB1.214" advise="1">
        <values>
          <value t="str">
            <val xml:space="preserve"> -</val>
          </value>
        </values>
      </ddeItem>
      <ddeItem name="OTFB1.215" advise="1">
        <values>
          <value t="str">
            <val xml:space="preserve"> -</val>
          </value>
        </values>
      </ddeItem>
      <ddeItem name="OTFB1.221" advise="1">
        <values>
          <value t="str">
            <val>-</val>
          </value>
        </values>
      </ddeItem>
      <ddeItem name="OTFB1.222" advise="1">
        <values>
          <value t="str">
            <val>-</val>
          </value>
        </values>
      </ddeItem>
      <ddeItem name="OTFB1.223" advise="1">
        <values>
          <value t="str">
            <val>-</val>
          </value>
        </values>
      </ddeItem>
      <ddeItem name="OTFB1.224" advise="1">
        <values>
          <value t="str">
            <val>-</val>
          </value>
        </values>
      </ddeItem>
      <ddeItem name="OTFB1.225" advise="1">
        <values>
          <value t="str">
            <val>-</val>
          </value>
        </values>
      </ddeItem>
      <ddeItem name="OTFB1.231" advise="1">
        <values>
          <value t="str">
            <val>-</val>
          </value>
        </values>
      </ddeItem>
      <ddeItem name="OTFB1.232" advise="1">
        <values>
          <value t="str">
            <val>-</val>
          </value>
        </values>
      </ddeItem>
      <ddeItem name="OTFB1.233" advise="1">
        <values>
          <value t="str">
            <val>-</val>
          </value>
        </values>
      </ddeItem>
      <ddeItem name="OTFB1.234" advise="1">
        <values>
          <value t="str">
            <val>-</val>
          </value>
        </values>
      </ddeItem>
      <ddeItem name="OTFB1.235" advise="1">
        <values>
          <value t="str">
            <val>-</val>
          </value>
        </values>
      </ddeItem>
      <ddeItem name="OTFB1.402" advise="1">
        <values>
          <value t="str">
            <val>不含金電</val>
          </value>
        </values>
      </ddeItem>
      <ddeItem name="OTFB1.406" advise="1">
        <values>
          <value t="str">
            <val xml:space="preserve"> -</val>
          </value>
        </values>
      </ddeItem>
      <ddeItem name="OTFB1.407" advise="1">
        <values>
          <value t="str">
            <val xml:space="preserve"> -</val>
          </value>
        </values>
      </ddeItem>
      <ddeItem name="OTFB1.431" advise="1">
        <values>
          <value t="str">
            <val>-</val>
          </value>
        </values>
      </ddeItem>
      <ddeItem name="OTFB1.437" advise="1">
        <values>
          <value t="str">
            <val xml:space="preserve"> -</val>
          </value>
        </values>
      </ddeItem>
      <ddeItem name="OUFB1.123" advise="1">
        <values>
          <value>
            <val>100145</val>
          </value>
        </values>
      </ddeItem>
      <ddeItem name="OUFB1.124" advise="1">
        <values>
          <value>
            <val>16422.560000000001</val>
          </value>
        </values>
      </ddeItem>
      <ddeItem name="OUFB1.125" advise="1">
        <values>
          <value>
            <val>-20.84</val>
          </value>
        </values>
      </ddeItem>
      <ddeItem name="OUFB1.128" advise="1">
        <values>
          <value>
            <val>1824</val>
          </value>
        </values>
      </ddeItem>
      <ddeItem name="OUFB1.130" advise="1">
        <values>
          <value>
            <val>16329.54</val>
          </value>
        </values>
      </ddeItem>
      <ddeItem name="OUFB1.131" advise="1">
        <values>
          <value>
            <val>16456.939999999999</val>
          </value>
        </values>
      </ddeItem>
      <ddeItem name="OUFB1.132" advise="1">
        <values>
          <value>
            <val>16329.54</val>
          </value>
        </values>
      </ddeItem>
      <ddeItem name="OUFB1.133" advise="1">
        <values>
          <value>
            <val>4024617</val>
          </value>
        </values>
      </ddeItem>
      <ddeItem name="OUFB1.135" advise="1">
        <values>
          <value t="str">
            <val xml:space="preserve"> -</val>
          </value>
        </values>
      </ddeItem>
      <ddeItem name="OUFB1.136" advise="1">
        <values>
          <value t="str">
            <val xml:space="preserve"> -</val>
          </value>
        </values>
      </ddeItem>
      <ddeItem name="OUFB1.201" advise="1">
        <values>
          <value t="str">
            <val xml:space="preserve"> -</val>
          </value>
        </values>
      </ddeItem>
      <ddeItem name="OUFB1.202" advise="1">
        <values>
          <value t="str">
            <val xml:space="preserve"> -</val>
          </value>
        </values>
      </ddeItem>
      <ddeItem name="OUFB1.203" advise="1">
        <values>
          <value t="str">
            <val xml:space="preserve"> -</val>
          </value>
        </values>
      </ddeItem>
      <ddeItem name="OUFB1.204" advise="1">
        <values>
          <value t="str">
            <val xml:space="preserve"> -</val>
          </value>
        </values>
      </ddeItem>
      <ddeItem name="OUFB1.205" advise="1">
        <values>
          <value t="str">
            <val xml:space="preserve"> -</val>
          </value>
        </values>
      </ddeItem>
      <ddeItem name="OUFB1.211" advise="1">
        <values>
          <value t="str">
            <val xml:space="preserve"> -</val>
          </value>
        </values>
      </ddeItem>
      <ddeItem name="OUFB1.212" advise="1">
        <values>
          <value t="str">
            <val xml:space="preserve"> -</val>
          </value>
        </values>
      </ddeItem>
      <ddeItem name="OUFB1.213" advise="1">
        <values>
          <value t="str">
            <val xml:space="preserve"> -</val>
          </value>
        </values>
      </ddeItem>
      <ddeItem name="OUFB1.214" advise="1">
        <values>
          <value t="str">
            <val xml:space="preserve"> -</val>
          </value>
        </values>
      </ddeItem>
      <ddeItem name="OUFB1.215" advise="1">
        <values>
          <value t="str">
            <val xml:space="preserve"> -</val>
          </value>
        </values>
      </ddeItem>
      <ddeItem name="OUFB1.221" advise="1">
        <values>
          <value t="str">
            <val>-</val>
          </value>
        </values>
      </ddeItem>
      <ddeItem name="OUFB1.222" advise="1">
        <values>
          <value t="str">
            <val>-</val>
          </value>
        </values>
      </ddeItem>
      <ddeItem name="OUFB1.223" advise="1">
        <values>
          <value t="str">
            <val>-</val>
          </value>
        </values>
      </ddeItem>
      <ddeItem name="OUFB1.224" advise="1">
        <values>
          <value t="str">
            <val>-</val>
          </value>
        </values>
      </ddeItem>
      <ddeItem name="OUFB1.225" advise="1">
        <values>
          <value t="str">
            <val>-</val>
          </value>
        </values>
      </ddeItem>
      <ddeItem name="OUFB1.231" advise="1">
        <values>
          <value t="str">
            <val>-</val>
          </value>
        </values>
      </ddeItem>
      <ddeItem name="OUFB1.232" advise="1">
        <values>
          <value t="str">
            <val>-</val>
          </value>
        </values>
      </ddeItem>
      <ddeItem name="OUFB1.233" advise="1">
        <values>
          <value t="str">
            <val>-</val>
          </value>
        </values>
      </ddeItem>
      <ddeItem name="OUFB1.234" advise="1">
        <values>
          <value t="str">
            <val>-</val>
          </value>
        </values>
      </ddeItem>
      <ddeItem name="OUFB1.235" advise="1">
        <values>
          <value t="str">
            <val>-</val>
          </value>
        </values>
      </ddeItem>
      <ddeItem name="OUFB1.402" advise="1">
        <values>
          <value t="str">
            <val>加權指數</val>
          </value>
        </values>
      </ddeItem>
      <ddeItem name="OUFB1.406" advise="1">
        <values>
          <value t="str">
            <val xml:space="preserve"> -</val>
          </value>
        </values>
      </ddeItem>
      <ddeItem name="OUFB1.407" advise="1">
        <values>
          <value t="str">
            <val xml:space="preserve"> -</val>
          </value>
        </values>
      </ddeItem>
      <ddeItem name="OUFB1.431" advise="1">
        <values>
          <value t="str">
            <val>-</val>
          </value>
        </values>
      </ddeItem>
      <ddeItem name="OUFB1.437" advise="1">
        <values>
          <value t="str">
            <val xml:space="preserve"> -</val>
          </value>
        </values>
      </ddeItem>
      <ddeItem name="OVFB1.123" advise="1">
        <values>
          <value>
            <val>100145</val>
          </value>
        </values>
      </ddeItem>
      <ddeItem name="OVFB1.124" advise="1">
        <values>
          <value>
            <val>16422.560000000001</val>
          </value>
        </values>
      </ddeItem>
      <ddeItem name="OVFB1.125" advise="1">
        <values>
          <value>
            <val>-20.84</val>
          </value>
        </values>
      </ddeItem>
      <ddeItem name="OVFB1.128" advise="1">
        <values>
          <value>
            <val>1824</val>
          </value>
        </values>
      </ddeItem>
      <ddeItem name="OVFB1.130" advise="1">
        <values>
          <value>
            <val>16329.54</val>
          </value>
        </values>
      </ddeItem>
      <ddeItem name="OVFB1.131" advise="1">
        <values>
          <value>
            <val>16456.939999999999</val>
          </value>
        </values>
      </ddeItem>
      <ddeItem name="OVFB1.132" advise="1">
        <values>
          <value>
            <val>16329.54</val>
          </value>
        </values>
      </ddeItem>
      <ddeItem name="OVFB1.133" advise="1">
        <values>
          <value>
            <val>4024617</val>
          </value>
        </values>
      </ddeItem>
      <ddeItem name="OVFB1.135" advise="1">
        <values>
          <value t="str">
            <val xml:space="preserve"> -</val>
          </value>
        </values>
      </ddeItem>
      <ddeItem name="OVFB1.136" advise="1">
        <values>
          <value t="str">
            <val xml:space="preserve"> -</val>
          </value>
        </values>
      </ddeItem>
      <ddeItem name="OVFB1.201" advise="1">
        <values>
          <value t="str">
            <val xml:space="preserve"> -</val>
          </value>
        </values>
      </ddeItem>
      <ddeItem name="OVFB1.202" advise="1">
        <values>
          <value t="str">
            <val xml:space="preserve"> -</val>
          </value>
        </values>
      </ddeItem>
      <ddeItem name="OVFB1.203" advise="1">
        <values>
          <value t="str">
            <val xml:space="preserve"> -</val>
          </value>
        </values>
      </ddeItem>
      <ddeItem name="OVFB1.204" advise="1">
        <values>
          <value t="str">
            <val xml:space="preserve"> -</val>
          </value>
        </values>
      </ddeItem>
      <ddeItem name="OVFB1.205" advise="1">
        <values>
          <value t="str">
            <val xml:space="preserve"> -</val>
          </value>
        </values>
      </ddeItem>
      <ddeItem name="OVFB1.211" advise="1">
        <values>
          <value t="str">
            <val xml:space="preserve"> -</val>
          </value>
        </values>
      </ddeItem>
      <ddeItem name="OVFB1.212" advise="1">
        <values>
          <value t="str">
            <val xml:space="preserve"> -</val>
          </value>
        </values>
      </ddeItem>
      <ddeItem name="OVFB1.213" advise="1">
        <values>
          <value t="str">
            <val xml:space="preserve"> -</val>
          </value>
        </values>
      </ddeItem>
      <ddeItem name="OVFB1.214" advise="1">
        <values>
          <value t="str">
            <val xml:space="preserve"> -</val>
          </value>
        </values>
      </ddeItem>
      <ddeItem name="OVFB1.215" advise="1">
        <values>
          <value t="str">
            <val xml:space="preserve"> -</val>
          </value>
        </values>
      </ddeItem>
      <ddeItem name="OVFB1.221" advise="1">
        <values>
          <value t="str">
            <val>-</val>
          </value>
        </values>
      </ddeItem>
      <ddeItem name="OVFB1.222" advise="1">
        <values>
          <value t="str">
            <val>-</val>
          </value>
        </values>
      </ddeItem>
      <ddeItem name="OVFB1.223" advise="1">
        <values>
          <value t="str">
            <val>-</val>
          </value>
        </values>
      </ddeItem>
      <ddeItem name="OVFB1.224" advise="1">
        <values>
          <value t="str">
            <val>-</val>
          </value>
        </values>
      </ddeItem>
      <ddeItem name="OVFB1.225" advise="1">
        <values>
          <value t="str">
            <val>-</val>
          </value>
        </values>
      </ddeItem>
      <ddeItem name="OVFB1.231" advise="1">
        <values>
          <value t="str">
            <val>-</val>
          </value>
        </values>
      </ddeItem>
      <ddeItem name="OVFB1.232" advise="1">
        <values>
          <value t="str">
            <val>-</val>
          </value>
        </values>
      </ddeItem>
      <ddeItem name="OVFB1.233" advise="1">
        <values>
          <value t="str">
            <val>-</val>
          </value>
        </values>
      </ddeItem>
      <ddeItem name="OVFB1.234" advise="1">
        <values>
          <value t="str">
            <val>-</val>
          </value>
        </values>
      </ddeItem>
      <ddeItem name="OVFB1.235" advise="1">
        <values>
          <value t="str">
            <val>-</val>
          </value>
        </values>
      </ddeItem>
      <ddeItem name="OVFB1.402" advise="1">
        <values>
          <value t="str">
            <val>加權指數</val>
          </value>
        </values>
      </ddeItem>
      <ddeItem name="OVFB1.406" advise="1">
        <values>
          <value t="str">
            <val xml:space="preserve"> -</val>
          </value>
        </values>
      </ddeItem>
      <ddeItem name="OVFB1.407" advise="1">
        <values>
          <value t="str">
            <val xml:space="preserve"> -</val>
          </value>
        </values>
      </ddeItem>
      <ddeItem name="OVFB1.431" advise="1">
        <values>
          <value t="str">
            <val>-</val>
          </value>
        </values>
      </ddeItem>
      <ddeItem name="OVFB1.437" advise="1">
        <values>
          <value t="str">
            <val xml:space="preserve"> -</val>
          </value>
        </values>
      </ddeItem>
      <ddeItem name="OWFB1.123" advise="1">
        <values>
          <value>
            <val>0</val>
          </value>
        </values>
      </ddeItem>
      <ddeItem name="OWFB1.124" advise="1">
        <values>
          <value>
            <val>20878632</val>
          </value>
        </values>
      </ddeItem>
      <ddeItem name="OWFB1.125" advise="1">
        <values>
          <value t="str">
            <val xml:space="preserve"> </val>
          </value>
        </values>
      </ddeItem>
      <ddeItem name="OWFB1.128" advise="1">
        <values>
          <value>
            <val>1212870150</val>
          </value>
        </values>
      </ddeItem>
      <ddeItem name="OWFB1.130" advise="1">
        <values>
          <value>
            <val>20803788</val>
          </value>
        </values>
      </ddeItem>
      <ddeItem name="OWFB1.131" advise="1">
        <values>
          <value>
            <val>20804690</val>
          </value>
        </values>
      </ddeItem>
      <ddeItem name="OWFB1.132" advise="1">
        <values>
          <value>
            <val>10989732</val>
          </value>
        </values>
      </ddeItem>
      <ddeItem name="OWFB1.133" advise="1">
        <values>
          <value>
            <val>2088371110</val>
          </value>
        </values>
      </ddeItem>
      <ddeItem name="OWFB1.135" advise="1">
        <values>
          <value t="str">
            <val xml:space="preserve"> -</val>
          </value>
        </values>
      </ddeItem>
      <ddeItem name="OWFB1.136" advise="1">
        <values>
          <value t="str">
            <val xml:space="preserve"> -</val>
          </value>
        </values>
      </ddeItem>
      <ddeItem name="OWFB1.201" advise="1">
        <values>
          <value t="str">
            <val xml:space="preserve"> -</val>
          </value>
        </values>
      </ddeItem>
      <ddeItem name="OWFB1.202" advise="1">
        <values>
          <value t="str">
            <val xml:space="preserve"> -</val>
          </value>
        </values>
      </ddeItem>
      <ddeItem name="OWFB1.203" advise="1">
        <values>
          <value t="str">
            <val xml:space="preserve"> -</val>
          </value>
        </values>
      </ddeItem>
      <ddeItem name="OWFB1.204" advise="1">
        <values>
          <value t="str">
            <val xml:space="preserve"> -</val>
          </value>
        </values>
      </ddeItem>
      <ddeItem name="OWFB1.205" advise="1">
        <values>
          <value t="str">
            <val xml:space="preserve"> -</val>
          </value>
        </values>
      </ddeItem>
      <ddeItem name="OWFB1.211" advise="1">
        <values>
          <value t="str">
            <val xml:space="preserve"> -</val>
          </value>
        </values>
      </ddeItem>
      <ddeItem name="OWFB1.212" advise="1">
        <values>
          <value t="str">
            <val xml:space="preserve"> -</val>
          </value>
        </values>
      </ddeItem>
      <ddeItem name="OWFB1.213" advise="1">
        <values>
          <value t="str">
            <val xml:space="preserve"> -</val>
          </value>
        </values>
      </ddeItem>
      <ddeItem name="OWFB1.214" advise="1">
        <values>
          <value t="str">
            <val xml:space="preserve"> -</val>
          </value>
        </values>
      </ddeItem>
      <ddeItem name="OWFB1.215" advise="1">
        <values>
          <value t="str">
            <val xml:space="preserve"> -</val>
          </value>
        </values>
      </ddeItem>
      <ddeItem name="OWFB1.221" advise="1">
        <values>
          <value t="str">
            <val>-</val>
          </value>
        </values>
      </ddeItem>
      <ddeItem name="OWFB1.222" advise="1">
        <values>
          <value t="str">
            <val>-</val>
          </value>
        </values>
      </ddeItem>
      <ddeItem name="OWFB1.223" advise="1">
        <values>
          <value t="str">
            <val>-</val>
          </value>
        </values>
      </ddeItem>
      <ddeItem name="OWFB1.224" advise="1">
        <values>
          <value t="str">
            <val>-</val>
          </value>
        </values>
      </ddeItem>
      <ddeItem name="OWFB1.225" advise="1">
        <values>
          <value t="str">
            <val>-</val>
          </value>
        </values>
      </ddeItem>
      <ddeItem name="OWFB1.231" advise="1">
        <values>
          <value t="str">
            <val>-</val>
          </value>
        </values>
      </ddeItem>
      <ddeItem name="OWFB1.232" advise="1">
        <values>
          <value t="str">
            <val>-</val>
          </value>
        </values>
      </ddeItem>
      <ddeItem name="OWFB1.233" advise="1">
        <values>
          <value t="str">
            <val>-</val>
          </value>
        </values>
      </ddeItem>
      <ddeItem name="OWFB1.234" advise="1">
        <values>
          <value t="str">
            <val>-</val>
          </value>
        </values>
      </ddeItem>
      <ddeItem name="OWFB1.235" advise="1">
        <values>
          <value t="str">
            <val>-</val>
          </value>
        </values>
      </ddeItem>
      <ddeItem name="OWFB1.402" advise="1"/>
      <ddeItem name="OWFB1.406" advise="1">
        <values>
          <value t="str">
            <val xml:space="preserve"> -</val>
          </value>
        </values>
      </ddeItem>
      <ddeItem name="OWFB1.407" advise="1">
        <values>
          <value t="str">
            <val xml:space="preserve"> -</val>
          </value>
        </values>
      </ddeItem>
      <ddeItem name="OWFB1.431" advise="1">
        <values>
          <value t="str">
            <val>-</val>
          </value>
        </values>
      </ddeItem>
      <ddeItem name="OWFB1.437" advise="1">
        <values>
          <value t="str">
            <val xml:space="preserve"> -</val>
          </value>
        </values>
      </ddeItem>
      <ddeItem name="OXFB1.123" advise="1">
        <values>
          <value>
            <val>100140</val>
          </value>
        </values>
      </ddeItem>
      <ddeItem name="OXFB1.124" advise="1">
        <values>
          <value>
            <val>13893.18</val>
          </value>
        </values>
      </ddeItem>
      <ddeItem name="OXFB1.125" advise="1">
        <values>
          <value>
            <val>6.6</val>
          </value>
        </values>
      </ddeItem>
      <ddeItem name="OXFB1.128" advise="1">
        <values>
          <value>
            <val>720</val>
          </value>
        </values>
      </ddeItem>
      <ddeItem name="OXFB1.130" advise="1">
        <values>
          <value>
            <val>13893.03</val>
          </value>
        </values>
      </ddeItem>
      <ddeItem name="OXFB1.131" advise="1">
        <values>
          <value>
            <val>13945.78</val>
          </value>
        </values>
      </ddeItem>
      <ddeItem name="OXFB1.132" advise="1">
        <values>
          <value>
            <val>13875.82</val>
          </value>
        </values>
      </ddeItem>
      <ddeItem name="OXFB1.133" advise="1">
        <values>
          <value>
            <val>872505</val>
          </value>
        </values>
      </ddeItem>
      <ddeItem name="OXFB1.135" advise="1">
        <values>
          <value t="str">
            <val xml:space="preserve"> -</val>
          </value>
        </values>
      </ddeItem>
      <ddeItem name="OXFB1.136" advise="1">
        <values>
          <value t="str">
            <val xml:space="preserve"> -</val>
          </value>
        </values>
      </ddeItem>
      <ddeItem name="OXFB1.201" advise="1">
        <values>
          <value t="str">
            <val xml:space="preserve"> -</val>
          </value>
        </values>
      </ddeItem>
      <ddeItem name="OXFB1.202" advise="1">
        <values>
          <value t="str">
            <val xml:space="preserve"> -</val>
          </value>
        </values>
      </ddeItem>
      <ddeItem name="OXFB1.203" advise="1">
        <values>
          <value t="str">
            <val xml:space="preserve"> -</val>
          </value>
        </values>
      </ddeItem>
      <ddeItem name="OXFB1.204" advise="1">
        <values>
          <value t="str">
            <val xml:space="preserve"> -</val>
          </value>
        </values>
      </ddeItem>
      <ddeItem name="OXFB1.205" advise="1">
        <values>
          <value t="str">
            <val xml:space="preserve"> -</val>
          </value>
        </values>
      </ddeItem>
      <ddeItem name="OXFB1.211" advise="1">
        <values>
          <value t="str">
            <val xml:space="preserve"> -</val>
          </value>
        </values>
      </ddeItem>
      <ddeItem name="OXFB1.212" advise="1">
        <values>
          <value t="str">
            <val xml:space="preserve"> -</val>
          </value>
        </values>
      </ddeItem>
      <ddeItem name="OXFB1.213" advise="1">
        <values>
          <value t="str">
            <val xml:space="preserve"> -</val>
          </value>
        </values>
      </ddeItem>
      <ddeItem name="OXFB1.214" advise="1">
        <values>
          <value t="str">
            <val xml:space="preserve"> -</val>
          </value>
        </values>
      </ddeItem>
      <ddeItem name="OXFB1.215" advise="1">
        <values>
          <value t="str">
            <val xml:space="preserve"> -</val>
          </value>
        </values>
      </ddeItem>
      <ddeItem name="OXFB1.221" advise="1">
        <values>
          <value t="str">
            <val>-</val>
          </value>
        </values>
      </ddeItem>
      <ddeItem name="OXFB1.222" advise="1">
        <values>
          <value t="str">
            <val>-</val>
          </value>
        </values>
      </ddeItem>
      <ddeItem name="OXFB1.223" advise="1">
        <values>
          <value t="str">
            <val>-</val>
          </value>
        </values>
      </ddeItem>
      <ddeItem name="OXFB1.224" advise="1">
        <values>
          <value t="str">
            <val>-</val>
          </value>
        </values>
      </ddeItem>
      <ddeItem name="OXFB1.225" advise="1">
        <values>
          <value t="str">
            <val>-</val>
          </value>
        </values>
      </ddeItem>
      <ddeItem name="OXFB1.231" advise="1">
        <values>
          <value t="str">
            <val>-</val>
          </value>
        </values>
      </ddeItem>
      <ddeItem name="OXFB1.232" advise="1">
        <values>
          <value t="str">
            <val>-</val>
          </value>
        </values>
      </ddeItem>
      <ddeItem name="OXFB1.233" advise="1">
        <values>
          <value t="str">
            <val>-</val>
          </value>
        </values>
      </ddeItem>
      <ddeItem name="OXFB1.234" advise="1">
        <values>
          <value t="str">
            <val>-</val>
          </value>
        </values>
      </ddeItem>
      <ddeItem name="OXFB1.235" advise="1">
        <values>
          <value t="str">
            <val>-</val>
          </value>
        </values>
      </ddeItem>
      <ddeItem name="OXFB1.402" advise="1">
        <values>
          <value t="str">
            <val>不含金電</val>
          </value>
        </values>
      </ddeItem>
      <ddeItem name="OXFB1.406" advise="1">
        <values>
          <value t="str">
            <val xml:space="preserve"> -</val>
          </value>
        </values>
      </ddeItem>
      <ddeItem name="OXFB1.407" advise="1">
        <values>
          <value t="str">
            <val xml:space="preserve"> -</val>
          </value>
        </values>
      </ddeItem>
      <ddeItem name="OXFB1.431" advise="1">
        <values>
          <value t="str">
            <val>-</val>
          </value>
        </values>
      </ddeItem>
      <ddeItem name="OXFB1.437" advise="1">
        <values>
          <value t="str">
            <val xml:space="preserve"> -</val>
          </value>
        </values>
      </ddeItem>
      <ddeItem name="OYFB1.123" advise="1">
        <values>
          <value>
            <val>100140</val>
          </value>
        </values>
      </ddeItem>
      <ddeItem name="OYFB1.124" advise="1">
        <values>
          <value>
            <val>16428.68</val>
          </value>
        </values>
      </ddeItem>
      <ddeItem name="OYFB1.125" advise="1">
        <values>
          <value>
            <val>-14.72</val>
          </value>
        </values>
      </ddeItem>
      <ddeItem name="OYFB1.128" advise="1">
        <values>
          <value>
            <val>2686</val>
          </value>
        </values>
      </ddeItem>
      <ddeItem name="OYFB1.130" advise="1">
        <values>
          <value>
            <val>16329.54</val>
          </value>
        </values>
      </ddeItem>
      <ddeItem name="OYFB1.131" advise="1">
        <values>
          <value>
            <val>16456.939999999999</val>
          </value>
        </values>
      </ddeItem>
      <ddeItem name="OYFB1.132" advise="1">
        <values>
          <value>
            <val>16329.54</val>
          </value>
        </values>
      </ddeItem>
      <ddeItem name="OYFB1.133" advise="1">
        <values>
          <value>
            <val>4022793</val>
          </value>
        </values>
      </ddeItem>
      <ddeItem name="OYFB1.135" advise="1">
        <values>
          <value t="str">
            <val xml:space="preserve"> -</val>
          </value>
        </values>
      </ddeItem>
      <ddeItem name="OYFB1.136" advise="1">
        <values>
          <value t="str">
            <val xml:space="preserve"> -</val>
          </value>
        </values>
      </ddeItem>
      <ddeItem name="OYFB1.201" advise="1">
        <values>
          <value t="str">
            <val xml:space="preserve"> -</val>
          </value>
        </values>
      </ddeItem>
      <ddeItem name="OYFB1.202" advise="1">
        <values>
          <value t="str">
            <val xml:space="preserve"> -</val>
          </value>
        </values>
      </ddeItem>
      <ddeItem name="OYFB1.203" advise="1">
        <values>
          <value t="str">
            <val xml:space="preserve"> -</val>
          </value>
        </values>
      </ddeItem>
      <ddeItem name="OYFB1.204" advise="1">
        <values>
          <value t="str">
            <val xml:space="preserve"> -</val>
          </value>
        </values>
      </ddeItem>
      <ddeItem name="OYFB1.205" advise="1">
        <values>
          <value t="str">
            <val xml:space="preserve"> -</val>
          </value>
        </values>
      </ddeItem>
      <ddeItem name="OYFB1.211" advise="1">
        <values>
          <value t="str">
            <val xml:space="preserve"> -</val>
          </value>
        </values>
      </ddeItem>
      <ddeItem name="OYFB1.212" advise="1">
        <values>
          <value t="str">
            <val xml:space="preserve"> -</val>
          </value>
        </values>
      </ddeItem>
      <ddeItem name="OYFB1.213" advise="1">
        <values>
          <value t="str">
            <val xml:space="preserve"> -</val>
          </value>
        </values>
      </ddeItem>
      <ddeItem name="OYFB1.214" advise="1">
        <values>
          <value t="str">
            <val xml:space="preserve"> -</val>
          </value>
        </values>
      </ddeItem>
      <ddeItem name="OYFB1.215" advise="1">
        <values>
          <value t="str">
            <val xml:space="preserve"> -</val>
          </value>
        </values>
      </ddeItem>
      <ddeItem name="OYFB1.221" advise="1">
        <values>
          <value t="str">
            <val>-</val>
          </value>
        </values>
      </ddeItem>
      <ddeItem name="OYFB1.222" advise="1">
        <values>
          <value t="str">
            <val>-</val>
          </value>
        </values>
      </ddeItem>
      <ddeItem name="OYFB1.223" advise="1">
        <values>
          <value t="str">
            <val>-</val>
          </value>
        </values>
      </ddeItem>
      <ddeItem name="OYFB1.224" advise="1">
        <values>
          <value t="str">
            <val>-</val>
          </value>
        </values>
      </ddeItem>
      <ddeItem name="OYFB1.225" advise="1">
        <values>
          <value t="str">
            <val>-</val>
          </value>
        </values>
      </ddeItem>
      <ddeItem name="OYFB1.231" advise="1">
        <values>
          <value t="str">
            <val>-</val>
          </value>
        </values>
      </ddeItem>
      <ddeItem name="OYFB1.232" advise="1">
        <values>
          <value t="str">
            <val>-</val>
          </value>
        </values>
      </ddeItem>
      <ddeItem name="OYFB1.233" advise="1">
        <values>
          <value t="str">
            <val>-</val>
          </value>
        </values>
      </ddeItem>
      <ddeItem name="OYFB1.234" advise="1">
        <values>
          <value t="str">
            <val>-</val>
          </value>
        </values>
      </ddeItem>
      <ddeItem name="OYFB1.235" advise="1">
        <values>
          <value t="str">
            <val>-</val>
          </value>
        </values>
      </ddeItem>
      <ddeItem name="OYFB1.402" advise="1">
        <values>
          <value t="str">
            <val>加權指數</val>
          </value>
        </values>
      </ddeItem>
      <ddeItem name="OYFB1.406" advise="1">
        <values>
          <value t="str">
            <val xml:space="preserve"> -</val>
          </value>
        </values>
      </ddeItem>
      <ddeItem name="OYFB1.407" advise="1">
        <values>
          <value t="str">
            <val xml:space="preserve"> -</val>
          </value>
        </values>
      </ddeItem>
      <ddeItem name="OYFB1.431" advise="1">
        <values>
          <value t="str">
            <val>-</val>
          </value>
        </values>
      </ddeItem>
      <ddeItem name="OYFB1.437" advise="1">
        <values>
          <value t="str">
            <val xml:space="preserve"> -</val>
          </value>
        </values>
      </ddeItem>
      <ddeItem name="OZFB1.123" advise="1">
        <values>
          <value>
            <val>100140</val>
          </value>
        </values>
      </ddeItem>
      <ddeItem name="OZFB1.124" advise="1">
        <values>
          <value>
            <val>16428.68</val>
          </value>
        </values>
      </ddeItem>
      <ddeItem name="OZFB1.125" advise="1">
        <values>
          <value>
            <val>-14.72</val>
          </value>
        </values>
      </ddeItem>
      <ddeItem name="OZFB1.128" advise="1">
        <values>
          <value>
            <val>2686</val>
          </value>
        </values>
      </ddeItem>
      <ddeItem name="OZFB1.130" advise="1">
        <values>
          <value>
            <val>16329.54</val>
          </value>
        </values>
      </ddeItem>
      <ddeItem name="OZFB1.131" advise="1">
        <values>
          <value>
            <val>16456.939999999999</val>
          </value>
        </values>
      </ddeItem>
      <ddeItem name="OZFB1.132" advise="1">
        <values>
          <value>
            <val>16329.54</val>
          </value>
        </values>
      </ddeItem>
      <ddeItem name="OZFB1.133" advise="1">
        <values>
          <value>
            <val>4022793</val>
          </value>
        </values>
      </ddeItem>
      <ddeItem name="OZFB1.135" advise="1">
        <values>
          <value t="str">
            <val xml:space="preserve"> -</val>
          </value>
        </values>
      </ddeItem>
      <ddeItem name="OZFB1.136" advise="1">
        <values>
          <value t="str">
            <val xml:space="preserve"> -</val>
          </value>
        </values>
      </ddeItem>
      <ddeItem name="OZFB1.201" advise="1">
        <values>
          <value t="str">
            <val xml:space="preserve"> -</val>
          </value>
        </values>
      </ddeItem>
      <ddeItem name="OZFB1.202" advise="1">
        <values>
          <value t="str">
            <val xml:space="preserve"> -</val>
          </value>
        </values>
      </ddeItem>
      <ddeItem name="OZFB1.203" advise="1">
        <values>
          <value t="str">
            <val xml:space="preserve"> -</val>
          </value>
        </values>
      </ddeItem>
      <ddeItem name="OZFB1.204" advise="1">
        <values>
          <value t="str">
            <val xml:space="preserve"> -</val>
          </value>
        </values>
      </ddeItem>
      <ddeItem name="OZFB1.205" advise="1">
        <values>
          <value t="str">
            <val xml:space="preserve"> -</val>
          </value>
        </values>
      </ddeItem>
      <ddeItem name="OZFB1.211" advise="1">
        <values>
          <value t="str">
            <val xml:space="preserve"> -</val>
          </value>
        </values>
      </ddeItem>
      <ddeItem name="OZFB1.212" advise="1">
        <values>
          <value t="str">
            <val xml:space="preserve"> -</val>
          </value>
        </values>
      </ddeItem>
      <ddeItem name="OZFB1.213" advise="1">
        <values>
          <value t="str">
            <val xml:space="preserve"> -</val>
          </value>
        </values>
      </ddeItem>
      <ddeItem name="OZFB1.214" advise="1">
        <values>
          <value t="str">
            <val xml:space="preserve"> -</val>
          </value>
        </values>
      </ddeItem>
      <ddeItem name="OZFB1.215" advise="1">
        <values>
          <value t="str">
            <val xml:space="preserve"> -</val>
          </value>
        </values>
      </ddeItem>
      <ddeItem name="OZFB1.221" advise="1">
        <values>
          <value t="str">
            <val>-</val>
          </value>
        </values>
      </ddeItem>
      <ddeItem name="OZFB1.222" advise="1">
        <values>
          <value t="str">
            <val>-</val>
          </value>
        </values>
      </ddeItem>
      <ddeItem name="OZFB1.223" advise="1">
        <values>
          <value t="str">
            <val>-</val>
          </value>
        </values>
      </ddeItem>
      <ddeItem name="OZFB1.224" advise="1">
        <values>
          <value t="str">
            <val>-</val>
          </value>
        </values>
      </ddeItem>
      <ddeItem name="OZFB1.225" advise="1">
        <values>
          <value t="str">
            <val>-</val>
          </value>
        </values>
      </ddeItem>
      <ddeItem name="OZFB1.231" advise="1">
        <values>
          <value t="str">
            <val>-</val>
          </value>
        </values>
      </ddeItem>
      <ddeItem name="OZFB1.232" advise="1">
        <values>
          <value t="str">
            <val>-</val>
          </value>
        </values>
      </ddeItem>
      <ddeItem name="OZFB1.233" advise="1">
        <values>
          <value t="str">
            <val>-</val>
          </value>
        </values>
      </ddeItem>
      <ddeItem name="OZFB1.234" advise="1">
        <values>
          <value t="str">
            <val>-</val>
          </value>
        </values>
      </ddeItem>
      <ddeItem name="OZFB1.235" advise="1">
        <values>
          <value t="str">
            <val>-</val>
          </value>
        </values>
      </ddeItem>
      <ddeItem name="OZFB1.402" advise="1">
        <values>
          <value t="str">
            <val>加權指數</val>
          </value>
        </values>
      </ddeItem>
      <ddeItem name="OZFB1.406" advise="1">
        <values>
          <value t="str">
            <val xml:space="preserve"> -</val>
          </value>
        </values>
      </ddeItem>
      <ddeItem name="OZFB1.407" advise="1">
        <values>
          <value t="str">
            <val xml:space="preserve"> -</val>
          </value>
        </values>
      </ddeItem>
      <ddeItem name="OZFB1.431" advise="1">
        <values>
          <value t="str">
            <val>-</val>
          </value>
        </values>
      </ddeItem>
      <ddeItem name="OZFB1.437" advise="1">
        <values>
          <value t="str">
            <val xml:space="preserve"> -</val>
          </value>
        </values>
      </ddeItem>
      <ddeItem name="PAFB1.123" advise="1">
        <values>
          <value>
            <val>100130</val>
          </value>
        </values>
      </ddeItem>
      <ddeItem name="PAFB1.124" advise="1">
        <values>
          <value>
            <val>16422.080000000002</val>
          </value>
        </values>
      </ddeItem>
      <ddeItem name="PAFB1.125" advise="1">
        <values>
          <value>
            <val>-21.32</val>
          </value>
        </values>
      </ddeItem>
      <ddeItem name="PAFB1.128" advise="1">
        <values>
          <value>
            <val>3347</val>
          </value>
        </values>
      </ddeItem>
      <ddeItem name="PAFB1.130" advise="1">
        <values>
          <value>
            <val>16329.54</val>
          </value>
        </values>
      </ddeItem>
      <ddeItem name="PAFB1.131" advise="1">
        <values>
          <value>
            <val>16456.939999999999</val>
          </value>
        </values>
      </ddeItem>
      <ddeItem name="PAFB1.132" advise="1">
        <values>
          <value>
            <val>16329.54</val>
          </value>
        </values>
      </ddeItem>
      <ddeItem name="PAFB1.133" advise="1">
        <values>
          <value>
            <val>4018459</val>
          </value>
        </values>
      </ddeItem>
      <ddeItem name="PAFB1.135" advise="1">
        <values>
          <value t="str">
            <val xml:space="preserve"> -</val>
          </value>
        </values>
      </ddeItem>
      <ddeItem name="PAFB1.136" advise="1">
        <values>
          <value t="str">
            <val xml:space="preserve"> -</val>
          </value>
        </values>
      </ddeItem>
      <ddeItem name="PAFB1.201" advise="1">
        <values>
          <value t="str">
            <val xml:space="preserve"> -</val>
          </value>
        </values>
      </ddeItem>
      <ddeItem name="PAFB1.202" advise="1">
        <values>
          <value t="str">
            <val xml:space="preserve"> -</val>
          </value>
        </values>
      </ddeItem>
      <ddeItem name="PAFB1.203" advise="1">
        <values>
          <value t="str">
            <val xml:space="preserve"> -</val>
          </value>
        </values>
      </ddeItem>
      <ddeItem name="PAFB1.204" advise="1">
        <values>
          <value t="str">
            <val xml:space="preserve"> -</val>
          </value>
        </values>
      </ddeItem>
      <ddeItem name="PAFB1.205" advise="1">
        <values>
          <value t="str">
            <val xml:space="preserve"> -</val>
          </value>
        </values>
      </ddeItem>
      <ddeItem name="PAFB1.211" advise="1">
        <values>
          <value t="str">
            <val xml:space="preserve"> -</val>
          </value>
        </values>
      </ddeItem>
      <ddeItem name="PAFB1.212" advise="1">
        <values>
          <value t="str">
            <val xml:space="preserve"> -</val>
          </value>
        </values>
      </ddeItem>
      <ddeItem name="PAFB1.213" advise="1">
        <values>
          <value t="str">
            <val xml:space="preserve"> -</val>
          </value>
        </values>
      </ddeItem>
      <ddeItem name="PAFB1.214" advise="1">
        <values>
          <value t="str">
            <val xml:space="preserve"> -</val>
          </value>
        </values>
      </ddeItem>
      <ddeItem name="PAFB1.215" advise="1">
        <values>
          <value t="str">
            <val xml:space="preserve"> -</val>
          </value>
        </values>
      </ddeItem>
      <ddeItem name="PAFB1.221" advise="1">
        <values>
          <value t="str">
            <val>-</val>
          </value>
        </values>
      </ddeItem>
      <ddeItem name="PAFB1.222" advise="1">
        <values>
          <value t="str">
            <val>-</val>
          </value>
        </values>
      </ddeItem>
      <ddeItem name="PAFB1.223" advise="1">
        <values>
          <value t="str">
            <val>-</val>
          </value>
        </values>
      </ddeItem>
      <ddeItem name="PAFB1.224" advise="1">
        <values>
          <value t="str">
            <val>-</val>
          </value>
        </values>
      </ddeItem>
      <ddeItem name="PAFB1.225" advise="1">
        <values>
          <value t="str">
            <val>-</val>
          </value>
        </values>
      </ddeItem>
      <ddeItem name="PAFB1.231" advise="1">
        <values>
          <value t="str">
            <val>-</val>
          </value>
        </values>
      </ddeItem>
      <ddeItem name="PAFB1.232" advise="1">
        <values>
          <value t="str">
            <val>-</val>
          </value>
        </values>
      </ddeItem>
      <ddeItem name="PAFB1.233" advise="1">
        <values>
          <value t="str">
            <val>-</val>
          </value>
        </values>
      </ddeItem>
      <ddeItem name="PAFB1.234" advise="1">
        <values>
          <value t="str">
            <val>-</val>
          </value>
        </values>
      </ddeItem>
      <ddeItem name="PAFB1.235" advise="1">
        <values>
          <value t="str">
            <val>-</val>
          </value>
        </values>
      </ddeItem>
      <ddeItem name="PAFB1.402" advise="1">
        <values>
          <value t="str">
            <val>加權指數</val>
          </value>
        </values>
      </ddeItem>
      <ddeItem name="PAFB1.406" advise="1">
        <values>
          <value t="str">
            <val xml:space="preserve"> -</val>
          </value>
        </values>
      </ddeItem>
      <ddeItem name="PAFB1.407" advise="1">
        <values>
          <value t="str">
            <val xml:space="preserve"> -</val>
          </value>
        </values>
      </ddeItem>
      <ddeItem name="PAFB1.431" advise="1">
        <values>
          <value t="str">
            <val>-</val>
          </value>
        </values>
      </ddeItem>
      <ddeItem name="PAFB1.437" advise="1">
        <values>
          <value t="str">
            <val xml:space="preserve"> -</val>
          </value>
        </values>
      </ddeItem>
      <ddeItem name="PBFB1.123" advise="1">
        <values>
          <value>
            <val>100150</val>
          </value>
        </values>
      </ddeItem>
      <ddeItem name="PBFB1.124" advise="1">
        <values>
          <value>
            <val>16421.62</val>
          </value>
        </values>
      </ddeItem>
      <ddeItem name="PBFB1.125" advise="1">
        <values>
          <value>
            <val>-21.78</val>
          </value>
        </values>
      </ddeItem>
      <ddeItem name="PBFB1.128" advise="1">
        <values>
          <value>
            <val>2439</val>
          </value>
        </values>
      </ddeItem>
      <ddeItem name="PBFB1.130" advise="1">
        <values>
          <value>
            <val>16329.54</val>
          </value>
        </values>
      </ddeItem>
      <ddeItem name="PBFB1.131" advise="1">
        <values>
          <value>
            <val>16456.939999999999</val>
          </value>
        </values>
      </ddeItem>
      <ddeItem name="PBFB1.132" advise="1">
        <values>
          <value>
            <val>16329.54</val>
          </value>
        </values>
      </ddeItem>
      <ddeItem name="PBFB1.133" advise="1">
        <values>
          <value>
            <val>4027056</val>
          </value>
        </values>
      </ddeItem>
      <ddeItem name="PBFB1.135" advise="1">
        <values>
          <value t="str">
            <val xml:space="preserve"> -</val>
          </value>
        </values>
      </ddeItem>
      <ddeItem name="PBFB1.136" advise="1">
        <values>
          <value t="str">
            <val xml:space="preserve"> -</val>
          </value>
        </values>
      </ddeItem>
      <ddeItem name="PBFB1.201" advise="1">
        <values>
          <value t="str">
            <val xml:space="preserve"> -</val>
          </value>
        </values>
      </ddeItem>
      <ddeItem name="PBFB1.202" advise="1">
        <values>
          <value t="str">
            <val xml:space="preserve"> -</val>
          </value>
        </values>
      </ddeItem>
      <ddeItem name="PBFB1.203" advise="1">
        <values>
          <value t="str">
            <val xml:space="preserve"> -</val>
          </value>
        </values>
      </ddeItem>
      <ddeItem name="PBFB1.204" advise="1">
        <values>
          <value t="str">
            <val xml:space="preserve"> -</val>
          </value>
        </values>
      </ddeItem>
      <ddeItem name="PBFB1.205" advise="1">
        <values>
          <value t="str">
            <val xml:space="preserve"> -</val>
          </value>
        </values>
      </ddeItem>
      <ddeItem name="PBFB1.211" advise="1">
        <values>
          <value t="str">
            <val xml:space="preserve"> -</val>
          </value>
        </values>
      </ddeItem>
      <ddeItem name="PBFB1.212" advise="1">
        <values>
          <value t="str">
            <val xml:space="preserve"> -</val>
          </value>
        </values>
      </ddeItem>
      <ddeItem name="PBFB1.213" advise="1">
        <values>
          <value t="str">
            <val xml:space="preserve"> -</val>
          </value>
        </values>
      </ddeItem>
      <ddeItem name="PBFB1.214" advise="1">
        <values>
          <value t="str">
            <val xml:space="preserve"> -</val>
          </value>
        </values>
      </ddeItem>
      <ddeItem name="PBFB1.215" advise="1">
        <values>
          <value t="str">
            <val xml:space="preserve"> -</val>
          </value>
        </values>
      </ddeItem>
      <ddeItem name="PBFB1.221" advise="1">
        <values>
          <value t="str">
            <val>-</val>
          </value>
        </values>
      </ddeItem>
      <ddeItem name="PBFB1.222" advise="1">
        <values>
          <value t="str">
            <val>-</val>
          </value>
        </values>
      </ddeItem>
      <ddeItem name="PBFB1.223" advise="1">
        <values>
          <value t="str">
            <val>-</val>
          </value>
        </values>
      </ddeItem>
      <ddeItem name="PBFB1.224" advise="1">
        <values>
          <value t="str">
            <val>-</val>
          </value>
        </values>
      </ddeItem>
      <ddeItem name="PBFB1.225" advise="1">
        <values>
          <value t="str">
            <val>-</val>
          </value>
        </values>
      </ddeItem>
      <ddeItem name="PBFB1.231" advise="1">
        <values>
          <value t="str">
            <val>-</val>
          </value>
        </values>
      </ddeItem>
      <ddeItem name="PBFB1.232" advise="1">
        <values>
          <value t="str">
            <val>-</val>
          </value>
        </values>
      </ddeItem>
      <ddeItem name="PBFB1.233" advise="1">
        <values>
          <value t="str">
            <val>-</val>
          </value>
        </values>
      </ddeItem>
      <ddeItem name="PBFB1.234" advise="1">
        <values>
          <value t="str">
            <val>-</val>
          </value>
        </values>
      </ddeItem>
      <ddeItem name="PBFB1.235" advise="1">
        <values>
          <value t="str">
            <val>-</val>
          </value>
        </values>
      </ddeItem>
      <ddeItem name="PBFB1.402" advise="1">
        <values>
          <value t="str">
            <val>加權指數</val>
          </value>
        </values>
      </ddeItem>
      <ddeItem name="PBFB1.406" advise="1">
        <values>
          <value t="str">
            <val xml:space="preserve"> -</val>
          </value>
        </values>
      </ddeItem>
      <ddeItem name="PBFB1.407" advise="1">
        <values>
          <value t="str">
            <val xml:space="preserve"> -</val>
          </value>
        </values>
      </ddeItem>
      <ddeItem name="PBFB1.431" advise="1">
        <values>
          <value t="str">
            <val>-</val>
          </value>
        </values>
      </ddeItem>
      <ddeItem name="PBFB1.437" advise="1">
        <values>
          <value t="str">
            <val xml:space="preserve"> -</val>
          </value>
        </values>
      </ddeItem>
      <ddeItem name="PCFB1.123" advise="1">
        <values>
          <value>
            <val>100150</val>
          </value>
        </values>
      </ddeItem>
      <ddeItem name="PCFB1.124" advise="1">
        <values>
          <value>
            <val>16421.62</val>
          </value>
        </values>
      </ddeItem>
      <ddeItem name="PCFB1.125" advise="1">
        <values>
          <value>
            <val>-21.78</val>
          </value>
        </values>
      </ddeItem>
      <ddeItem name="PCFB1.128" advise="1">
        <values>
          <value>
            <val>2439</val>
          </value>
        </values>
      </ddeItem>
      <ddeItem name="PCFB1.130" advise="1">
        <values>
          <value>
            <val>16329.54</val>
          </value>
        </values>
      </ddeItem>
      <ddeItem name="PCFB1.131" advise="1">
        <values>
          <value>
            <val>16456.939999999999</val>
          </value>
        </values>
      </ddeItem>
      <ddeItem name="PCFB1.132" advise="1">
        <values>
          <value>
            <val>16329.54</val>
          </value>
        </values>
      </ddeItem>
      <ddeItem name="PCFB1.133" advise="1">
        <values>
          <value>
            <val>4027056</val>
          </value>
        </values>
      </ddeItem>
      <ddeItem name="PCFB1.135" advise="1">
        <values>
          <value t="str">
            <val xml:space="preserve"> -</val>
          </value>
        </values>
      </ddeItem>
      <ddeItem name="PCFB1.136" advise="1">
        <values>
          <value t="str">
            <val xml:space="preserve"> -</val>
          </value>
        </values>
      </ddeItem>
      <ddeItem name="PCFB1.201" advise="1">
        <values>
          <value t="str">
            <val xml:space="preserve"> -</val>
          </value>
        </values>
      </ddeItem>
      <ddeItem name="PCFB1.202" advise="1">
        <values>
          <value t="str">
            <val xml:space="preserve"> -</val>
          </value>
        </values>
      </ddeItem>
      <ddeItem name="PCFB1.203" advise="1">
        <values>
          <value t="str">
            <val xml:space="preserve"> -</val>
          </value>
        </values>
      </ddeItem>
      <ddeItem name="PCFB1.204" advise="1">
        <values>
          <value t="str">
            <val xml:space="preserve"> -</val>
          </value>
        </values>
      </ddeItem>
      <ddeItem name="PCFB1.205" advise="1">
        <values>
          <value t="str">
            <val xml:space="preserve"> -</val>
          </value>
        </values>
      </ddeItem>
      <ddeItem name="PCFB1.211" advise="1">
        <values>
          <value t="str">
            <val xml:space="preserve"> -</val>
          </value>
        </values>
      </ddeItem>
      <ddeItem name="PCFB1.212" advise="1">
        <values>
          <value t="str">
            <val xml:space="preserve"> -</val>
          </value>
        </values>
      </ddeItem>
      <ddeItem name="PCFB1.213" advise="1">
        <values>
          <value t="str">
            <val xml:space="preserve"> -</val>
          </value>
        </values>
      </ddeItem>
      <ddeItem name="PCFB1.214" advise="1">
        <values>
          <value t="str">
            <val xml:space="preserve"> -</val>
          </value>
        </values>
      </ddeItem>
      <ddeItem name="PCFB1.215" advise="1">
        <values>
          <value t="str">
            <val xml:space="preserve"> -</val>
          </value>
        </values>
      </ddeItem>
      <ddeItem name="PCFB1.221" advise="1">
        <values>
          <value t="str">
            <val>-</val>
          </value>
        </values>
      </ddeItem>
      <ddeItem name="PCFB1.222" advise="1">
        <values>
          <value t="str">
            <val>-</val>
          </value>
        </values>
      </ddeItem>
      <ddeItem name="PCFB1.223" advise="1">
        <values>
          <value t="str">
            <val>-</val>
          </value>
        </values>
      </ddeItem>
      <ddeItem name="PCFB1.224" advise="1">
        <values>
          <value t="str">
            <val>-</val>
          </value>
        </values>
      </ddeItem>
      <ddeItem name="PCFB1.225" advise="1">
        <values>
          <value t="str">
            <val>-</val>
          </value>
        </values>
      </ddeItem>
      <ddeItem name="PCFB1.231" advise="1">
        <values>
          <value t="str">
            <val>-</val>
          </value>
        </values>
      </ddeItem>
      <ddeItem name="PCFB1.232" advise="1">
        <values>
          <value t="str">
            <val>-</val>
          </value>
        </values>
      </ddeItem>
      <ddeItem name="PCFB1.233" advise="1">
        <values>
          <value t="str">
            <val>-</val>
          </value>
        </values>
      </ddeItem>
      <ddeItem name="PCFB1.234" advise="1">
        <values>
          <value t="str">
            <val>-</val>
          </value>
        </values>
      </ddeItem>
      <ddeItem name="PCFB1.235" advise="1">
        <values>
          <value t="str">
            <val>-</val>
          </value>
        </values>
      </ddeItem>
      <ddeItem name="PCFB1.402" advise="1">
        <values>
          <value t="str">
            <val>加權指數</val>
          </value>
        </values>
      </ddeItem>
      <ddeItem name="PCFB1.406" advise="1">
        <values>
          <value t="str">
            <val xml:space="preserve"> -</val>
          </value>
        </values>
      </ddeItem>
      <ddeItem name="PCFB1.407" advise="1">
        <values>
          <value t="str">
            <val xml:space="preserve"> -</val>
          </value>
        </values>
      </ddeItem>
      <ddeItem name="PCFB1.431" advise="1">
        <values>
          <value t="str">
            <val>-</val>
          </value>
        </values>
      </ddeItem>
      <ddeItem name="PCFB1.437" advise="1">
        <values>
          <value t="str">
            <val xml:space="preserve"> -</val>
          </value>
        </values>
      </ddeItem>
      <ddeItem name="PDFB1.123" advise="1">
        <values>
          <value>
            <val>0</val>
          </value>
        </values>
      </ddeItem>
      <ddeItem name="PDFB1.124" advise="1">
        <values>
          <value>
            <val>20878632</val>
          </value>
        </values>
      </ddeItem>
      <ddeItem name="PDFB1.125" advise="1">
        <values>
          <value t="str">
            <val xml:space="preserve"> </val>
          </value>
        </values>
      </ddeItem>
      <ddeItem name="PDFB1.128" advise="1">
        <values>
          <value>
            <val>1212870150</val>
          </value>
        </values>
      </ddeItem>
      <ddeItem name="PDFB1.130" advise="1">
        <values>
          <value>
            <val>20803788</val>
          </value>
        </values>
      </ddeItem>
      <ddeItem name="PDFB1.131" advise="1">
        <values>
          <value>
            <val>20804690</val>
          </value>
        </values>
      </ddeItem>
      <ddeItem name="PDFB1.132" advise="1">
        <values>
          <value>
            <val>10989732</val>
          </value>
        </values>
      </ddeItem>
      <ddeItem name="PDFB1.133" advise="1">
        <values>
          <value>
            <val>2088371110</val>
          </value>
        </values>
      </ddeItem>
      <ddeItem name="PDFB1.135" advise="1">
        <values>
          <value t="str">
            <val xml:space="preserve"> -</val>
          </value>
        </values>
      </ddeItem>
      <ddeItem name="PDFB1.136" advise="1">
        <values>
          <value t="str">
            <val xml:space="preserve"> -</val>
          </value>
        </values>
      </ddeItem>
      <ddeItem name="PDFB1.201" advise="1">
        <values>
          <value t="str">
            <val xml:space="preserve"> -</val>
          </value>
        </values>
      </ddeItem>
      <ddeItem name="PDFB1.202" advise="1">
        <values>
          <value t="str">
            <val xml:space="preserve"> -</val>
          </value>
        </values>
      </ddeItem>
      <ddeItem name="PDFB1.203" advise="1">
        <values>
          <value t="str">
            <val xml:space="preserve"> -</val>
          </value>
        </values>
      </ddeItem>
      <ddeItem name="PDFB1.204" advise="1">
        <values>
          <value t="str">
            <val xml:space="preserve"> -</val>
          </value>
        </values>
      </ddeItem>
      <ddeItem name="PDFB1.205" advise="1">
        <values>
          <value t="str">
            <val xml:space="preserve"> -</val>
          </value>
        </values>
      </ddeItem>
      <ddeItem name="PDFB1.211" advise="1">
        <values>
          <value t="str">
            <val xml:space="preserve"> -</val>
          </value>
        </values>
      </ddeItem>
      <ddeItem name="PDFB1.212" advise="1">
        <values>
          <value t="str">
            <val xml:space="preserve"> -</val>
          </value>
        </values>
      </ddeItem>
      <ddeItem name="PDFB1.213" advise="1">
        <values>
          <value t="str">
            <val xml:space="preserve"> -</val>
          </value>
        </values>
      </ddeItem>
      <ddeItem name="PDFB1.214" advise="1">
        <values>
          <value t="str">
            <val xml:space="preserve"> -</val>
          </value>
        </values>
      </ddeItem>
      <ddeItem name="PDFB1.215" advise="1">
        <values>
          <value t="str">
            <val xml:space="preserve"> -</val>
          </value>
        </values>
      </ddeItem>
      <ddeItem name="PDFB1.221" advise="1">
        <values>
          <value t="str">
            <val>-</val>
          </value>
        </values>
      </ddeItem>
      <ddeItem name="PDFB1.222" advise="1">
        <values>
          <value t="str">
            <val>-</val>
          </value>
        </values>
      </ddeItem>
      <ddeItem name="PDFB1.223" advise="1">
        <values>
          <value t="str">
            <val>-</val>
          </value>
        </values>
      </ddeItem>
      <ddeItem name="PDFB1.224" advise="1">
        <values>
          <value t="str">
            <val>-</val>
          </value>
        </values>
      </ddeItem>
      <ddeItem name="PDFB1.225" advise="1">
        <values>
          <value t="str">
            <val>-</val>
          </value>
        </values>
      </ddeItem>
      <ddeItem name="PDFB1.231" advise="1">
        <values>
          <value t="str">
            <val>-</val>
          </value>
        </values>
      </ddeItem>
      <ddeItem name="PDFB1.232" advise="1">
        <values>
          <value t="str">
            <val>-</val>
          </value>
        </values>
      </ddeItem>
      <ddeItem name="PDFB1.233" advise="1">
        <values>
          <value t="str">
            <val>-</val>
          </value>
        </values>
      </ddeItem>
      <ddeItem name="PDFB1.234" advise="1">
        <values>
          <value t="str">
            <val>-</val>
          </value>
        </values>
      </ddeItem>
      <ddeItem name="PDFB1.235" advise="1">
        <values>
          <value t="str">
            <val>-</val>
          </value>
        </values>
      </ddeItem>
      <ddeItem name="PDFB1.402" advise="1"/>
      <ddeItem name="PDFB1.406" advise="1">
        <values>
          <value t="str">
            <val xml:space="preserve"> -</val>
          </value>
        </values>
      </ddeItem>
      <ddeItem name="PDFB1.407" advise="1">
        <values>
          <value t="str">
            <val xml:space="preserve"> -</val>
          </value>
        </values>
      </ddeItem>
      <ddeItem name="PDFB1.431" advise="1">
        <values>
          <value t="str">
            <val>-</val>
          </value>
        </values>
      </ddeItem>
      <ddeItem name="PDFB1.437" advise="1">
        <values>
          <value t="str">
            <val xml:space="preserve"> -</val>
          </value>
        </values>
      </ddeItem>
      <ddeItem name="PEFB1.123" advise="1">
        <values>
          <value>
            <val>100145</val>
          </value>
        </values>
      </ddeItem>
      <ddeItem name="PEFB1.124" advise="1">
        <values>
          <value>
            <val>13895.21</val>
          </value>
        </values>
      </ddeItem>
      <ddeItem name="PEFB1.125" advise="1">
        <values>
          <value>
            <val>8.6300000000000008</val>
          </value>
        </values>
      </ddeItem>
      <ddeItem name="PEFB1.128" advise="1">
        <values>
          <value>
            <val>435</val>
          </value>
        </values>
      </ddeItem>
      <ddeItem name="PEFB1.130" advise="1">
        <values>
          <value>
            <val>13893.03</val>
          </value>
        </values>
      </ddeItem>
      <ddeItem name="PEFB1.131" advise="1">
        <values>
          <value>
            <val>13945.78</val>
          </value>
        </values>
      </ddeItem>
      <ddeItem name="PEFB1.132" advise="1">
        <values>
          <value>
            <val>13875.82</val>
          </value>
        </values>
      </ddeItem>
      <ddeItem name="PEFB1.133" advise="1">
        <values>
          <value>
            <val>872940</val>
          </value>
        </values>
      </ddeItem>
      <ddeItem name="PEFB1.135" advise="1">
        <values>
          <value t="str">
            <val xml:space="preserve"> -</val>
          </value>
        </values>
      </ddeItem>
      <ddeItem name="PEFB1.136" advise="1">
        <values>
          <value t="str">
            <val xml:space="preserve"> -</val>
          </value>
        </values>
      </ddeItem>
      <ddeItem name="PEFB1.201" advise="1">
        <values>
          <value t="str">
            <val xml:space="preserve"> -</val>
          </value>
        </values>
      </ddeItem>
      <ddeItem name="PEFB1.202" advise="1">
        <values>
          <value t="str">
            <val xml:space="preserve"> -</val>
          </value>
        </values>
      </ddeItem>
      <ddeItem name="PEFB1.203" advise="1">
        <values>
          <value t="str">
            <val xml:space="preserve"> -</val>
          </value>
        </values>
      </ddeItem>
      <ddeItem name="PEFB1.204" advise="1">
        <values>
          <value t="str">
            <val xml:space="preserve"> -</val>
          </value>
        </values>
      </ddeItem>
      <ddeItem name="PEFB1.205" advise="1">
        <values>
          <value t="str">
            <val xml:space="preserve"> -</val>
          </value>
        </values>
      </ddeItem>
      <ddeItem name="PEFB1.211" advise="1">
        <values>
          <value t="str">
            <val xml:space="preserve"> -</val>
          </value>
        </values>
      </ddeItem>
      <ddeItem name="PEFB1.212" advise="1">
        <values>
          <value t="str">
            <val xml:space="preserve"> -</val>
          </value>
        </values>
      </ddeItem>
      <ddeItem name="PEFB1.213" advise="1">
        <values>
          <value t="str">
            <val xml:space="preserve"> -</val>
          </value>
        </values>
      </ddeItem>
      <ddeItem name="PEFB1.214" advise="1">
        <values>
          <value t="str">
            <val xml:space="preserve"> -</val>
          </value>
        </values>
      </ddeItem>
      <ddeItem name="PEFB1.215" advise="1">
        <values>
          <value t="str">
            <val xml:space="preserve"> -</val>
          </value>
        </values>
      </ddeItem>
      <ddeItem name="PEFB1.221" advise="1">
        <values>
          <value t="str">
            <val>-</val>
          </value>
        </values>
      </ddeItem>
      <ddeItem name="PEFB1.222" advise="1">
        <values>
          <value t="str">
            <val>-</val>
          </value>
        </values>
      </ddeItem>
      <ddeItem name="PEFB1.223" advise="1">
        <values>
          <value t="str">
            <val>-</val>
          </value>
        </values>
      </ddeItem>
      <ddeItem name="PEFB1.224" advise="1">
        <values>
          <value t="str">
            <val>-</val>
          </value>
        </values>
      </ddeItem>
      <ddeItem name="PEFB1.225" advise="1">
        <values>
          <value t="str">
            <val>-</val>
          </value>
        </values>
      </ddeItem>
      <ddeItem name="PEFB1.231" advise="1">
        <values>
          <value t="str">
            <val>-</val>
          </value>
        </values>
      </ddeItem>
      <ddeItem name="PEFB1.232" advise="1">
        <values>
          <value t="str">
            <val>-</val>
          </value>
        </values>
      </ddeItem>
      <ddeItem name="PEFB1.233" advise="1">
        <values>
          <value t="str">
            <val>-</val>
          </value>
        </values>
      </ddeItem>
      <ddeItem name="PEFB1.234" advise="1">
        <values>
          <value t="str">
            <val>-</val>
          </value>
        </values>
      </ddeItem>
      <ddeItem name="PEFB1.235" advise="1">
        <values>
          <value t="str">
            <val>-</val>
          </value>
        </values>
      </ddeItem>
      <ddeItem name="PEFB1.402" advise="1">
        <values>
          <value t="str">
            <val>不含金電</val>
          </value>
        </values>
      </ddeItem>
      <ddeItem name="PEFB1.406" advise="1">
        <values>
          <value t="str">
            <val xml:space="preserve"> -</val>
          </value>
        </values>
      </ddeItem>
      <ddeItem name="PEFB1.407" advise="1">
        <values>
          <value t="str">
            <val xml:space="preserve"> -</val>
          </value>
        </values>
      </ddeItem>
      <ddeItem name="PEFB1.431" advise="1">
        <values>
          <value t="str">
            <val>-</val>
          </value>
        </values>
      </ddeItem>
      <ddeItem name="PEFB1.437" advise="1">
        <values>
          <value t="str">
            <val xml:space="preserve"> -</val>
          </value>
        </values>
      </ddeItem>
      <ddeItem name="PFFB1.123" advise="1">
        <values>
          <value>
            <val>0</val>
          </value>
        </values>
      </ddeItem>
      <ddeItem name="PFFB1.124" advise="1">
        <values>
          <value>
            <val>20878632</val>
          </value>
        </values>
      </ddeItem>
      <ddeItem name="PFFB1.125" advise="1">
        <values>
          <value t="str">
            <val xml:space="preserve"> </val>
          </value>
        </values>
      </ddeItem>
      <ddeItem name="PFFB1.128" advise="1">
        <values>
          <value>
            <val>1212870150</val>
          </value>
        </values>
      </ddeItem>
      <ddeItem name="PFFB1.130" advise="1">
        <values>
          <value>
            <val>20803788</val>
          </value>
        </values>
      </ddeItem>
      <ddeItem name="PFFB1.131" advise="1">
        <values>
          <value>
            <val>20804690</val>
          </value>
        </values>
      </ddeItem>
      <ddeItem name="PFFB1.132" advise="1">
        <values>
          <value>
            <val>10989732</val>
          </value>
        </values>
      </ddeItem>
      <ddeItem name="PFFB1.133" advise="1">
        <values>
          <value>
            <val>2088371110</val>
          </value>
        </values>
      </ddeItem>
      <ddeItem name="PFFB1.135" advise="1">
        <values>
          <value t="str">
            <val xml:space="preserve"> -</val>
          </value>
        </values>
      </ddeItem>
      <ddeItem name="PFFB1.136" advise="1">
        <values>
          <value t="str">
            <val xml:space="preserve"> -</val>
          </value>
        </values>
      </ddeItem>
      <ddeItem name="PFFB1.201" advise="1">
        <values>
          <value t="str">
            <val xml:space="preserve"> -</val>
          </value>
        </values>
      </ddeItem>
      <ddeItem name="PFFB1.202" advise="1">
        <values>
          <value t="str">
            <val xml:space="preserve"> -</val>
          </value>
        </values>
      </ddeItem>
      <ddeItem name="PFFB1.203" advise="1">
        <values>
          <value t="str">
            <val xml:space="preserve"> -</val>
          </value>
        </values>
      </ddeItem>
      <ddeItem name="PFFB1.204" advise="1">
        <values>
          <value t="str">
            <val xml:space="preserve"> -</val>
          </value>
        </values>
      </ddeItem>
      <ddeItem name="PFFB1.205" advise="1">
        <values>
          <value t="str">
            <val xml:space="preserve"> -</val>
          </value>
        </values>
      </ddeItem>
      <ddeItem name="PFFB1.211" advise="1">
        <values>
          <value t="str">
            <val xml:space="preserve"> -</val>
          </value>
        </values>
      </ddeItem>
      <ddeItem name="PFFB1.212" advise="1">
        <values>
          <value t="str">
            <val xml:space="preserve"> -</val>
          </value>
        </values>
      </ddeItem>
      <ddeItem name="PFFB1.213" advise="1">
        <values>
          <value t="str">
            <val xml:space="preserve"> -</val>
          </value>
        </values>
      </ddeItem>
      <ddeItem name="PFFB1.214" advise="1">
        <values>
          <value t="str">
            <val xml:space="preserve"> -</val>
          </value>
        </values>
      </ddeItem>
      <ddeItem name="PFFB1.215" advise="1">
        <values>
          <value t="str">
            <val xml:space="preserve"> -</val>
          </value>
        </values>
      </ddeItem>
      <ddeItem name="PFFB1.221" advise="1">
        <values>
          <value t="str">
            <val>-</val>
          </value>
        </values>
      </ddeItem>
      <ddeItem name="PFFB1.222" advise="1">
        <values>
          <value t="str">
            <val>-</val>
          </value>
        </values>
      </ddeItem>
      <ddeItem name="PFFB1.223" advise="1">
        <values>
          <value t="str">
            <val>-</val>
          </value>
        </values>
      </ddeItem>
      <ddeItem name="PFFB1.224" advise="1">
        <values>
          <value t="str">
            <val>-</val>
          </value>
        </values>
      </ddeItem>
      <ddeItem name="PFFB1.225" advise="1">
        <values>
          <value t="str">
            <val>-</val>
          </value>
        </values>
      </ddeItem>
      <ddeItem name="PFFB1.231" advise="1">
        <values>
          <value t="str">
            <val>-</val>
          </value>
        </values>
      </ddeItem>
      <ddeItem name="PFFB1.232" advise="1">
        <values>
          <value t="str">
            <val>-</val>
          </value>
        </values>
      </ddeItem>
      <ddeItem name="PFFB1.233" advise="1">
        <values>
          <value t="str">
            <val>-</val>
          </value>
        </values>
      </ddeItem>
      <ddeItem name="PFFB1.234" advise="1">
        <values>
          <value t="str">
            <val>-</val>
          </value>
        </values>
      </ddeItem>
      <ddeItem name="PFFB1.235" advise="1">
        <values>
          <value t="str">
            <val>-</val>
          </value>
        </values>
      </ddeItem>
      <ddeItem name="PFFB1.402" advise="1"/>
      <ddeItem name="PFFB1.406" advise="1">
        <values>
          <value t="str">
            <val xml:space="preserve"> -</val>
          </value>
        </values>
      </ddeItem>
      <ddeItem name="PFFB1.407" advise="1">
        <values>
          <value t="str">
            <val xml:space="preserve"> -</val>
          </value>
        </values>
      </ddeItem>
      <ddeItem name="PFFB1.431" advise="1">
        <values>
          <value t="str">
            <val>-</val>
          </value>
        </values>
      </ddeItem>
      <ddeItem name="PFFB1.437" advise="1">
        <values>
          <value t="str">
            <val xml:space="preserve"> -</val>
          </value>
        </values>
      </ddeItem>
      <ddeItem name="PGFB1.123" advise="1">
        <values>
          <value>
            <val>100140</val>
          </value>
        </values>
      </ddeItem>
      <ddeItem name="PGFB1.124" advise="1">
        <values>
          <value>
            <val>16428.68</val>
          </value>
        </values>
      </ddeItem>
      <ddeItem name="PGFB1.125" advise="1">
        <values>
          <value>
            <val>-14.72</val>
          </value>
        </values>
      </ddeItem>
      <ddeItem name="PGFB1.128" advise="1">
        <values>
          <value>
            <val>2686</val>
          </value>
        </values>
      </ddeItem>
      <ddeItem name="PGFB1.130" advise="1">
        <values>
          <value>
            <val>16329.54</val>
          </value>
        </values>
      </ddeItem>
      <ddeItem name="PGFB1.131" advise="1">
        <values>
          <value>
            <val>16456.939999999999</val>
          </value>
        </values>
      </ddeItem>
      <ddeItem name="PGFB1.132" advise="1">
        <values>
          <value>
            <val>16329.54</val>
          </value>
        </values>
      </ddeItem>
      <ddeItem name="PGFB1.133" advise="1">
        <values>
          <value>
            <val>4022793</val>
          </value>
        </values>
      </ddeItem>
      <ddeItem name="PGFB1.135" advise="1">
        <values>
          <value t="str">
            <val xml:space="preserve"> -</val>
          </value>
        </values>
      </ddeItem>
      <ddeItem name="PGFB1.136" advise="1">
        <values>
          <value t="str">
            <val xml:space="preserve"> -</val>
          </value>
        </values>
      </ddeItem>
      <ddeItem name="PGFB1.201" advise="1">
        <values>
          <value t="str">
            <val xml:space="preserve"> -</val>
          </value>
        </values>
      </ddeItem>
      <ddeItem name="PGFB1.202" advise="1">
        <values>
          <value t="str">
            <val xml:space="preserve"> -</val>
          </value>
        </values>
      </ddeItem>
      <ddeItem name="PGFB1.203" advise="1">
        <values>
          <value t="str">
            <val xml:space="preserve"> -</val>
          </value>
        </values>
      </ddeItem>
      <ddeItem name="PGFB1.204" advise="1">
        <values>
          <value t="str">
            <val xml:space="preserve"> -</val>
          </value>
        </values>
      </ddeItem>
      <ddeItem name="PGFB1.205" advise="1">
        <values>
          <value t="str">
            <val xml:space="preserve"> -</val>
          </value>
        </values>
      </ddeItem>
      <ddeItem name="PGFB1.211" advise="1">
        <values>
          <value t="str">
            <val xml:space="preserve"> -</val>
          </value>
        </values>
      </ddeItem>
      <ddeItem name="PGFB1.212" advise="1">
        <values>
          <value t="str">
            <val xml:space="preserve"> -</val>
          </value>
        </values>
      </ddeItem>
      <ddeItem name="PGFB1.213" advise="1">
        <values>
          <value t="str">
            <val xml:space="preserve"> -</val>
          </value>
        </values>
      </ddeItem>
      <ddeItem name="PGFB1.214" advise="1">
        <values>
          <value t="str">
            <val xml:space="preserve"> -</val>
          </value>
        </values>
      </ddeItem>
      <ddeItem name="PGFB1.215" advise="1">
        <values>
          <value t="str">
            <val xml:space="preserve"> -</val>
          </value>
        </values>
      </ddeItem>
      <ddeItem name="PGFB1.221" advise="1">
        <values>
          <value t="str">
            <val>-</val>
          </value>
        </values>
      </ddeItem>
      <ddeItem name="PGFB1.222" advise="1">
        <values>
          <value t="str">
            <val>-</val>
          </value>
        </values>
      </ddeItem>
      <ddeItem name="PGFB1.223" advise="1">
        <values>
          <value t="str">
            <val>-</val>
          </value>
        </values>
      </ddeItem>
      <ddeItem name="PGFB1.224" advise="1">
        <values>
          <value t="str">
            <val>-</val>
          </value>
        </values>
      </ddeItem>
      <ddeItem name="PGFB1.225" advise="1">
        <values>
          <value t="str">
            <val>-</val>
          </value>
        </values>
      </ddeItem>
      <ddeItem name="PGFB1.231" advise="1">
        <values>
          <value t="str">
            <val>-</val>
          </value>
        </values>
      </ddeItem>
      <ddeItem name="PGFB1.232" advise="1">
        <values>
          <value t="str">
            <val>-</val>
          </value>
        </values>
      </ddeItem>
      <ddeItem name="PGFB1.233" advise="1">
        <values>
          <value t="str">
            <val>-</val>
          </value>
        </values>
      </ddeItem>
      <ddeItem name="PGFB1.234" advise="1">
        <values>
          <value t="str">
            <val>-</val>
          </value>
        </values>
      </ddeItem>
      <ddeItem name="PGFB1.235" advise="1">
        <values>
          <value t="str">
            <val>-</val>
          </value>
        </values>
      </ddeItem>
      <ddeItem name="PGFB1.402" advise="1">
        <values>
          <value t="str">
            <val>加權指數</val>
          </value>
        </values>
      </ddeItem>
      <ddeItem name="PGFB1.406" advise="1">
        <values>
          <value t="str">
            <val xml:space="preserve"> -</val>
          </value>
        </values>
      </ddeItem>
      <ddeItem name="PGFB1.407" advise="1">
        <values>
          <value t="str">
            <val xml:space="preserve"> -</val>
          </value>
        </values>
      </ddeItem>
      <ddeItem name="PGFB1.431" advise="1">
        <values>
          <value t="str">
            <val>-</val>
          </value>
        </values>
      </ddeItem>
      <ddeItem name="PGFB1.437" advise="1">
        <values>
          <value t="str">
            <val xml:space="preserve"> -</val>
          </value>
        </values>
      </ddeItem>
      <ddeItem name="PHFB1.123" advise="1">
        <values>
          <value>
            <val>0</val>
          </value>
        </values>
      </ddeItem>
      <ddeItem name="PHFB1.124" advise="1">
        <values>
          <value>
            <val>20878632</val>
          </value>
        </values>
      </ddeItem>
      <ddeItem name="PHFB1.125" advise="1">
        <values>
          <value t="str">
            <val xml:space="preserve"> </val>
          </value>
        </values>
      </ddeItem>
      <ddeItem name="PHFB1.128" advise="1">
        <values>
          <value>
            <val>1212870150</val>
          </value>
        </values>
      </ddeItem>
      <ddeItem name="PHFB1.130" advise="1">
        <values>
          <value>
            <val>20803788</val>
          </value>
        </values>
      </ddeItem>
      <ddeItem name="PHFB1.131" advise="1">
        <values>
          <value>
            <val>20804690</val>
          </value>
        </values>
      </ddeItem>
      <ddeItem name="PHFB1.132" advise="1">
        <values>
          <value>
            <val>10989732</val>
          </value>
        </values>
      </ddeItem>
      <ddeItem name="PHFB1.133" advise="1">
        <values>
          <value>
            <val>2088371110</val>
          </value>
        </values>
      </ddeItem>
      <ddeItem name="PHFB1.135" advise="1">
        <values>
          <value t="str">
            <val xml:space="preserve"> -</val>
          </value>
        </values>
      </ddeItem>
      <ddeItem name="PHFB1.136" advise="1">
        <values>
          <value t="str">
            <val xml:space="preserve"> -</val>
          </value>
        </values>
      </ddeItem>
      <ddeItem name="PHFB1.201" advise="1">
        <values>
          <value t="str">
            <val xml:space="preserve"> -</val>
          </value>
        </values>
      </ddeItem>
      <ddeItem name="PHFB1.202" advise="1">
        <values>
          <value t="str">
            <val xml:space="preserve"> -</val>
          </value>
        </values>
      </ddeItem>
      <ddeItem name="PHFB1.203" advise="1">
        <values>
          <value t="str">
            <val xml:space="preserve"> -</val>
          </value>
        </values>
      </ddeItem>
      <ddeItem name="PHFB1.204" advise="1">
        <values>
          <value t="str">
            <val xml:space="preserve"> -</val>
          </value>
        </values>
      </ddeItem>
      <ddeItem name="PHFB1.205" advise="1">
        <values>
          <value t="str">
            <val xml:space="preserve"> -</val>
          </value>
        </values>
      </ddeItem>
      <ddeItem name="PHFB1.211" advise="1">
        <values>
          <value t="str">
            <val xml:space="preserve"> -</val>
          </value>
        </values>
      </ddeItem>
      <ddeItem name="PHFB1.212" advise="1">
        <values>
          <value t="str">
            <val xml:space="preserve"> -</val>
          </value>
        </values>
      </ddeItem>
      <ddeItem name="PHFB1.213" advise="1">
        <values>
          <value t="str">
            <val xml:space="preserve"> -</val>
          </value>
        </values>
      </ddeItem>
      <ddeItem name="PHFB1.214" advise="1">
        <values>
          <value t="str">
            <val xml:space="preserve"> -</val>
          </value>
        </values>
      </ddeItem>
      <ddeItem name="PHFB1.215" advise="1">
        <values>
          <value t="str">
            <val xml:space="preserve"> -</val>
          </value>
        </values>
      </ddeItem>
      <ddeItem name="PHFB1.221" advise="1">
        <values>
          <value t="str">
            <val>-</val>
          </value>
        </values>
      </ddeItem>
      <ddeItem name="PHFB1.222" advise="1">
        <values>
          <value t="str">
            <val>-</val>
          </value>
        </values>
      </ddeItem>
      <ddeItem name="PHFB1.223" advise="1">
        <values>
          <value t="str">
            <val>-</val>
          </value>
        </values>
      </ddeItem>
      <ddeItem name="PHFB1.224" advise="1">
        <values>
          <value t="str">
            <val>-</val>
          </value>
        </values>
      </ddeItem>
      <ddeItem name="PHFB1.225" advise="1">
        <values>
          <value t="str">
            <val>-</val>
          </value>
        </values>
      </ddeItem>
      <ddeItem name="PHFB1.231" advise="1">
        <values>
          <value t="str">
            <val>-</val>
          </value>
        </values>
      </ddeItem>
      <ddeItem name="PHFB1.232" advise="1">
        <values>
          <value t="str">
            <val>-</val>
          </value>
        </values>
      </ddeItem>
      <ddeItem name="PHFB1.233" advise="1">
        <values>
          <value t="str">
            <val>-</val>
          </value>
        </values>
      </ddeItem>
      <ddeItem name="PHFB1.234" advise="1">
        <values>
          <value t="str">
            <val>-</val>
          </value>
        </values>
      </ddeItem>
      <ddeItem name="PHFB1.235" advise="1">
        <values>
          <value t="str">
            <val>-</val>
          </value>
        </values>
      </ddeItem>
      <ddeItem name="PHFB1.402" advise="1"/>
      <ddeItem name="PHFB1.406" advise="1">
        <values>
          <value t="str">
            <val xml:space="preserve"> -</val>
          </value>
        </values>
      </ddeItem>
      <ddeItem name="PHFB1.407" advise="1">
        <values>
          <value t="str">
            <val xml:space="preserve"> -</val>
          </value>
        </values>
      </ddeItem>
      <ddeItem name="PHFB1.431" advise="1">
        <values>
          <value t="str">
            <val>-</val>
          </value>
        </values>
      </ddeItem>
      <ddeItem name="PHFB1.437" advise="1">
        <values>
          <value t="str">
            <val xml:space="preserve"> -</val>
          </value>
        </values>
      </ddeItem>
      <ddeItem name="PIFB1.123" advise="1">
        <values>
          <value>
            <val>100140</val>
          </value>
        </values>
      </ddeItem>
      <ddeItem name="PIFB1.124" advise="1">
        <values>
          <value>
            <val>13893.18</val>
          </value>
        </values>
      </ddeItem>
      <ddeItem name="PIFB1.125" advise="1">
        <values>
          <value>
            <val>6.6</val>
          </value>
        </values>
      </ddeItem>
      <ddeItem name="PIFB1.128" advise="1">
        <values>
          <value>
            <val>720</val>
          </value>
        </values>
      </ddeItem>
      <ddeItem name="PIFB1.130" advise="1">
        <values>
          <value>
            <val>13893.03</val>
          </value>
        </values>
      </ddeItem>
      <ddeItem name="PIFB1.131" advise="1">
        <values>
          <value>
            <val>13945.78</val>
          </value>
        </values>
      </ddeItem>
      <ddeItem name="PIFB1.132" advise="1">
        <values>
          <value>
            <val>13875.82</val>
          </value>
        </values>
      </ddeItem>
      <ddeItem name="PIFB1.133" advise="1">
        <values>
          <value>
            <val>872505</val>
          </value>
        </values>
      </ddeItem>
      <ddeItem name="PIFB1.135" advise="1">
        <values>
          <value t="str">
            <val xml:space="preserve"> -</val>
          </value>
        </values>
      </ddeItem>
      <ddeItem name="PIFB1.136" advise="1">
        <values>
          <value t="str">
            <val xml:space="preserve"> -</val>
          </value>
        </values>
      </ddeItem>
      <ddeItem name="PIFB1.201" advise="1">
        <values>
          <value t="str">
            <val xml:space="preserve"> -</val>
          </value>
        </values>
      </ddeItem>
      <ddeItem name="PIFB1.202" advise="1">
        <values>
          <value t="str">
            <val xml:space="preserve"> -</val>
          </value>
        </values>
      </ddeItem>
      <ddeItem name="PIFB1.203" advise="1">
        <values>
          <value t="str">
            <val xml:space="preserve"> -</val>
          </value>
        </values>
      </ddeItem>
      <ddeItem name="PIFB1.204" advise="1">
        <values>
          <value t="str">
            <val xml:space="preserve"> -</val>
          </value>
        </values>
      </ddeItem>
      <ddeItem name="PIFB1.205" advise="1">
        <values>
          <value t="str">
            <val xml:space="preserve"> -</val>
          </value>
        </values>
      </ddeItem>
      <ddeItem name="PIFB1.211" advise="1">
        <values>
          <value t="str">
            <val xml:space="preserve"> -</val>
          </value>
        </values>
      </ddeItem>
      <ddeItem name="PIFB1.212" advise="1">
        <values>
          <value t="str">
            <val xml:space="preserve"> -</val>
          </value>
        </values>
      </ddeItem>
      <ddeItem name="PIFB1.213" advise="1">
        <values>
          <value t="str">
            <val xml:space="preserve"> -</val>
          </value>
        </values>
      </ddeItem>
      <ddeItem name="PIFB1.214" advise="1">
        <values>
          <value t="str">
            <val xml:space="preserve"> -</val>
          </value>
        </values>
      </ddeItem>
      <ddeItem name="PIFB1.215" advise="1">
        <values>
          <value t="str">
            <val xml:space="preserve"> -</val>
          </value>
        </values>
      </ddeItem>
      <ddeItem name="PIFB1.221" advise="1">
        <values>
          <value t="str">
            <val>-</val>
          </value>
        </values>
      </ddeItem>
      <ddeItem name="PIFB1.222" advise="1">
        <values>
          <value t="str">
            <val>-</val>
          </value>
        </values>
      </ddeItem>
      <ddeItem name="PIFB1.223" advise="1">
        <values>
          <value t="str">
            <val>-</val>
          </value>
        </values>
      </ddeItem>
      <ddeItem name="PIFB1.224" advise="1">
        <values>
          <value t="str">
            <val>-</val>
          </value>
        </values>
      </ddeItem>
      <ddeItem name="PIFB1.225" advise="1">
        <values>
          <value t="str">
            <val>-</val>
          </value>
        </values>
      </ddeItem>
      <ddeItem name="PIFB1.231" advise="1">
        <values>
          <value t="str">
            <val>-</val>
          </value>
        </values>
      </ddeItem>
      <ddeItem name="PIFB1.232" advise="1">
        <values>
          <value t="str">
            <val>-</val>
          </value>
        </values>
      </ddeItem>
      <ddeItem name="PIFB1.233" advise="1">
        <values>
          <value t="str">
            <val>-</val>
          </value>
        </values>
      </ddeItem>
      <ddeItem name="PIFB1.234" advise="1">
        <values>
          <value t="str">
            <val>-</val>
          </value>
        </values>
      </ddeItem>
      <ddeItem name="PIFB1.235" advise="1">
        <values>
          <value t="str">
            <val>-</val>
          </value>
        </values>
      </ddeItem>
      <ddeItem name="PIFB1.402" advise="1">
        <values>
          <value t="str">
            <val>不含金電</val>
          </value>
        </values>
      </ddeItem>
      <ddeItem name="PIFB1.406" advise="1">
        <values>
          <value t="str">
            <val xml:space="preserve"> -</val>
          </value>
        </values>
      </ddeItem>
      <ddeItem name="PIFB1.407" advise="1">
        <values>
          <value t="str">
            <val xml:space="preserve"> -</val>
          </value>
        </values>
      </ddeItem>
      <ddeItem name="PIFB1.431" advise="1">
        <values>
          <value t="str">
            <val>-</val>
          </value>
        </values>
      </ddeItem>
      <ddeItem name="PIFB1.437" advise="1">
        <values>
          <value t="str">
            <val xml:space="preserve"> -</val>
          </value>
        </values>
      </ddeItem>
      <ddeItem name="PJFB1.123" advise="1">
        <values>
          <value>
            <val>100140</val>
          </value>
        </values>
      </ddeItem>
      <ddeItem name="PJFB1.124" advise="1">
        <values>
          <value>
            <val>16428.68</val>
          </value>
        </values>
      </ddeItem>
      <ddeItem name="PJFB1.125" advise="1">
        <values>
          <value>
            <val>-14.72</val>
          </value>
        </values>
      </ddeItem>
      <ddeItem name="PJFB1.128" advise="1">
        <values>
          <value>
            <val>2686</val>
          </value>
        </values>
      </ddeItem>
      <ddeItem name="PJFB1.130" advise="1">
        <values>
          <value>
            <val>16329.54</val>
          </value>
        </values>
      </ddeItem>
      <ddeItem name="PJFB1.131" advise="1">
        <values>
          <value>
            <val>16456.939999999999</val>
          </value>
        </values>
      </ddeItem>
      <ddeItem name="PJFB1.132" advise="1">
        <values>
          <value>
            <val>16329.54</val>
          </value>
        </values>
      </ddeItem>
      <ddeItem name="PJFB1.133" advise="1">
        <values>
          <value>
            <val>4022793</val>
          </value>
        </values>
      </ddeItem>
      <ddeItem name="PJFB1.135" advise="1">
        <values>
          <value t="str">
            <val xml:space="preserve"> -</val>
          </value>
        </values>
      </ddeItem>
      <ddeItem name="PJFB1.136" advise="1">
        <values>
          <value t="str">
            <val xml:space="preserve"> -</val>
          </value>
        </values>
      </ddeItem>
      <ddeItem name="PJFB1.201" advise="1">
        <values>
          <value t="str">
            <val xml:space="preserve"> -</val>
          </value>
        </values>
      </ddeItem>
      <ddeItem name="PJFB1.202" advise="1">
        <values>
          <value t="str">
            <val xml:space="preserve"> -</val>
          </value>
        </values>
      </ddeItem>
      <ddeItem name="PJFB1.203" advise="1">
        <values>
          <value t="str">
            <val xml:space="preserve"> -</val>
          </value>
        </values>
      </ddeItem>
      <ddeItem name="PJFB1.204" advise="1">
        <values>
          <value t="str">
            <val xml:space="preserve"> -</val>
          </value>
        </values>
      </ddeItem>
      <ddeItem name="PJFB1.205" advise="1">
        <values>
          <value t="str">
            <val xml:space="preserve"> -</val>
          </value>
        </values>
      </ddeItem>
      <ddeItem name="PJFB1.211" advise="1">
        <values>
          <value t="str">
            <val xml:space="preserve"> -</val>
          </value>
        </values>
      </ddeItem>
      <ddeItem name="PJFB1.212" advise="1">
        <values>
          <value t="str">
            <val xml:space="preserve"> -</val>
          </value>
        </values>
      </ddeItem>
      <ddeItem name="PJFB1.213" advise="1">
        <values>
          <value t="str">
            <val xml:space="preserve"> -</val>
          </value>
        </values>
      </ddeItem>
      <ddeItem name="PJFB1.214" advise="1">
        <values>
          <value t="str">
            <val xml:space="preserve"> -</val>
          </value>
        </values>
      </ddeItem>
      <ddeItem name="PJFB1.215" advise="1">
        <values>
          <value t="str">
            <val xml:space="preserve"> -</val>
          </value>
        </values>
      </ddeItem>
      <ddeItem name="PJFB1.221" advise="1">
        <values>
          <value t="str">
            <val>-</val>
          </value>
        </values>
      </ddeItem>
      <ddeItem name="PJFB1.222" advise="1">
        <values>
          <value t="str">
            <val>-</val>
          </value>
        </values>
      </ddeItem>
      <ddeItem name="PJFB1.223" advise="1">
        <values>
          <value t="str">
            <val>-</val>
          </value>
        </values>
      </ddeItem>
      <ddeItem name="PJFB1.224" advise="1">
        <values>
          <value t="str">
            <val>-</val>
          </value>
        </values>
      </ddeItem>
      <ddeItem name="PJFB1.225" advise="1">
        <values>
          <value t="str">
            <val>-</val>
          </value>
        </values>
      </ddeItem>
      <ddeItem name="PJFB1.231" advise="1">
        <values>
          <value t="str">
            <val>-</val>
          </value>
        </values>
      </ddeItem>
      <ddeItem name="PJFB1.232" advise="1">
        <values>
          <value t="str">
            <val>-</val>
          </value>
        </values>
      </ddeItem>
      <ddeItem name="PJFB1.233" advise="1">
        <values>
          <value t="str">
            <val>-</val>
          </value>
        </values>
      </ddeItem>
      <ddeItem name="PJFB1.234" advise="1">
        <values>
          <value t="str">
            <val>-</val>
          </value>
        </values>
      </ddeItem>
      <ddeItem name="PJFB1.235" advise="1">
        <values>
          <value t="str">
            <val>-</val>
          </value>
        </values>
      </ddeItem>
      <ddeItem name="PJFB1.402" advise="1">
        <values>
          <value t="str">
            <val>加權指數</val>
          </value>
        </values>
      </ddeItem>
      <ddeItem name="PJFB1.406" advise="1">
        <values>
          <value t="str">
            <val xml:space="preserve"> -</val>
          </value>
        </values>
      </ddeItem>
      <ddeItem name="PJFB1.407" advise="1">
        <values>
          <value t="str">
            <val xml:space="preserve"> -</val>
          </value>
        </values>
      </ddeItem>
      <ddeItem name="PJFB1.431" advise="1">
        <values>
          <value t="str">
            <val>-</val>
          </value>
        </values>
      </ddeItem>
      <ddeItem name="PJFB1.437" advise="1">
        <values>
          <value t="str">
            <val xml:space="preserve"> -</val>
          </value>
        </values>
      </ddeItem>
      <ddeItem name="PKFB1.123" advise="1">
        <values>
          <value>
            <val>100135</val>
          </value>
        </values>
      </ddeItem>
      <ddeItem name="PKFB1.124" advise="1">
        <values>
          <value>
            <val>16424.64</val>
          </value>
        </values>
      </ddeItem>
      <ddeItem name="PKFB1.125" advise="1">
        <values>
          <value>
            <val>-18.760000000000002</val>
          </value>
        </values>
      </ddeItem>
      <ddeItem name="PKFB1.128" advise="1">
        <values>
          <value>
            <val>1648</val>
          </value>
        </values>
      </ddeItem>
      <ddeItem name="PKFB1.130" advise="1">
        <values>
          <value>
            <val>16329.54</val>
          </value>
        </values>
      </ddeItem>
      <ddeItem name="PKFB1.131" advise="1">
        <values>
          <value>
            <val>16456.939999999999</val>
          </value>
        </values>
      </ddeItem>
      <ddeItem name="PKFB1.132" advise="1">
        <values>
          <value>
            <val>16329.54</val>
          </value>
        </values>
      </ddeItem>
      <ddeItem name="PKFB1.133" advise="1">
        <values>
          <value>
            <val>4020107</val>
          </value>
        </values>
      </ddeItem>
      <ddeItem name="PKFB1.135" advise="1">
        <values>
          <value t="str">
            <val xml:space="preserve"> -</val>
          </value>
        </values>
      </ddeItem>
      <ddeItem name="PKFB1.136" advise="1">
        <values>
          <value t="str">
            <val xml:space="preserve"> -</val>
          </value>
        </values>
      </ddeItem>
      <ddeItem name="PKFB1.201" advise="1">
        <values>
          <value t="str">
            <val xml:space="preserve"> -</val>
          </value>
        </values>
      </ddeItem>
      <ddeItem name="PKFB1.202" advise="1">
        <values>
          <value t="str">
            <val xml:space="preserve"> -</val>
          </value>
        </values>
      </ddeItem>
      <ddeItem name="PKFB1.203" advise="1">
        <values>
          <value t="str">
            <val xml:space="preserve"> -</val>
          </value>
        </values>
      </ddeItem>
      <ddeItem name="PKFB1.204" advise="1">
        <values>
          <value t="str">
            <val xml:space="preserve"> -</val>
          </value>
        </values>
      </ddeItem>
      <ddeItem name="PKFB1.205" advise="1">
        <values>
          <value t="str">
            <val xml:space="preserve"> -</val>
          </value>
        </values>
      </ddeItem>
      <ddeItem name="PKFB1.211" advise="1">
        <values>
          <value t="str">
            <val xml:space="preserve"> -</val>
          </value>
        </values>
      </ddeItem>
      <ddeItem name="PKFB1.212" advise="1">
        <values>
          <value t="str">
            <val xml:space="preserve"> -</val>
          </value>
        </values>
      </ddeItem>
      <ddeItem name="PKFB1.213" advise="1">
        <values>
          <value t="str">
            <val xml:space="preserve"> -</val>
          </value>
        </values>
      </ddeItem>
      <ddeItem name="PKFB1.214" advise="1">
        <values>
          <value t="str">
            <val xml:space="preserve"> -</val>
          </value>
        </values>
      </ddeItem>
      <ddeItem name="PKFB1.215" advise="1">
        <values>
          <value t="str">
            <val xml:space="preserve"> -</val>
          </value>
        </values>
      </ddeItem>
      <ddeItem name="PKFB1.221" advise="1">
        <values>
          <value t="str">
            <val>-</val>
          </value>
        </values>
      </ddeItem>
      <ddeItem name="PKFB1.222" advise="1">
        <values>
          <value t="str">
            <val>-</val>
          </value>
        </values>
      </ddeItem>
      <ddeItem name="PKFB1.223" advise="1">
        <values>
          <value t="str">
            <val>-</val>
          </value>
        </values>
      </ddeItem>
      <ddeItem name="PKFB1.224" advise="1">
        <values>
          <value t="str">
            <val>-</val>
          </value>
        </values>
      </ddeItem>
      <ddeItem name="PKFB1.225" advise="1">
        <values>
          <value t="str">
            <val>-</val>
          </value>
        </values>
      </ddeItem>
      <ddeItem name="PKFB1.231" advise="1">
        <values>
          <value t="str">
            <val>-</val>
          </value>
        </values>
      </ddeItem>
      <ddeItem name="PKFB1.232" advise="1">
        <values>
          <value t="str">
            <val>-</val>
          </value>
        </values>
      </ddeItem>
      <ddeItem name="PKFB1.233" advise="1">
        <values>
          <value t="str">
            <val>-</val>
          </value>
        </values>
      </ddeItem>
      <ddeItem name="PKFB1.234" advise="1">
        <values>
          <value t="str">
            <val>-</val>
          </value>
        </values>
      </ddeItem>
      <ddeItem name="PKFB1.235" advise="1">
        <values>
          <value t="str">
            <val>-</val>
          </value>
        </values>
      </ddeItem>
      <ddeItem name="PKFB1.402" advise="1">
        <values>
          <value t="str">
            <val>加權指數</val>
          </value>
        </values>
      </ddeItem>
      <ddeItem name="PKFB1.406" advise="1">
        <values>
          <value t="str">
            <val xml:space="preserve"> -</val>
          </value>
        </values>
      </ddeItem>
      <ddeItem name="PKFB1.407" advise="1">
        <values>
          <value t="str">
            <val xml:space="preserve"> -</val>
          </value>
        </values>
      </ddeItem>
      <ddeItem name="PKFB1.431" advise="1">
        <values>
          <value t="str">
            <val>-</val>
          </value>
        </values>
      </ddeItem>
      <ddeItem name="PKFB1.437" advise="1">
        <values>
          <value t="str">
            <val xml:space="preserve"> -</val>
          </value>
        </values>
      </ddeItem>
      <ddeItem name="PLFB1.123" advise="1">
        <values>
          <value>
            <val>100135</val>
          </value>
        </values>
      </ddeItem>
      <ddeItem name="PLFB1.124" advise="1">
        <values>
          <value>
            <val>16424.64</val>
          </value>
        </values>
      </ddeItem>
      <ddeItem name="PLFB1.125" advise="1">
        <values>
          <value>
            <val>-18.760000000000002</val>
          </value>
        </values>
      </ddeItem>
      <ddeItem name="PLFB1.128" advise="1">
        <values>
          <value>
            <val>1648</val>
          </value>
        </values>
      </ddeItem>
      <ddeItem name="PLFB1.130" advise="1">
        <values>
          <value>
            <val>16329.54</val>
          </value>
        </values>
      </ddeItem>
      <ddeItem name="PLFB1.131" advise="1">
        <values>
          <value>
            <val>16456.939999999999</val>
          </value>
        </values>
      </ddeItem>
      <ddeItem name="PLFB1.132" advise="1">
        <values>
          <value>
            <val>16329.54</val>
          </value>
        </values>
      </ddeItem>
      <ddeItem name="PLFB1.133" advise="1">
        <values>
          <value>
            <val>4020107</val>
          </value>
        </values>
      </ddeItem>
      <ddeItem name="PLFB1.135" advise="1">
        <values>
          <value t="str">
            <val xml:space="preserve"> -</val>
          </value>
        </values>
      </ddeItem>
      <ddeItem name="PLFB1.136" advise="1">
        <values>
          <value t="str">
            <val xml:space="preserve"> -</val>
          </value>
        </values>
      </ddeItem>
      <ddeItem name="PLFB1.201" advise="1">
        <values>
          <value t="str">
            <val xml:space="preserve"> -</val>
          </value>
        </values>
      </ddeItem>
      <ddeItem name="PLFB1.202" advise="1">
        <values>
          <value t="str">
            <val xml:space="preserve"> -</val>
          </value>
        </values>
      </ddeItem>
      <ddeItem name="PLFB1.203" advise="1">
        <values>
          <value t="str">
            <val xml:space="preserve"> -</val>
          </value>
        </values>
      </ddeItem>
      <ddeItem name="PLFB1.204" advise="1">
        <values>
          <value t="str">
            <val xml:space="preserve"> -</val>
          </value>
        </values>
      </ddeItem>
      <ddeItem name="PLFB1.205" advise="1">
        <values>
          <value t="str">
            <val xml:space="preserve"> -</val>
          </value>
        </values>
      </ddeItem>
      <ddeItem name="PLFB1.211" advise="1">
        <values>
          <value t="str">
            <val xml:space="preserve"> -</val>
          </value>
        </values>
      </ddeItem>
      <ddeItem name="PLFB1.212" advise="1">
        <values>
          <value t="str">
            <val xml:space="preserve"> -</val>
          </value>
        </values>
      </ddeItem>
      <ddeItem name="PLFB1.213" advise="1">
        <values>
          <value t="str">
            <val xml:space="preserve"> -</val>
          </value>
        </values>
      </ddeItem>
      <ddeItem name="PLFB1.214" advise="1">
        <values>
          <value t="str">
            <val xml:space="preserve"> -</val>
          </value>
        </values>
      </ddeItem>
      <ddeItem name="PLFB1.215" advise="1">
        <values>
          <value t="str">
            <val xml:space="preserve"> -</val>
          </value>
        </values>
      </ddeItem>
      <ddeItem name="PLFB1.221" advise="1">
        <values>
          <value t="str">
            <val>-</val>
          </value>
        </values>
      </ddeItem>
      <ddeItem name="PLFB1.222" advise="1">
        <values>
          <value t="str">
            <val>-</val>
          </value>
        </values>
      </ddeItem>
      <ddeItem name="PLFB1.223" advise="1">
        <values>
          <value t="str">
            <val>-</val>
          </value>
        </values>
      </ddeItem>
      <ddeItem name="PLFB1.224" advise="1">
        <values>
          <value t="str">
            <val>-</val>
          </value>
        </values>
      </ddeItem>
      <ddeItem name="PLFB1.225" advise="1">
        <values>
          <value t="str">
            <val>-</val>
          </value>
        </values>
      </ddeItem>
      <ddeItem name="PLFB1.231" advise="1">
        <values>
          <value t="str">
            <val>-</val>
          </value>
        </values>
      </ddeItem>
      <ddeItem name="PLFB1.232" advise="1">
        <values>
          <value t="str">
            <val>-</val>
          </value>
        </values>
      </ddeItem>
      <ddeItem name="PLFB1.233" advise="1">
        <values>
          <value t="str">
            <val>-</val>
          </value>
        </values>
      </ddeItem>
      <ddeItem name="PLFB1.234" advise="1">
        <values>
          <value t="str">
            <val>-</val>
          </value>
        </values>
      </ddeItem>
      <ddeItem name="PLFB1.235" advise="1">
        <values>
          <value t="str">
            <val>-</val>
          </value>
        </values>
      </ddeItem>
      <ddeItem name="PLFB1.402" advise="1">
        <values>
          <value t="str">
            <val>加權指數</val>
          </value>
        </values>
      </ddeItem>
      <ddeItem name="PLFB1.406" advise="1">
        <values>
          <value t="str">
            <val xml:space="preserve"> -</val>
          </value>
        </values>
      </ddeItem>
      <ddeItem name="PLFB1.407" advise="1">
        <values>
          <value t="str">
            <val xml:space="preserve"> -</val>
          </value>
        </values>
      </ddeItem>
      <ddeItem name="PLFB1.431" advise="1">
        <values>
          <value t="str">
            <val>-</val>
          </value>
        </values>
      </ddeItem>
      <ddeItem name="PLFB1.437" advise="1">
        <values>
          <value t="str">
            <val xml:space="preserve"> -</val>
          </value>
        </values>
      </ddeItem>
      <ddeItem name="PMFB1.123" advise="1">
        <values>
          <value>
            <val>100135</val>
          </value>
        </values>
      </ddeItem>
      <ddeItem name="PMFB1.124" advise="1">
        <values>
          <value>
            <val>16424.64</val>
          </value>
        </values>
      </ddeItem>
      <ddeItem name="PMFB1.125" advise="1">
        <values>
          <value>
            <val>-18.760000000000002</val>
          </value>
        </values>
      </ddeItem>
      <ddeItem name="PMFB1.128" advise="1">
        <values>
          <value>
            <val>1648</val>
          </value>
        </values>
      </ddeItem>
      <ddeItem name="PMFB1.130" advise="1">
        <values>
          <value>
            <val>16329.54</val>
          </value>
        </values>
      </ddeItem>
      <ddeItem name="PMFB1.131" advise="1">
        <values>
          <value>
            <val>16456.939999999999</val>
          </value>
        </values>
      </ddeItem>
      <ddeItem name="PMFB1.132" advise="1">
        <values>
          <value>
            <val>16329.54</val>
          </value>
        </values>
      </ddeItem>
      <ddeItem name="PMFB1.133" advise="1">
        <values>
          <value>
            <val>4020107</val>
          </value>
        </values>
      </ddeItem>
      <ddeItem name="PMFB1.135" advise="1">
        <values>
          <value t="str">
            <val xml:space="preserve"> -</val>
          </value>
        </values>
      </ddeItem>
      <ddeItem name="PMFB1.136" advise="1">
        <values>
          <value t="str">
            <val xml:space="preserve"> -</val>
          </value>
        </values>
      </ddeItem>
      <ddeItem name="PMFB1.201" advise="1">
        <values>
          <value t="str">
            <val xml:space="preserve"> -</val>
          </value>
        </values>
      </ddeItem>
      <ddeItem name="PMFB1.202" advise="1">
        <values>
          <value t="str">
            <val xml:space="preserve"> -</val>
          </value>
        </values>
      </ddeItem>
      <ddeItem name="PMFB1.203" advise="1">
        <values>
          <value t="str">
            <val xml:space="preserve"> -</val>
          </value>
        </values>
      </ddeItem>
      <ddeItem name="PMFB1.204" advise="1">
        <values>
          <value t="str">
            <val xml:space="preserve"> -</val>
          </value>
        </values>
      </ddeItem>
      <ddeItem name="PMFB1.205" advise="1">
        <values>
          <value t="str">
            <val xml:space="preserve"> -</val>
          </value>
        </values>
      </ddeItem>
      <ddeItem name="PMFB1.211" advise="1">
        <values>
          <value t="str">
            <val xml:space="preserve"> -</val>
          </value>
        </values>
      </ddeItem>
      <ddeItem name="PMFB1.212" advise="1">
        <values>
          <value t="str">
            <val xml:space="preserve"> -</val>
          </value>
        </values>
      </ddeItem>
      <ddeItem name="PMFB1.213" advise="1">
        <values>
          <value t="str">
            <val xml:space="preserve"> -</val>
          </value>
        </values>
      </ddeItem>
      <ddeItem name="PMFB1.214" advise="1">
        <values>
          <value t="str">
            <val xml:space="preserve"> -</val>
          </value>
        </values>
      </ddeItem>
      <ddeItem name="PMFB1.215" advise="1">
        <values>
          <value t="str">
            <val xml:space="preserve"> -</val>
          </value>
        </values>
      </ddeItem>
      <ddeItem name="PMFB1.221" advise="1">
        <values>
          <value t="str">
            <val>-</val>
          </value>
        </values>
      </ddeItem>
      <ddeItem name="PMFB1.222" advise="1">
        <values>
          <value t="str">
            <val>-</val>
          </value>
        </values>
      </ddeItem>
      <ddeItem name="PMFB1.223" advise="1">
        <values>
          <value t="str">
            <val>-</val>
          </value>
        </values>
      </ddeItem>
      <ddeItem name="PMFB1.224" advise="1">
        <values>
          <value t="str">
            <val>-</val>
          </value>
        </values>
      </ddeItem>
      <ddeItem name="PMFB1.225" advise="1">
        <values>
          <value t="str">
            <val>-</val>
          </value>
        </values>
      </ddeItem>
      <ddeItem name="PMFB1.231" advise="1">
        <values>
          <value t="str">
            <val>-</val>
          </value>
        </values>
      </ddeItem>
      <ddeItem name="PMFB1.232" advise="1">
        <values>
          <value t="str">
            <val>-</val>
          </value>
        </values>
      </ddeItem>
      <ddeItem name="PMFB1.233" advise="1">
        <values>
          <value t="str">
            <val>-</val>
          </value>
        </values>
      </ddeItem>
      <ddeItem name="PMFB1.234" advise="1">
        <values>
          <value t="str">
            <val>-</val>
          </value>
        </values>
      </ddeItem>
      <ddeItem name="PMFB1.235" advise="1">
        <values>
          <value t="str">
            <val>-</val>
          </value>
        </values>
      </ddeItem>
      <ddeItem name="PMFB1.402" advise="1">
        <values>
          <value t="str">
            <val>加權指數</val>
          </value>
        </values>
      </ddeItem>
      <ddeItem name="PMFB1.406" advise="1">
        <values>
          <value t="str">
            <val xml:space="preserve"> -</val>
          </value>
        </values>
      </ddeItem>
      <ddeItem name="PMFB1.407" advise="1">
        <values>
          <value t="str">
            <val xml:space="preserve"> -</val>
          </value>
        </values>
      </ddeItem>
      <ddeItem name="PMFB1.431" advise="1">
        <values>
          <value t="str">
            <val>-</val>
          </value>
        </values>
      </ddeItem>
      <ddeItem name="PMFB1.437" advise="1">
        <values>
          <value t="str">
            <val xml:space="preserve"> -</val>
          </value>
        </values>
      </ddeItem>
      <ddeItem name="PNFB1.123" advise="1">
        <values>
          <value>
            <val>100135</val>
          </value>
        </values>
      </ddeItem>
      <ddeItem name="PNFB1.124" advise="1">
        <values>
          <value>
            <val>16424.64</val>
          </value>
        </values>
      </ddeItem>
      <ddeItem name="PNFB1.125" advise="1">
        <values>
          <value>
            <val>-18.760000000000002</val>
          </value>
        </values>
      </ddeItem>
      <ddeItem name="PNFB1.128" advise="1">
        <values>
          <value>
            <val>1648</val>
          </value>
        </values>
      </ddeItem>
      <ddeItem name="PNFB1.130" advise="1">
        <values>
          <value>
            <val>16329.54</val>
          </value>
        </values>
      </ddeItem>
      <ddeItem name="PNFB1.131" advise="1">
        <values>
          <value>
            <val>16456.939999999999</val>
          </value>
        </values>
      </ddeItem>
      <ddeItem name="PNFB1.132" advise="1">
        <values>
          <value>
            <val>16329.54</val>
          </value>
        </values>
      </ddeItem>
      <ddeItem name="PNFB1.133" advise="1">
        <values>
          <value>
            <val>4020107</val>
          </value>
        </values>
      </ddeItem>
      <ddeItem name="PNFB1.135" advise="1">
        <values>
          <value t="str">
            <val xml:space="preserve"> -</val>
          </value>
        </values>
      </ddeItem>
      <ddeItem name="PNFB1.136" advise="1">
        <values>
          <value t="str">
            <val xml:space="preserve"> -</val>
          </value>
        </values>
      </ddeItem>
      <ddeItem name="PNFB1.201" advise="1">
        <values>
          <value t="str">
            <val xml:space="preserve"> -</val>
          </value>
        </values>
      </ddeItem>
      <ddeItem name="PNFB1.202" advise="1">
        <values>
          <value t="str">
            <val xml:space="preserve"> -</val>
          </value>
        </values>
      </ddeItem>
      <ddeItem name="PNFB1.203" advise="1">
        <values>
          <value t="str">
            <val xml:space="preserve"> -</val>
          </value>
        </values>
      </ddeItem>
      <ddeItem name="PNFB1.204" advise="1">
        <values>
          <value t="str">
            <val xml:space="preserve"> -</val>
          </value>
        </values>
      </ddeItem>
      <ddeItem name="PNFB1.205" advise="1">
        <values>
          <value t="str">
            <val xml:space="preserve"> -</val>
          </value>
        </values>
      </ddeItem>
      <ddeItem name="PNFB1.211" advise="1">
        <values>
          <value t="str">
            <val xml:space="preserve"> -</val>
          </value>
        </values>
      </ddeItem>
      <ddeItem name="PNFB1.212" advise="1">
        <values>
          <value t="str">
            <val xml:space="preserve"> -</val>
          </value>
        </values>
      </ddeItem>
      <ddeItem name="PNFB1.213" advise="1">
        <values>
          <value t="str">
            <val xml:space="preserve"> -</val>
          </value>
        </values>
      </ddeItem>
      <ddeItem name="PNFB1.214" advise="1">
        <values>
          <value t="str">
            <val xml:space="preserve"> -</val>
          </value>
        </values>
      </ddeItem>
      <ddeItem name="PNFB1.215" advise="1">
        <values>
          <value t="str">
            <val xml:space="preserve"> -</val>
          </value>
        </values>
      </ddeItem>
      <ddeItem name="PNFB1.221" advise="1">
        <values>
          <value t="str">
            <val>-</val>
          </value>
        </values>
      </ddeItem>
      <ddeItem name="PNFB1.222" advise="1">
        <values>
          <value t="str">
            <val>-</val>
          </value>
        </values>
      </ddeItem>
      <ddeItem name="PNFB1.223" advise="1">
        <values>
          <value t="str">
            <val>-</val>
          </value>
        </values>
      </ddeItem>
      <ddeItem name="PNFB1.224" advise="1">
        <values>
          <value t="str">
            <val>-</val>
          </value>
        </values>
      </ddeItem>
      <ddeItem name="PNFB1.225" advise="1">
        <values>
          <value t="str">
            <val>-</val>
          </value>
        </values>
      </ddeItem>
      <ddeItem name="PNFB1.231" advise="1">
        <values>
          <value t="str">
            <val>-</val>
          </value>
        </values>
      </ddeItem>
      <ddeItem name="PNFB1.232" advise="1">
        <values>
          <value t="str">
            <val>-</val>
          </value>
        </values>
      </ddeItem>
      <ddeItem name="PNFB1.233" advise="1">
        <values>
          <value t="str">
            <val>-</val>
          </value>
        </values>
      </ddeItem>
      <ddeItem name="PNFB1.234" advise="1">
        <values>
          <value t="str">
            <val>-</val>
          </value>
        </values>
      </ddeItem>
      <ddeItem name="PNFB1.235" advise="1">
        <values>
          <value t="str">
            <val>-</val>
          </value>
        </values>
      </ddeItem>
      <ddeItem name="PNFB1.402" advise="1">
        <values>
          <value t="str">
            <val>加權指數</val>
          </value>
        </values>
      </ddeItem>
      <ddeItem name="PNFB1.406" advise="1">
        <values>
          <value t="str">
            <val xml:space="preserve"> -</val>
          </value>
        </values>
      </ddeItem>
      <ddeItem name="PNFB1.407" advise="1">
        <values>
          <value t="str">
            <val xml:space="preserve"> -</val>
          </value>
        </values>
      </ddeItem>
      <ddeItem name="PNFB1.431" advise="1">
        <values>
          <value t="str">
            <val>-</val>
          </value>
        </values>
      </ddeItem>
      <ddeItem name="PNFB1.437" advise="1">
        <values>
          <value t="str">
            <val xml:space="preserve"> -</val>
          </value>
        </values>
      </ddeItem>
      <ddeItem name="POFB1.123" advise="1">
        <values>
          <value>
            <val>100135</val>
          </value>
        </values>
      </ddeItem>
      <ddeItem name="POFB1.124" advise="1">
        <values>
          <value>
            <val>16424.64</val>
          </value>
        </values>
      </ddeItem>
      <ddeItem name="POFB1.125" advise="1">
        <values>
          <value>
            <val>-18.760000000000002</val>
          </value>
        </values>
      </ddeItem>
      <ddeItem name="POFB1.128" advise="1">
        <values>
          <value>
            <val>1648</val>
          </value>
        </values>
      </ddeItem>
      <ddeItem name="POFB1.130" advise="1">
        <values>
          <value>
            <val>16329.54</val>
          </value>
        </values>
      </ddeItem>
      <ddeItem name="POFB1.131" advise="1">
        <values>
          <value>
            <val>16456.939999999999</val>
          </value>
        </values>
      </ddeItem>
      <ddeItem name="POFB1.132" advise="1">
        <values>
          <value>
            <val>16329.54</val>
          </value>
        </values>
      </ddeItem>
      <ddeItem name="POFB1.133" advise="1">
        <values>
          <value>
            <val>4020107</val>
          </value>
        </values>
      </ddeItem>
      <ddeItem name="POFB1.135" advise="1">
        <values>
          <value t="str">
            <val xml:space="preserve"> -</val>
          </value>
        </values>
      </ddeItem>
      <ddeItem name="POFB1.136" advise="1">
        <values>
          <value t="str">
            <val xml:space="preserve"> -</val>
          </value>
        </values>
      </ddeItem>
      <ddeItem name="POFB1.201" advise="1">
        <values>
          <value t="str">
            <val xml:space="preserve"> -</val>
          </value>
        </values>
      </ddeItem>
      <ddeItem name="POFB1.202" advise="1">
        <values>
          <value t="str">
            <val xml:space="preserve"> -</val>
          </value>
        </values>
      </ddeItem>
      <ddeItem name="POFB1.203" advise="1">
        <values>
          <value t="str">
            <val xml:space="preserve"> -</val>
          </value>
        </values>
      </ddeItem>
      <ddeItem name="POFB1.204" advise="1">
        <values>
          <value t="str">
            <val xml:space="preserve"> -</val>
          </value>
        </values>
      </ddeItem>
      <ddeItem name="POFB1.205" advise="1">
        <values>
          <value t="str">
            <val xml:space="preserve"> -</val>
          </value>
        </values>
      </ddeItem>
      <ddeItem name="POFB1.211" advise="1">
        <values>
          <value t="str">
            <val xml:space="preserve"> -</val>
          </value>
        </values>
      </ddeItem>
      <ddeItem name="POFB1.212" advise="1">
        <values>
          <value t="str">
            <val xml:space="preserve"> -</val>
          </value>
        </values>
      </ddeItem>
      <ddeItem name="POFB1.213" advise="1">
        <values>
          <value t="str">
            <val xml:space="preserve"> -</val>
          </value>
        </values>
      </ddeItem>
      <ddeItem name="POFB1.214" advise="1">
        <values>
          <value t="str">
            <val xml:space="preserve"> -</val>
          </value>
        </values>
      </ddeItem>
      <ddeItem name="POFB1.215" advise="1">
        <values>
          <value t="str">
            <val xml:space="preserve"> -</val>
          </value>
        </values>
      </ddeItem>
      <ddeItem name="POFB1.221" advise="1">
        <values>
          <value t="str">
            <val>-</val>
          </value>
        </values>
      </ddeItem>
      <ddeItem name="POFB1.222" advise="1">
        <values>
          <value t="str">
            <val>-</val>
          </value>
        </values>
      </ddeItem>
      <ddeItem name="POFB1.223" advise="1">
        <values>
          <value t="str">
            <val>-</val>
          </value>
        </values>
      </ddeItem>
      <ddeItem name="POFB1.224" advise="1">
        <values>
          <value t="str">
            <val>-</val>
          </value>
        </values>
      </ddeItem>
      <ddeItem name="POFB1.225" advise="1">
        <values>
          <value t="str">
            <val>-</val>
          </value>
        </values>
      </ddeItem>
      <ddeItem name="POFB1.231" advise="1">
        <values>
          <value t="str">
            <val>-</val>
          </value>
        </values>
      </ddeItem>
      <ddeItem name="POFB1.232" advise="1">
        <values>
          <value t="str">
            <val>-</val>
          </value>
        </values>
      </ddeItem>
      <ddeItem name="POFB1.233" advise="1">
        <values>
          <value t="str">
            <val>-</val>
          </value>
        </values>
      </ddeItem>
      <ddeItem name="POFB1.234" advise="1">
        <values>
          <value t="str">
            <val>-</val>
          </value>
        </values>
      </ddeItem>
      <ddeItem name="POFB1.235" advise="1">
        <values>
          <value t="str">
            <val>-</val>
          </value>
        </values>
      </ddeItem>
      <ddeItem name="POFB1.402" advise="1">
        <values>
          <value t="str">
            <val>加權指數</val>
          </value>
        </values>
      </ddeItem>
      <ddeItem name="POFB1.406" advise="1">
        <values>
          <value t="str">
            <val xml:space="preserve"> -</val>
          </value>
        </values>
      </ddeItem>
      <ddeItem name="POFB1.407" advise="1">
        <values>
          <value t="str">
            <val xml:space="preserve"> -</val>
          </value>
        </values>
      </ddeItem>
      <ddeItem name="POFB1.431" advise="1">
        <values>
          <value t="str">
            <val>-</val>
          </value>
        </values>
      </ddeItem>
      <ddeItem name="POFB1.437" advise="1">
        <values>
          <value t="str">
            <val xml:space="preserve"> -</val>
          </value>
        </values>
      </ddeItem>
      <ddeItem name="PPFB1.123" advise="1">
        <values>
          <value>
            <val>0</val>
          </value>
        </values>
      </ddeItem>
      <ddeItem name="PPFB1.124" advise="1">
        <values>
          <value>
            <val>20878632</val>
          </value>
        </values>
      </ddeItem>
      <ddeItem name="PPFB1.125" advise="1">
        <values>
          <value t="str">
            <val xml:space="preserve"> </val>
          </value>
        </values>
      </ddeItem>
      <ddeItem name="PPFB1.128" advise="1">
        <values>
          <value>
            <val>1212870150</val>
          </value>
        </values>
      </ddeItem>
      <ddeItem name="PPFB1.130" advise="1">
        <values>
          <value>
            <val>20803788</val>
          </value>
        </values>
      </ddeItem>
      <ddeItem name="PPFB1.131" advise="1">
        <values>
          <value>
            <val>20804690</val>
          </value>
        </values>
      </ddeItem>
      <ddeItem name="PPFB1.132" advise="1">
        <values>
          <value>
            <val>10989732</val>
          </value>
        </values>
      </ddeItem>
      <ddeItem name="PPFB1.133" advise="1">
        <values>
          <value>
            <val>2088371110</val>
          </value>
        </values>
      </ddeItem>
      <ddeItem name="PPFB1.135" advise="1">
        <values>
          <value t="str">
            <val xml:space="preserve"> -</val>
          </value>
        </values>
      </ddeItem>
      <ddeItem name="PPFB1.136" advise="1">
        <values>
          <value t="str">
            <val xml:space="preserve"> -</val>
          </value>
        </values>
      </ddeItem>
      <ddeItem name="PPFB1.201" advise="1">
        <values>
          <value t="str">
            <val xml:space="preserve"> -</val>
          </value>
        </values>
      </ddeItem>
      <ddeItem name="PPFB1.202" advise="1">
        <values>
          <value t="str">
            <val xml:space="preserve"> -</val>
          </value>
        </values>
      </ddeItem>
      <ddeItem name="PPFB1.203" advise="1">
        <values>
          <value t="str">
            <val xml:space="preserve"> -</val>
          </value>
        </values>
      </ddeItem>
      <ddeItem name="PPFB1.204" advise="1">
        <values>
          <value t="str">
            <val xml:space="preserve"> -</val>
          </value>
        </values>
      </ddeItem>
      <ddeItem name="PPFB1.205" advise="1">
        <values>
          <value t="str">
            <val xml:space="preserve"> -</val>
          </value>
        </values>
      </ddeItem>
      <ddeItem name="PPFB1.211" advise="1">
        <values>
          <value t="str">
            <val xml:space="preserve"> -</val>
          </value>
        </values>
      </ddeItem>
      <ddeItem name="PPFB1.212" advise="1">
        <values>
          <value t="str">
            <val xml:space="preserve"> -</val>
          </value>
        </values>
      </ddeItem>
      <ddeItem name="PPFB1.213" advise="1">
        <values>
          <value t="str">
            <val xml:space="preserve"> -</val>
          </value>
        </values>
      </ddeItem>
      <ddeItem name="PPFB1.214" advise="1">
        <values>
          <value t="str">
            <val xml:space="preserve"> -</val>
          </value>
        </values>
      </ddeItem>
      <ddeItem name="PPFB1.215" advise="1">
        <values>
          <value t="str">
            <val xml:space="preserve"> -</val>
          </value>
        </values>
      </ddeItem>
      <ddeItem name="PPFB1.221" advise="1">
        <values>
          <value t="str">
            <val>-</val>
          </value>
        </values>
      </ddeItem>
      <ddeItem name="PPFB1.222" advise="1">
        <values>
          <value t="str">
            <val>-</val>
          </value>
        </values>
      </ddeItem>
      <ddeItem name="PPFB1.223" advise="1">
        <values>
          <value t="str">
            <val>-</val>
          </value>
        </values>
      </ddeItem>
      <ddeItem name="PPFB1.224" advise="1">
        <values>
          <value t="str">
            <val>-</val>
          </value>
        </values>
      </ddeItem>
      <ddeItem name="PPFB1.225" advise="1">
        <values>
          <value t="str">
            <val>-</val>
          </value>
        </values>
      </ddeItem>
      <ddeItem name="PPFB1.231" advise="1">
        <values>
          <value t="str">
            <val>-</val>
          </value>
        </values>
      </ddeItem>
      <ddeItem name="PPFB1.232" advise="1">
        <values>
          <value t="str">
            <val>-</val>
          </value>
        </values>
      </ddeItem>
      <ddeItem name="PPFB1.233" advise="1">
        <values>
          <value t="str">
            <val>-</val>
          </value>
        </values>
      </ddeItem>
      <ddeItem name="PPFB1.234" advise="1">
        <values>
          <value t="str">
            <val>-</val>
          </value>
        </values>
      </ddeItem>
      <ddeItem name="PPFB1.235" advise="1">
        <values>
          <value t="str">
            <val>-</val>
          </value>
        </values>
      </ddeItem>
      <ddeItem name="PPFB1.402" advise="1"/>
      <ddeItem name="PPFB1.406" advise="1">
        <values>
          <value t="str">
            <val xml:space="preserve"> -</val>
          </value>
        </values>
      </ddeItem>
      <ddeItem name="PPFB1.407" advise="1">
        <values>
          <value t="str">
            <val xml:space="preserve"> -</val>
          </value>
        </values>
      </ddeItem>
      <ddeItem name="PPFB1.431" advise="1">
        <values>
          <value t="str">
            <val>-</val>
          </value>
        </values>
      </ddeItem>
      <ddeItem name="PPFB1.437" advise="1">
        <values>
          <value t="str">
            <val xml:space="preserve"> -</val>
          </value>
        </values>
      </ddeItem>
      <ddeItem name="PQFB1.123" advise="1">
        <values>
          <value>
            <val>100130</val>
          </value>
        </values>
      </ddeItem>
      <ddeItem name="PQFB1.124" advise="1">
        <values>
          <value>
            <val>13895.08</val>
          </value>
        </values>
      </ddeItem>
      <ddeItem name="PQFB1.125" advise="1">
        <values>
          <value>
            <val>8.5</val>
          </value>
        </values>
      </ddeItem>
      <ddeItem name="PQFB1.128" advise="1">
        <values>
          <value>
            <val>449</val>
          </value>
        </values>
      </ddeItem>
      <ddeItem name="PQFB1.130" advise="1">
        <values>
          <value>
            <val>13893.03</val>
          </value>
        </values>
      </ddeItem>
      <ddeItem name="PQFB1.131" advise="1">
        <values>
          <value>
            <val>13945.78</val>
          </value>
        </values>
      </ddeItem>
      <ddeItem name="PQFB1.132" advise="1">
        <values>
          <value>
            <val>13875.82</val>
          </value>
        </values>
      </ddeItem>
      <ddeItem name="PQFB1.133" advise="1">
        <values>
          <value>
            <val>871174</val>
          </value>
        </values>
      </ddeItem>
      <ddeItem name="PQFB1.135" advise="1">
        <values>
          <value t="str">
            <val xml:space="preserve"> -</val>
          </value>
        </values>
      </ddeItem>
      <ddeItem name="PQFB1.136" advise="1">
        <values>
          <value t="str">
            <val xml:space="preserve"> -</val>
          </value>
        </values>
      </ddeItem>
      <ddeItem name="PQFB1.201" advise="1">
        <values>
          <value t="str">
            <val xml:space="preserve"> -</val>
          </value>
        </values>
      </ddeItem>
      <ddeItem name="PQFB1.202" advise="1">
        <values>
          <value t="str">
            <val xml:space="preserve"> -</val>
          </value>
        </values>
      </ddeItem>
      <ddeItem name="PQFB1.203" advise="1">
        <values>
          <value t="str">
            <val xml:space="preserve"> -</val>
          </value>
        </values>
      </ddeItem>
      <ddeItem name="PQFB1.204" advise="1">
        <values>
          <value t="str">
            <val xml:space="preserve"> -</val>
          </value>
        </values>
      </ddeItem>
      <ddeItem name="PQFB1.205" advise="1">
        <values>
          <value t="str">
            <val xml:space="preserve"> -</val>
          </value>
        </values>
      </ddeItem>
      <ddeItem name="PQFB1.211" advise="1">
        <values>
          <value t="str">
            <val xml:space="preserve"> -</val>
          </value>
        </values>
      </ddeItem>
      <ddeItem name="PQFB1.212" advise="1">
        <values>
          <value t="str">
            <val xml:space="preserve"> -</val>
          </value>
        </values>
      </ddeItem>
      <ddeItem name="PQFB1.213" advise="1">
        <values>
          <value t="str">
            <val xml:space="preserve"> -</val>
          </value>
        </values>
      </ddeItem>
      <ddeItem name="PQFB1.214" advise="1">
        <values>
          <value t="str">
            <val xml:space="preserve"> -</val>
          </value>
        </values>
      </ddeItem>
      <ddeItem name="PQFB1.215" advise="1">
        <values>
          <value t="str">
            <val xml:space="preserve"> -</val>
          </value>
        </values>
      </ddeItem>
      <ddeItem name="PQFB1.221" advise="1">
        <values>
          <value t="str">
            <val>-</val>
          </value>
        </values>
      </ddeItem>
      <ddeItem name="PQFB1.222" advise="1">
        <values>
          <value t="str">
            <val>-</val>
          </value>
        </values>
      </ddeItem>
      <ddeItem name="PQFB1.223" advise="1">
        <values>
          <value t="str">
            <val>-</val>
          </value>
        </values>
      </ddeItem>
      <ddeItem name="PQFB1.224" advise="1">
        <values>
          <value t="str">
            <val>-</val>
          </value>
        </values>
      </ddeItem>
      <ddeItem name="PQFB1.225" advise="1">
        <values>
          <value t="str">
            <val>-</val>
          </value>
        </values>
      </ddeItem>
      <ddeItem name="PQFB1.231" advise="1">
        <values>
          <value t="str">
            <val>-</val>
          </value>
        </values>
      </ddeItem>
      <ddeItem name="PQFB1.232" advise="1">
        <values>
          <value t="str">
            <val>-</val>
          </value>
        </values>
      </ddeItem>
      <ddeItem name="PQFB1.233" advise="1">
        <values>
          <value t="str">
            <val>-</val>
          </value>
        </values>
      </ddeItem>
      <ddeItem name="PQFB1.234" advise="1">
        <values>
          <value t="str">
            <val>-</val>
          </value>
        </values>
      </ddeItem>
      <ddeItem name="PQFB1.235" advise="1">
        <values>
          <value t="str">
            <val>-</val>
          </value>
        </values>
      </ddeItem>
      <ddeItem name="PQFB1.402" advise="1">
        <values>
          <value t="str">
            <val>不含金電</val>
          </value>
        </values>
      </ddeItem>
      <ddeItem name="PQFB1.406" advise="1">
        <values>
          <value t="str">
            <val xml:space="preserve"> -</val>
          </value>
        </values>
      </ddeItem>
      <ddeItem name="PQFB1.407" advise="1">
        <values>
          <value t="str">
            <val xml:space="preserve"> -</val>
          </value>
        </values>
      </ddeItem>
      <ddeItem name="PQFB1.431" advise="1">
        <values>
          <value t="str">
            <val>-</val>
          </value>
        </values>
      </ddeItem>
      <ddeItem name="PQFB1.437" advise="1">
        <values>
          <value t="str">
            <val xml:space="preserve"> -</val>
          </value>
        </values>
      </ddeItem>
      <ddeItem name="PRFB1.123" advise="1">
        <values>
          <value>
            <val>100130</val>
          </value>
        </values>
      </ddeItem>
      <ddeItem name="PRFB1.124" advise="1">
        <values>
          <value>
            <val>16422.080000000002</val>
          </value>
        </values>
      </ddeItem>
      <ddeItem name="PRFB1.125" advise="1">
        <values>
          <value>
            <val>-21.32</val>
          </value>
        </values>
      </ddeItem>
      <ddeItem name="PRFB1.128" advise="1">
        <values>
          <value>
            <val>3347</val>
          </value>
        </values>
      </ddeItem>
      <ddeItem name="PRFB1.130" advise="1">
        <values>
          <value>
            <val>16329.54</val>
          </value>
        </values>
      </ddeItem>
      <ddeItem name="PRFB1.131" advise="1">
        <values>
          <value>
            <val>16456.939999999999</val>
          </value>
        </values>
      </ddeItem>
      <ddeItem name="PRFB1.132" advise="1">
        <values>
          <value>
            <val>16329.54</val>
          </value>
        </values>
      </ddeItem>
      <ddeItem name="PRFB1.133" advise="1">
        <values>
          <value>
            <val>4018459</val>
          </value>
        </values>
      </ddeItem>
      <ddeItem name="PRFB1.135" advise="1">
        <values>
          <value t="str">
            <val xml:space="preserve"> -</val>
          </value>
        </values>
      </ddeItem>
      <ddeItem name="PRFB1.136" advise="1">
        <values>
          <value t="str">
            <val xml:space="preserve"> -</val>
          </value>
        </values>
      </ddeItem>
      <ddeItem name="PRFB1.201" advise="1">
        <values>
          <value t="str">
            <val xml:space="preserve"> -</val>
          </value>
        </values>
      </ddeItem>
      <ddeItem name="PRFB1.202" advise="1">
        <values>
          <value t="str">
            <val xml:space="preserve"> -</val>
          </value>
        </values>
      </ddeItem>
      <ddeItem name="PRFB1.203" advise="1">
        <values>
          <value t="str">
            <val xml:space="preserve"> -</val>
          </value>
        </values>
      </ddeItem>
      <ddeItem name="PRFB1.204" advise="1">
        <values>
          <value t="str">
            <val xml:space="preserve"> -</val>
          </value>
        </values>
      </ddeItem>
      <ddeItem name="PRFB1.205" advise="1">
        <values>
          <value t="str">
            <val xml:space="preserve"> -</val>
          </value>
        </values>
      </ddeItem>
      <ddeItem name="PRFB1.211" advise="1">
        <values>
          <value t="str">
            <val xml:space="preserve"> -</val>
          </value>
        </values>
      </ddeItem>
      <ddeItem name="PRFB1.212" advise="1">
        <values>
          <value t="str">
            <val xml:space="preserve"> -</val>
          </value>
        </values>
      </ddeItem>
      <ddeItem name="PRFB1.213" advise="1">
        <values>
          <value t="str">
            <val xml:space="preserve"> -</val>
          </value>
        </values>
      </ddeItem>
      <ddeItem name="PRFB1.214" advise="1">
        <values>
          <value t="str">
            <val xml:space="preserve"> -</val>
          </value>
        </values>
      </ddeItem>
      <ddeItem name="PRFB1.215" advise="1">
        <values>
          <value t="str">
            <val xml:space="preserve"> -</val>
          </value>
        </values>
      </ddeItem>
      <ddeItem name="PRFB1.221" advise="1">
        <values>
          <value t="str">
            <val>-</val>
          </value>
        </values>
      </ddeItem>
      <ddeItem name="PRFB1.222" advise="1">
        <values>
          <value t="str">
            <val>-</val>
          </value>
        </values>
      </ddeItem>
      <ddeItem name="PRFB1.223" advise="1">
        <values>
          <value t="str">
            <val>-</val>
          </value>
        </values>
      </ddeItem>
      <ddeItem name="PRFB1.224" advise="1">
        <values>
          <value t="str">
            <val>-</val>
          </value>
        </values>
      </ddeItem>
      <ddeItem name="PRFB1.225" advise="1">
        <values>
          <value t="str">
            <val>-</val>
          </value>
        </values>
      </ddeItem>
      <ddeItem name="PRFB1.231" advise="1">
        <values>
          <value t="str">
            <val>-</val>
          </value>
        </values>
      </ddeItem>
      <ddeItem name="PRFB1.232" advise="1">
        <values>
          <value t="str">
            <val>-</val>
          </value>
        </values>
      </ddeItem>
      <ddeItem name="PRFB1.233" advise="1">
        <values>
          <value t="str">
            <val>-</val>
          </value>
        </values>
      </ddeItem>
      <ddeItem name="PRFB1.234" advise="1">
        <values>
          <value t="str">
            <val>-</val>
          </value>
        </values>
      </ddeItem>
      <ddeItem name="PRFB1.235" advise="1">
        <values>
          <value t="str">
            <val>-</val>
          </value>
        </values>
      </ddeItem>
      <ddeItem name="PRFB1.402" advise="1">
        <values>
          <value t="str">
            <val>加權指數</val>
          </value>
        </values>
      </ddeItem>
      <ddeItem name="PRFB1.406" advise="1">
        <values>
          <value t="str">
            <val xml:space="preserve"> -</val>
          </value>
        </values>
      </ddeItem>
      <ddeItem name="PRFB1.407" advise="1">
        <values>
          <value t="str">
            <val xml:space="preserve"> -</val>
          </value>
        </values>
      </ddeItem>
      <ddeItem name="PRFB1.431" advise="1">
        <values>
          <value t="str">
            <val>-</val>
          </value>
        </values>
      </ddeItem>
      <ddeItem name="PRFB1.437" advise="1">
        <values>
          <value t="str">
            <val xml:space="preserve"> -</val>
          </value>
        </values>
      </ddeItem>
      <ddeItem name="PSFB1.123" advise="1">
        <values>
          <value>
            <val>0</val>
          </value>
        </values>
      </ddeItem>
      <ddeItem name="PSFB1.124" advise="1">
        <values>
          <value>
            <val>20878632</val>
          </value>
        </values>
      </ddeItem>
      <ddeItem name="PSFB1.125" advise="1">
        <values>
          <value t="str">
            <val xml:space="preserve"> </val>
          </value>
        </values>
      </ddeItem>
      <ddeItem name="PSFB1.128" advise="1">
        <values>
          <value>
            <val>1212870150</val>
          </value>
        </values>
      </ddeItem>
      <ddeItem name="PSFB1.130" advise="1">
        <values>
          <value>
            <val>20803788</val>
          </value>
        </values>
      </ddeItem>
      <ddeItem name="PSFB1.131" advise="1">
        <values>
          <value>
            <val>20804690</val>
          </value>
        </values>
      </ddeItem>
      <ddeItem name="PSFB1.132" advise="1">
        <values>
          <value>
            <val>10989732</val>
          </value>
        </values>
      </ddeItem>
      <ddeItem name="PSFB1.133" advise="1">
        <values>
          <value>
            <val>2088371110</val>
          </value>
        </values>
      </ddeItem>
      <ddeItem name="PSFB1.135" advise="1">
        <values>
          <value t="str">
            <val xml:space="preserve"> -</val>
          </value>
        </values>
      </ddeItem>
      <ddeItem name="PSFB1.136" advise="1">
        <values>
          <value t="str">
            <val xml:space="preserve"> -</val>
          </value>
        </values>
      </ddeItem>
      <ddeItem name="PSFB1.201" advise="1">
        <values>
          <value t="str">
            <val xml:space="preserve"> -</val>
          </value>
        </values>
      </ddeItem>
      <ddeItem name="PSFB1.202" advise="1">
        <values>
          <value t="str">
            <val xml:space="preserve"> -</val>
          </value>
        </values>
      </ddeItem>
      <ddeItem name="PSFB1.203" advise="1">
        <values>
          <value t="str">
            <val xml:space="preserve"> -</val>
          </value>
        </values>
      </ddeItem>
      <ddeItem name="PSFB1.204" advise="1">
        <values>
          <value t="str">
            <val xml:space="preserve"> -</val>
          </value>
        </values>
      </ddeItem>
      <ddeItem name="PSFB1.205" advise="1">
        <values>
          <value t="str">
            <val xml:space="preserve"> -</val>
          </value>
        </values>
      </ddeItem>
      <ddeItem name="PSFB1.211" advise="1">
        <values>
          <value t="str">
            <val xml:space="preserve"> -</val>
          </value>
        </values>
      </ddeItem>
      <ddeItem name="PSFB1.212" advise="1">
        <values>
          <value t="str">
            <val xml:space="preserve"> -</val>
          </value>
        </values>
      </ddeItem>
      <ddeItem name="PSFB1.213" advise="1">
        <values>
          <value t="str">
            <val xml:space="preserve"> -</val>
          </value>
        </values>
      </ddeItem>
      <ddeItem name="PSFB1.214" advise="1">
        <values>
          <value t="str">
            <val xml:space="preserve"> -</val>
          </value>
        </values>
      </ddeItem>
      <ddeItem name="PSFB1.215" advise="1">
        <values>
          <value t="str">
            <val xml:space="preserve"> -</val>
          </value>
        </values>
      </ddeItem>
      <ddeItem name="PSFB1.221" advise="1">
        <values>
          <value t="str">
            <val>-</val>
          </value>
        </values>
      </ddeItem>
      <ddeItem name="PSFB1.222" advise="1">
        <values>
          <value t="str">
            <val>-</val>
          </value>
        </values>
      </ddeItem>
      <ddeItem name="PSFB1.223" advise="1">
        <values>
          <value t="str">
            <val>-</val>
          </value>
        </values>
      </ddeItem>
      <ddeItem name="PSFB1.224" advise="1">
        <values>
          <value t="str">
            <val>-</val>
          </value>
        </values>
      </ddeItem>
      <ddeItem name="PSFB1.225" advise="1">
        <values>
          <value t="str">
            <val>-</val>
          </value>
        </values>
      </ddeItem>
      <ddeItem name="PSFB1.231" advise="1">
        <values>
          <value t="str">
            <val>-</val>
          </value>
        </values>
      </ddeItem>
      <ddeItem name="PSFB1.232" advise="1">
        <values>
          <value t="str">
            <val>-</val>
          </value>
        </values>
      </ddeItem>
      <ddeItem name="PSFB1.233" advise="1">
        <values>
          <value t="str">
            <val>-</val>
          </value>
        </values>
      </ddeItem>
      <ddeItem name="PSFB1.234" advise="1">
        <values>
          <value t="str">
            <val>-</val>
          </value>
        </values>
      </ddeItem>
      <ddeItem name="PSFB1.235" advise="1">
        <values>
          <value t="str">
            <val>-</val>
          </value>
        </values>
      </ddeItem>
      <ddeItem name="PSFB1.402" advise="1"/>
      <ddeItem name="PSFB1.406" advise="1">
        <values>
          <value t="str">
            <val xml:space="preserve"> -</val>
          </value>
        </values>
      </ddeItem>
      <ddeItem name="PSFB1.407" advise="1">
        <values>
          <value t="str">
            <val xml:space="preserve"> -</val>
          </value>
        </values>
      </ddeItem>
      <ddeItem name="PSFB1.431" advise="1">
        <values>
          <value t="str">
            <val>-</val>
          </value>
        </values>
      </ddeItem>
      <ddeItem name="PSFB1.437" advise="1">
        <values>
          <value t="str">
            <val xml:space="preserve"> -</val>
          </value>
        </values>
      </ddeItem>
      <ddeItem name="PTFB1.123" advise="1">
        <values>
          <value>
            <val>100150</val>
          </value>
        </values>
      </ddeItem>
      <ddeItem name="PTFB1.124" advise="1">
        <values>
          <value>
            <val>13900.72</val>
          </value>
        </values>
      </ddeItem>
      <ddeItem name="PTFB1.125" advise="1">
        <values>
          <value>
            <val>14.14</val>
          </value>
        </values>
      </ddeItem>
      <ddeItem name="PTFB1.128" advise="1">
        <values>
          <value>
            <val>887</val>
          </value>
        </values>
      </ddeItem>
      <ddeItem name="PTFB1.130" advise="1">
        <values>
          <value>
            <val>13893.03</val>
          </value>
        </values>
      </ddeItem>
      <ddeItem name="PTFB1.131" advise="1">
        <values>
          <value>
            <val>13945.78</val>
          </value>
        </values>
      </ddeItem>
      <ddeItem name="PTFB1.132" advise="1">
        <values>
          <value>
            <val>13875.82</val>
          </value>
        </values>
      </ddeItem>
      <ddeItem name="PTFB1.133" advise="1">
        <values>
          <value>
            <val>873827</val>
          </value>
        </values>
      </ddeItem>
      <ddeItem name="PTFB1.135" advise="1">
        <values>
          <value t="str">
            <val xml:space="preserve"> -</val>
          </value>
        </values>
      </ddeItem>
      <ddeItem name="PTFB1.136" advise="1">
        <values>
          <value t="str">
            <val xml:space="preserve"> -</val>
          </value>
        </values>
      </ddeItem>
      <ddeItem name="PTFB1.201" advise="1">
        <values>
          <value t="str">
            <val xml:space="preserve"> -</val>
          </value>
        </values>
      </ddeItem>
      <ddeItem name="PTFB1.202" advise="1">
        <values>
          <value t="str">
            <val xml:space="preserve"> -</val>
          </value>
        </values>
      </ddeItem>
      <ddeItem name="PTFB1.203" advise="1">
        <values>
          <value t="str">
            <val xml:space="preserve"> -</val>
          </value>
        </values>
      </ddeItem>
      <ddeItem name="PTFB1.204" advise="1">
        <values>
          <value t="str">
            <val xml:space="preserve"> -</val>
          </value>
        </values>
      </ddeItem>
      <ddeItem name="PTFB1.205" advise="1">
        <values>
          <value t="str">
            <val xml:space="preserve"> -</val>
          </value>
        </values>
      </ddeItem>
      <ddeItem name="PTFB1.211" advise="1">
        <values>
          <value t="str">
            <val xml:space="preserve"> -</val>
          </value>
        </values>
      </ddeItem>
      <ddeItem name="PTFB1.212" advise="1">
        <values>
          <value t="str">
            <val xml:space="preserve"> -</val>
          </value>
        </values>
      </ddeItem>
      <ddeItem name="PTFB1.213" advise="1">
        <values>
          <value t="str">
            <val xml:space="preserve"> -</val>
          </value>
        </values>
      </ddeItem>
      <ddeItem name="PTFB1.214" advise="1">
        <values>
          <value t="str">
            <val xml:space="preserve"> -</val>
          </value>
        </values>
      </ddeItem>
      <ddeItem name="PTFB1.215" advise="1">
        <values>
          <value t="str">
            <val xml:space="preserve"> -</val>
          </value>
        </values>
      </ddeItem>
      <ddeItem name="PTFB1.221" advise="1">
        <values>
          <value t="str">
            <val>-</val>
          </value>
        </values>
      </ddeItem>
      <ddeItem name="PTFB1.222" advise="1">
        <values>
          <value t="str">
            <val>-</val>
          </value>
        </values>
      </ddeItem>
      <ddeItem name="PTFB1.223" advise="1">
        <values>
          <value t="str">
            <val>-</val>
          </value>
        </values>
      </ddeItem>
      <ddeItem name="PTFB1.224" advise="1">
        <values>
          <value t="str">
            <val>-</val>
          </value>
        </values>
      </ddeItem>
      <ddeItem name="PTFB1.225" advise="1">
        <values>
          <value t="str">
            <val>-</val>
          </value>
        </values>
      </ddeItem>
      <ddeItem name="PTFB1.231" advise="1">
        <values>
          <value t="str">
            <val>-</val>
          </value>
        </values>
      </ddeItem>
      <ddeItem name="PTFB1.232" advise="1">
        <values>
          <value t="str">
            <val>-</val>
          </value>
        </values>
      </ddeItem>
      <ddeItem name="PTFB1.233" advise="1">
        <values>
          <value t="str">
            <val>-</val>
          </value>
        </values>
      </ddeItem>
      <ddeItem name="PTFB1.234" advise="1">
        <values>
          <value t="str">
            <val>-</val>
          </value>
        </values>
      </ddeItem>
      <ddeItem name="PTFB1.235" advise="1">
        <values>
          <value t="str">
            <val>-</val>
          </value>
        </values>
      </ddeItem>
      <ddeItem name="PTFB1.402" advise="1">
        <values>
          <value t="str">
            <val>不含金電</val>
          </value>
        </values>
      </ddeItem>
      <ddeItem name="PTFB1.406" advise="1">
        <values>
          <value t="str">
            <val xml:space="preserve"> -</val>
          </value>
        </values>
      </ddeItem>
      <ddeItem name="PTFB1.407" advise="1">
        <values>
          <value t="str">
            <val xml:space="preserve"> -</val>
          </value>
        </values>
      </ddeItem>
      <ddeItem name="PTFB1.431" advise="1">
        <values>
          <value t="str">
            <val>-</val>
          </value>
        </values>
      </ddeItem>
      <ddeItem name="PTFB1.437" advise="1">
        <values>
          <value t="str">
            <val xml:space="preserve"> -</val>
          </value>
        </values>
      </ddeItem>
      <ddeItem name="PUFB1.123" advise="1">
        <values>
          <value>
            <val>100145</val>
          </value>
        </values>
      </ddeItem>
      <ddeItem name="PUFB1.124" advise="1">
        <values>
          <value>
            <val>16422.560000000001</val>
          </value>
        </values>
      </ddeItem>
      <ddeItem name="PUFB1.125" advise="1">
        <values>
          <value>
            <val>-20.84</val>
          </value>
        </values>
      </ddeItem>
      <ddeItem name="PUFB1.128" advise="1">
        <values>
          <value>
            <val>1824</val>
          </value>
        </values>
      </ddeItem>
      <ddeItem name="PUFB1.130" advise="1">
        <values>
          <value>
            <val>16329.54</val>
          </value>
        </values>
      </ddeItem>
      <ddeItem name="PUFB1.131" advise="1">
        <values>
          <value>
            <val>16456.939999999999</val>
          </value>
        </values>
      </ddeItem>
      <ddeItem name="PUFB1.132" advise="1">
        <values>
          <value>
            <val>16329.54</val>
          </value>
        </values>
      </ddeItem>
      <ddeItem name="PUFB1.133" advise="1">
        <values>
          <value>
            <val>4024617</val>
          </value>
        </values>
      </ddeItem>
      <ddeItem name="PUFB1.135" advise="1">
        <values>
          <value t="str">
            <val xml:space="preserve"> -</val>
          </value>
        </values>
      </ddeItem>
      <ddeItem name="PUFB1.136" advise="1">
        <values>
          <value t="str">
            <val xml:space="preserve"> -</val>
          </value>
        </values>
      </ddeItem>
      <ddeItem name="PUFB1.201" advise="1">
        <values>
          <value t="str">
            <val xml:space="preserve"> -</val>
          </value>
        </values>
      </ddeItem>
      <ddeItem name="PUFB1.202" advise="1">
        <values>
          <value t="str">
            <val xml:space="preserve"> -</val>
          </value>
        </values>
      </ddeItem>
      <ddeItem name="PUFB1.203" advise="1">
        <values>
          <value t="str">
            <val xml:space="preserve"> -</val>
          </value>
        </values>
      </ddeItem>
      <ddeItem name="PUFB1.204" advise="1">
        <values>
          <value t="str">
            <val xml:space="preserve"> -</val>
          </value>
        </values>
      </ddeItem>
      <ddeItem name="PUFB1.205" advise="1">
        <values>
          <value t="str">
            <val xml:space="preserve"> -</val>
          </value>
        </values>
      </ddeItem>
      <ddeItem name="PUFB1.211" advise="1">
        <values>
          <value t="str">
            <val xml:space="preserve"> -</val>
          </value>
        </values>
      </ddeItem>
      <ddeItem name="PUFB1.212" advise="1">
        <values>
          <value t="str">
            <val xml:space="preserve"> -</val>
          </value>
        </values>
      </ddeItem>
      <ddeItem name="PUFB1.213" advise="1">
        <values>
          <value t="str">
            <val xml:space="preserve"> -</val>
          </value>
        </values>
      </ddeItem>
      <ddeItem name="PUFB1.214" advise="1">
        <values>
          <value t="str">
            <val xml:space="preserve"> -</val>
          </value>
        </values>
      </ddeItem>
      <ddeItem name="PUFB1.215" advise="1">
        <values>
          <value t="str">
            <val xml:space="preserve"> -</val>
          </value>
        </values>
      </ddeItem>
      <ddeItem name="PUFB1.221" advise="1">
        <values>
          <value t="str">
            <val>-</val>
          </value>
        </values>
      </ddeItem>
      <ddeItem name="PUFB1.222" advise="1">
        <values>
          <value t="str">
            <val>-</val>
          </value>
        </values>
      </ddeItem>
      <ddeItem name="PUFB1.223" advise="1">
        <values>
          <value t="str">
            <val>-</val>
          </value>
        </values>
      </ddeItem>
      <ddeItem name="PUFB1.224" advise="1">
        <values>
          <value t="str">
            <val>-</val>
          </value>
        </values>
      </ddeItem>
      <ddeItem name="PUFB1.225" advise="1">
        <values>
          <value t="str">
            <val>-</val>
          </value>
        </values>
      </ddeItem>
      <ddeItem name="PUFB1.231" advise="1">
        <values>
          <value t="str">
            <val>-</val>
          </value>
        </values>
      </ddeItem>
      <ddeItem name="PUFB1.232" advise="1">
        <values>
          <value t="str">
            <val>-</val>
          </value>
        </values>
      </ddeItem>
      <ddeItem name="PUFB1.233" advise="1">
        <values>
          <value t="str">
            <val>-</val>
          </value>
        </values>
      </ddeItem>
      <ddeItem name="PUFB1.234" advise="1">
        <values>
          <value t="str">
            <val>-</val>
          </value>
        </values>
      </ddeItem>
      <ddeItem name="PUFB1.235" advise="1">
        <values>
          <value t="str">
            <val>-</val>
          </value>
        </values>
      </ddeItem>
      <ddeItem name="PUFB1.402" advise="1">
        <values>
          <value t="str">
            <val>加權指數</val>
          </value>
        </values>
      </ddeItem>
      <ddeItem name="PUFB1.406" advise="1">
        <values>
          <value t="str">
            <val xml:space="preserve"> -</val>
          </value>
        </values>
      </ddeItem>
      <ddeItem name="PUFB1.407" advise="1">
        <values>
          <value t="str">
            <val xml:space="preserve"> -</val>
          </value>
        </values>
      </ddeItem>
      <ddeItem name="PUFB1.431" advise="1">
        <values>
          <value t="str">
            <val>-</val>
          </value>
        </values>
      </ddeItem>
      <ddeItem name="PUFB1.437" advise="1">
        <values>
          <value t="str">
            <val xml:space="preserve"> -</val>
          </value>
        </values>
      </ddeItem>
      <ddeItem name="PVFB1.123" advise="1">
        <values>
          <value>
            <val>0</val>
          </value>
        </values>
      </ddeItem>
      <ddeItem name="PVFB1.124" advise="1">
        <values>
          <value>
            <val>20878632</val>
          </value>
        </values>
      </ddeItem>
      <ddeItem name="PVFB1.125" advise="1">
        <values>
          <value t="str">
            <val xml:space="preserve"> </val>
          </value>
        </values>
      </ddeItem>
      <ddeItem name="PVFB1.128" advise="1">
        <values>
          <value>
            <val>1212870150</val>
          </value>
        </values>
      </ddeItem>
      <ddeItem name="PVFB1.130" advise="1">
        <values>
          <value>
            <val>20803788</val>
          </value>
        </values>
      </ddeItem>
      <ddeItem name="PVFB1.131" advise="1">
        <values>
          <value>
            <val>20804690</val>
          </value>
        </values>
      </ddeItem>
      <ddeItem name="PVFB1.132" advise="1">
        <values>
          <value>
            <val>10989732</val>
          </value>
        </values>
      </ddeItem>
      <ddeItem name="PVFB1.133" advise="1">
        <values>
          <value>
            <val>2088371110</val>
          </value>
        </values>
      </ddeItem>
      <ddeItem name="PVFB1.135" advise="1">
        <values>
          <value t="str">
            <val xml:space="preserve"> -</val>
          </value>
        </values>
      </ddeItem>
      <ddeItem name="PVFB1.136" advise="1">
        <values>
          <value t="str">
            <val xml:space="preserve"> -</val>
          </value>
        </values>
      </ddeItem>
      <ddeItem name="PVFB1.201" advise="1">
        <values>
          <value t="str">
            <val xml:space="preserve"> -</val>
          </value>
        </values>
      </ddeItem>
      <ddeItem name="PVFB1.202" advise="1">
        <values>
          <value t="str">
            <val xml:space="preserve"> -</val>
          </value>
        </values>
      </ddeItem>
      <ddeItem name="PVFB1.203" advise="1">
        <values>
          <value t="str">
            <val xml:space="preserve"> -</val>
          </value>
        </values>
      </ddeItem>
      <ddeItem name="PVFB1.204" advise="1">
        <values>
          <value t="str">
            <val xml:space="preserve"> -</val>
          </value>
        </values>
      </ddeItem>
      <ddeItem name="PVFB1.205" advise="1">
        <values>
          <value t="str">
            <val xml:space="preserve"> -</val>
          </value>
        </values>
      </ddeItem>
      <ddeItem name="PVFB1.211" advise="1">
        <values>
          <value t="str">
            <val xml:space="preserve"> -</val>
          </value>
        </values>
      </ddeItem>
      <ddeItem name="PVFB1.212" advise="1">
        <values>
          <value t="str">
            <val xml:space="preserve"> -</val>
          </value>
        </values>
      </ddeItem>
      <ddeItem name="PVFB1.213" advise="1">
        <values>
          <value t="str">
            <val xml:space="preserve"> -</val>
          </value>
        </values>
      </ddeItem>
      <ddeItem name="PVFB1.214" advise="1">
        <values>
          <value t="str">
            <val xml:space="preserve"> -</val>
          </value>
        </values>
      </ddeItem>
      <ddeItem name="PVFB1.215" advise="1">
        <values>
          <value t="str">
            <val xml:space="preserve"> -</val>
          </value>
        </values>
      </ddeItem>
      <ddeItem name="PVFB1.221" advise="1">
        <values>
          <value t="str">
            <val>-</val>
          </value>
        </values>
      </ddeItem>
      <ddeItem name="PVFB1.222" advise="1">
        <values>
          <value t="str">
            <val>-</val>
          </value>
        </values>
      </ddeItem>
      <ddeItem name="PVFB1.223" advise="1">
        <values>
          <value t="str">
            <val>-</val>
          </value>
        </values>
      </ddeItem>
      <ddeItem name="PVFB1.224" advise="1">
        <values>
          <value t="str">
            <val>-</val>
          </value>
        </values>
      </ddeItem>
      <ddeItem name="PVFB1.225" advise="1">
        <values>
          <value t="str">
            <val>-</val>
          </value>
        </values>
      </ddeItem>
      <ddeItem name="PVFB1.231" advise="1">
        <values>
          <value t="str">
            <val>-</val>
          </value>
        </values>
      </ddeItem>
      <ddeItem name="PVFB1.232" advise="1">
        <values>
          <value t="str">
            <val>-</val>
          </value>
        </values>
      </ddeItem>
      <ddeItem name="PVFB1.233" advise="1">
        <values>
          <value t="str">
            <val>-</val>
          </value>
        </values>
      </ddeItem>
      <ddeItem name="PVFB1.234" advise="1">
        <values>
          <value t="str">
            <val>-</val>
          </value>
        </values>
      </ddeItem>
      <ddeItem name="PVFB1.235" advise="1">
        <values>
          <value t="str">
            <val>-</val>
          </value>
        </values>
      </ddeItem>
      <ddeItem name="PVFB1.402" advise="1"/>
      <ddeItem name="PVFB1.406" advise="1">
        <values>
          <value t="str">
            <val xml:space="preserve"> -</val>
          </value>
        </values>
      </ddeItem>
      <ddeItem name="PVFB1.407" advise="1">
        <values>
          <value t="str">
            <val xml:space="preserve"> -</val>
          </value>
        </values>
      </ddeItem>
      <ddeItem name="PVFB1.431" advise="1">
        <values>
          <value t="str">
            <val>-</val>
          </value>
        </values>
      </ddeItem>
      <ddeItem name="PVFB1.437" advise="1">
        <values>
          <value t="str">
            <val xml:space="preserve"> -</val>
          </value>
        </values>
      </ddeItem>
      <ddeItem name="PWFB1.123" advise="1">
        <values>
          <value>
            <val>100145</val>
          </value>
        </values>
      </ddeItem>
      <ddeItem name="PWFB1.124" advise="1">
        <values>
          <value>
            <val>16422.560000000001</val>
          </value>
        </values>
      </ddeItem>
      <ddeItem name="PWFB1.125" advise="1">
        <values>
          <value>
            <val>-20.84</val>
          </value>
        </values>
      </ddeItem>
      <ddeItem name="PWFB1.128" advise="1">
        <values>
          <value>
            <val>1824</val>
          </value>
        </values>
      </ddeItem>
      <ddeItem name="PWFB1.130" advise="1">
        <values>
          <value>
            <val>16329.54</val>
          </value>
        </values>
      </ddeItem>
      <ddeItem name="PWFB1.131" advise="1">
        <values>
          <value>
            <val>16456.939999999999</val>
          </value>
        </values>
      </ddeItem>
      <ddeItem name="PWFB1.132" advise="1">
        <values>
          <value>
            <val>16329.54</val>
          </value>
        </values>
      </ddeItem>
      <ddeItem name="PWFB1.133" advise="1">
        <values>
          <value>
            <val>4024617</val>
          </value>
        </values>
      </ddeItem>
      <ddeItem name="PWFB1.135" advise="1">
        <values>
          <value t="str">
            <val xml:space="preserve"> -</val>
          </value>
        </values>
      </ddeItem>
      <ddeItem name="PWFB1.136" advise="1">
        <values>
          <value t="str">
            <val xml:space="preserve"> -</val>
          </value>
        </values>
      </ddeItem>
      <ddeItem name="PWFB1.201" advise="1">
        <values>
          <value t="str">
            <val xml:space="preserve"> -</val>
          </value>
        </values>
      </ddeItem>
      <ddeItem name="PWFB1.202" advise="1">
        <values>
          <value t="str">
            <val xml:space="preserve"> -</val>
          </value>
        </values>
      </ddeItem>
      <ddeItem name="PWFB1.203" advise="1">
        <values>
          <value t="str">
            <val xml:space="preserve"> -</val>
          </value>
        </values>
      </ddeItem>
      <ddeItem name="PWFB1.204" advise="1">
        <values>
          <value t="str">
            <val xml:space="preserve"> -</val>
          </value>
        </values>
      </ddeItem>
      <ddeItem name="PWFB1.205" advise="1">
        <values>
          <value t="str">
            <val xml:space="preserve"> -</val>
          </value>
        </values>
      </ddeItem>
      <ddeItem name="PWFB1.211" advise="1">
        <values>
          <value t="str">
            <val xml:space="preserve"> -</val>
          </value>
        </values>
      </ddeItem>
      <ddeItem name="PWFB1.212" advise="1">
        <values>
          <value t="str">
            <val xml:space="preserve"> -</val>
          </value>
        </values>
      </ddeItem>
      <ddeItem name="PWFB1.213" advise="1">
        <values>
          <value t="str">
            <val xml:space="preserve"> -</val>
          </value>
        </values>
      </ddeItem>
      <ddeItem name="PWFB1.214" advise="1">
        <values>
          <value t="str">
            <val xml:space="preserve"> -</val>
          </value>
        </values>
      </ddeItem>
      <ddeItem name="PWFB1.215" advise="1">
        <values>
          <value t="str">
            <val xml:space="preserve"> -</val>
          </value>
        </values>
      </ddeItem>
      <ddeItem name="PWFB1.221" advise="1">
        <values>
          <value t="str">
            <val>-</val>
          </value>
        </values>
      </ddeItem>
      <ddeItem name="PWFB1.222" advise="1">
        <values>
          <value t="str">
            <val>-</val>
          </value>
        </values>
      </ddeItem>
      <ddeItem name="PWFB1.223" advise="1">
        <values>
          <value t="str">
            <val>-</val>
          </value>
        </values>
      </ddeItem>
      <ddeItem name="PWFB1.224" advise="1">
        <values>
          <value t="str">
            <val>-</val>
          </value>
        </values>
      </ddeItem>
      <ddeItem name="PWFB1.225" advise="1">
        <values>
          <value t="str">
            <val>-</val>
          </value>
        </values>
      </ddeItem>
      <ddeItem name="PWFB1.231" advise="1">
        <values>
          <value t="str">
            <val>-</val>
          </value>
        </values>
      </ddeItem>
      <ddeItem name="PWFB1.232" advise="1">
        <values>
          <value t="str">
            <val>-</val>
          </value>
        </values>
      </ddeItem>
      <ddeItem name="PWFB1.233" advise="1">
        <values>
          <value t="str">
            <val>-</val>
          </value>
        </values>
      </ddeItem>
      <ddeItem name="PWFB1.234" advise="1">
        <values>
          <value t="str">
            <val>-</val>
          </value>
        </values>
      </ddeItem>
      <ddeItem name="PWFB1.235" advise="1">
        <values>
          <value t="str">
            <val>-</val>
          </value>
        </values>
      </ddeItem>
      <ddeItem name="PWFB1.402" advise="1">
        <values>
          <value t="str">
            <val>加權指數</val>
          </value>
        </values>
      </ddeItem>
      <ddeItem name="PWFB1.406" advise="1">
        <values>
          <value t="str">
            <val xml:space="preserve"> -</val>
          </value>
        </values>
      </ddeItem>
      <ddeItem name="PWFB1.407" advise="1">
        <values>
          <value t="str">
            <val xml:space="preserve"> -</val>
          </value>
        </values>
      </ddeItem>
      <ddeItem name="PWFB1.431" advise="1">
        <values>
          <value t="str">
            <val>-</val>
          </value>
        </values>
      </ddeItem>
      <ddeItem name="PWFB1.437" advise="1">
        <values>
          <value t="str">
            <val xml:space="preserve"> -</val>
          </value>
        </values>
      </ddeItem>
      <ddeItem name="PXFB1.123" advise="1">
        <values>
          <value>
            <val>100140</val>
          </value>
        </values>
      </ddeItem>
      <ddeItem name="PXFB1.124" advise="1">
        <values>
          <value>
            <val>13893.18</val>
          </value>
        </values>
      </ddeItem>
      <ddeItem name="PXFB1.125" advise="1">
        <values>
          <value>
            <val>6.6</val>
          </value>
        </values>
      </ddeItem>
      <ddeItem name="PXFB1.128" advise="1">
        <values>
          <value>
            <val>720</val>
          </value>
        </values>
      </ddeItem>
      <ddeItem name="PXFB1.130" advise="1">
        <values>
          <value>
            <val>13893.03</val>
          </value>
        </values>
      </ddeItem>
      <ddeItem name="PXFB1.131" advise="1">
        <values>
          <value>
            <val>13945.78</val>
          </value>
        </values>
      </ddeItem>
      <ddeItem name="PXFB1.132" advise="1">
        <values>
          <value>
            <val>13875.82</val>
          </value>
        </values>
      </ddeItem>
      <ddeItem name="PXFB1.133" advise="1">
        <values>
          <value>
            <val>872505</val>
          </value>
        </values>
      </ddeItem>
      <ddeItem name="PXFB1.135" advise="1">
        <values>
          <value t="str">
            <val xml:space="preserve"> -</val>
          </value>
        </values>
      </ddeItem>
      <ddeItem name="PXFB1.136" advise="1">
        <values>
          <value t="str">
            <val xml:space="preserve"> -</val>
          </value>
        </values>
      </ddeItem>
      <ddeItem name="PXFB1.201" advise="1">
        <values>
          <value t="str">
            <val xml:space="preserve"> -</val>
          </value>
        </values>
      </ddeItem>
      <ddeItem name="PXFB1.202" advise="1">
        <values>
          <value t="str">
            <val xml:space="preserve"> -</val>
          </value>
        </values>
      </ddeItem>
      <ddeItem name="PXFB1.203" advise="1">
        <values>
          <value t="str">
            <val xml:space="preserve"> -</val>
          </value>
        </values>
      </ddeItem>
      <ddeItem name="PXFB1.204" advise="1">
        <values>
          <value t="str">
            <val xml:space="preserve"> -</val>
          </value>
        </values>
      </ddeItem>
      <ddeItem name="PXFB1.205" advise="1">
        <values>
          <value t="str">
            <val xml:space="preserve"> -</val>
          </value>
        </values>
      </ddeItem>
      <ddeItem name="PXFB1.211" advise="1">
        <values>
          <value t="str">
            <val xml:space="preserve"> -</val>
          </value>
        </values>
      </ddeItem>
      <ddeItem name="PXFB1.212" advise="1">
        <values>
          <value t="str">
            <val xml:space="preserve"> -</val>
          </value>
        </values>
      </ddeItem>
      <ddeItem name="PXFB1.213" advise="1">
        <values>
          <value t="str">
            <val xml:space="preserve"> -</val>
          </value>
        </values>
      </ddeItem>
      <ddeItem name="PXFB1.214" advise="1">
        <values>
          <value t="str">
            <val xml:space="preserve"> -</val>
          </value>
        </values>
      </ddeItem>
      <ddeItem name="PXFB1.215" advise="1">
        <values>
          <value t="str">
            <val xml:space="preserve"> -</val>
          </value>
        </values>
      </ddeItem>
      <ddeItem name="PXFB1.221" advise="1">
        <values>
          <value t="str">
            <val>-</val>
          </value>
        </values>
      </ddeItem>
      <ddeItem name="PXFB1.222" advise="1">
        <values>
          <value t="str">
            <val>-</val>
          </value>
        </values>
      </ddeItem>
      <ddeItem name="PXFB1.223" advise="1">
        <values>
          <value t="str">
            <val>-</val>
          </value>
        </values>
      </ddeItem>
      <ddeItem name="PXFB1.224" advise="1">
        <values>
          <value t="str">
            <val>-</val>
          </value>
        </values>
      </ddeItem>
      <ddeItem name="PXFB1.225" advise="1">
        <values>
          <value t="str">
            <val>-</val>
          </value>
        </values>
      </ddeItem>
      <ddeItem name="PXFB1.231" advise="1">
        <values>
          <value t="str">
            <val>-</val>
          </value>
        </values>
      </ddeItem>
      <ddeItem name="PXFB1.232" advise="1">
        <values>
          <value t="str">
            <val>-</val>
          </value>
        </values>
      </ddeItem>
      <ddeItem name="PXFB1.233" advise="1">
        <values>
          <value t="str">
            <val>-</val>
          </value>
        </values>
      </ddeItem>
      <ddeItem name="PXFB1.234" advise="1">
        <values>
          <value t="str">
            <val>-</val>
          </value>
        </values>
      </ddeItem>
      <ddeItem name="PXFB1.235" advise="1">
        <values>
          <value t="str">
            <val>-</val>
          </value>
        </values>
      </ddeItem>
      <ddeItem name="PXFB1.402" advise="1">
        <values>
          <value t="str">
            <val>不含金電</val>
          </value>
        </values>
      </ddeItem>
      <ddeItem name="PXFB1.406" advise="1">
        <values>
          <value t="str">
            <val xml:space="preserve"> -</val>
          </value>
        </values>
      </ddeItem>
      <ddeItem name="PXFB1.407" advise="1">
        <values>
          <value t="str">
            <val xml:space="preserve"> -</val>
          </value>
        </values>
      </ddeItem>
      <ddeItem name="PXFB1.431" advise="1">
        <values>
          <value t="str">
            <val>-</val>
          </value>
        </values>
      </ddeItem>
      <ddeItem name="PXFB1.437" advise="1">
        <values>
          <value t="str">
            <val xml:space="preserve"> -</val>
          </value>
        </values>
      </ddeItem>
      <ddeItem name="PYFB1.123" advise="1">
        <values>
          <value>
            <val>100140</val>
          </value>
        </values>
      </ddeItem>
      <ddeItem name="PYFB1.124" advise="1">
        <values>
          <value>
            <val>16428.68</val>
          </value>
        </values>
      </ddeItem>
      <ddeItem name="PYFB1.125" advise="1">
        <values>
          <value>
            <val>-14.72</val>
          </value>
        </values>
      </ddeItem>
      <ddeItem name="PYFB1.128" advise="1">
        <values>
          <value>
            <val>2686</val>
          </value>
        </values>
      </ddeItem>
      <ddeItem name="PYFB1.130" advise="1">
        <values>
          <value>
            <val>16329.54</val>
          </value>
        </values>
      </ddeItem>
      <ddeItem name="PYFB1.131" advise="1">
        <values>
          <value>
            <val>16456.939999999999</val>
          </value>
        </values>
      </ddeItem>
      <ddeItem name="PYFB1.132" advise="1">
        <values>
          <value>
            <val>16329.54</val>
          </value>
        </values>
      </ddeItem>
      <ddeItem name="PYFB1.133" advise="1">
        <values>
          <value>
            <val>4022793</val>
          </value>
        </values>
      </ddeItem>
      <ddeItem name="PYFB1.135" advise="1">
        <values>
          <value t="str">
            <val xml:space="preserve"> -</val>
          </value>
        </values>
      </ddeItem>
      <ddeItem name="PYFB1.136" advise="1">
        <values>
          <value t="str">
            <val xml:space="preserve"> -</val>
          </value>
        </values>
      </ddeItem>
      <ddeItem name="PYFB1.201" advise="1">
        <values>
          <value t="str">
            <val xml:space="preserve"> -</val>
          </value>
        </values>
      </ddeItem>
      <ddeItem name="PYFB1.202" advise="1">
        <values>
          <value t="str">
            <val xml:space="preserve"> -</val>
          </value>
        </values>
      </ddeItem>
      <ddeItem name="PYFB1.203" advise="1">
        <values>
          <value t="str">
            <val xml:space="preserve"> -</val>
          </value>
        </values>
      </ddeItem>
      <ddeItem name="PYFB1.204" advise="1">
        <values>
          <value t="str">
            <val xml:space="preserve"> -</val>
          </value>
        </values>
      </ddeItem>
      <ddeItem name="PYFB1.205" advise="1">
        <values>
          <value t="str">
            <val xml:space="preserve"> -</val>
          </value>
        </values>
      </ddeItem>
      <ddeItem name="PYFB1.211" advise="1">
        <values>
          <value t="str">
            <val xml:space="preserve"> -</val>
          </value>
        </values>
      </ddeItem>
      <ddeItem name="PYFB1.212" advise="1">
        <values>
          <value t="str">
            <val xml:space="preserve"> -</val>
          </value>
        </values>
      </ddeItem>
      <ddeItem name="PYFB1.213" advise="1">
        <values>
          <value t="str">
            <val xml:space="preserve"> -</val>
          </value>
        </values>
      </ddeItem>
      <ddeItem name="PYFB1.214" advise="1">
        <values>
          <value t="str">
            <val xml:space="preserve"> -</val>
          </value>
        </values>
      </ddeItem>
      <ddeItem name="PYFB1.215" advise="1">
        <values>
          <value t="str">
            <val xml:space="preserve"> -</val>
          </value>
        </values>
      </ddeItem>
      <ddeItem name="PYFB1.221" advise="1">
        <values>
          <value t="str">
            <val>-</val>
          </value>
        </values>
      </ddeItem>
      <ddeItem name="PYFB1.222" advise="1">
        <values>
          <value t="str">
            <val>-</val>
          </value>
        </values>
      </ddeItem>
      <ddeItem name="PYFB1.223" advise="1">
        <values>
          <value t="str">
            <val>-</val>
          </value>
        </values>
      </ddeItem>
      <ddeItem name="PYFB1.224" advise="1">
        <values>
          <value t="str">
            <val>-</val>
          </value>
        </values>
      </ddeItem>
      <ddeItem name="PYFB1.225" advise="1">
        <values>
          <value t="str">
            <val>-</val>
          </value>
        </values>
      </ddeItem>
      <ddeItem name="PYFB1.231" advise="1">
        <values>
          <value t="str">
            <val>-</val>
          </value>
        </values>
      </ddeItem>
      <ddeItem name="PYFB1.232" advise="1">
        <values>
          <value t="str">
            <val>-</val>
          </value>
        </values>
      </ddeItem>
      <ddeItem name="PYFB1.233" advise="1">
        <values>
          <value t="str">
            <val>-</val>
          </value>
        </values>
      </ddeItem>
      <ddeItem name="PYFB1.234" advise="1">
        <values>
          <value t="str">
            <val>-</val>
          </value>
        </values>
      </ddeItem>
      <ddeItem name="PYFB1.235" advise="1">
        <values>
          <value t="str">
            <val>-</val>
          </value>
        </values>
      </ddeItem>
      <ddeItem name="PYFB1.402" advise="1">
        <values>
          <value t="str">
            <val>加權指數</val>
          </value>
        </values>
      </ddeItem>
      <ddeItem name="PYFB1.406" advise="1">
        <values>
          <value t="str">
            <val xml:space="preserve"> -</val>
          </value>
        </values>
      </ddeItem>
      <ddeItem name="PYFB1.407" advise="1">
        <values>
          <value t="str">
            <val xml:space="preserve"> -</val>
          </value>
        </values>
      </ddeItem>
      <ddeItem name="PYFB1.431" advise="1">
        <values>
          <value t="str">
            <val>-</val>
          </value>
        </values>
      </ddeItem>
      <ddeItem name="PYFB1.437" advise="1">
        <values>
          <value t="str">
            <val xml:space="preserve"> -</val>
          </value>
        </values>
      </ddeItem>
      <ddeItem name="PZFB1.123" advise="1">
        <values>
          <value>
            <val>100140</val>
          </value>
        </values>
      </ddeItem>
      <ddeItem name="PZFB1.124" advise="1">
        <values>
          <value>
            <val>16428.68</val>
          </value>
        </values>
      </ddeItem>
      <ddeItem name="PZFB1.125" advise="1">
        <values>
          <value>
            <val>-14.72</val>
          </value>
        </values>
      </ddeItem>
      <ddeItem name="PZFB1.128" advise="1">
        <values>
          <value>
            <val>2686</val>
          </value>
        </values>
      </ddeItem>
      <ddeItem name="PZFB1.130" advise="1">
        <values>
          <value>
            <val>16329.54</val>
          </value>
        </values>
      </ddeItem>
      <ddeItem name="PZFB1.131" advise="1">
        <values>
          <value>
            <val>16456.939999999999</val>
          </value>
        </values>
      </ddeItem>
      <ddeItem name="PZFB1.132" advise="1">
        <values>
          <value>
            <val>16329.54</val>
          </value>
        </values>
      </ddeItem>
      <ddeItem name="PZFB1.133" advise="1">
        <values>
          <value>
            <val>4022793</val>
          </value>
        </values>
      </ddeItem>
      <ddeItem name="PZFB1.135" advise="1">
        <values>
          <value t="str">
            <val xml:space="preserve"> -</val>
          </value>
        </values>
      </ddeItem>
      <ddeItem name="PZFB1.136" advise="1">
        <values>
          <value t="str">
            <val xml:space="preserve"> -</val>
          </value>
        </values>
      </ddeItem>
      <ddeItem name="PZFB1.201" advise="1">
        <values>
          <value t="str">
            <val xml:space="preserve"> -</val>
          </value>
        </values>
      </ddeItem>
      <ddeItem name="PZFB1.202" advise="1">
        <values>
          <value t="str">
            <val xml:space="preserve"> -</val>
          </value>
        </values>
      </ddeItem>
      <ddeItem name="PZFB1.203" advise="1">
        <values>
          <value t="str">
            <val xml:space="preserve"> -</val>
          </value>
        </values>
      </ddeItem>
      <ddeItem name="PZFB1.204" advise="1">
        <values>
          <value t="str">
            <val xml:space="preserve"> -</val>
          </value>
        </values>
      </ddeItem>
      <ddeItem name="PZFB1.205" advise="1">
        <values>
          <value t="str">
            <val xml:space="preserve"> -</val>
          </value>
        </values>
      </ddeItem>
      <ddeItem name="PZFB1.211" advise="1">
        <values>
          <value t="str">
            <val xml:space="preserve"> -</val>
          </value>
        </values>
      </ddeItem>
      <ddeItem name="PZFB1.212" advise="1">
        <values>
          <value t="str">
            <val xml:space="preserve"> -</val>
          </value>
        </values>
      </ddeItem>
      <ddeItem name="PZFB1.213" advise="1">
        <values>
          <value t="str">
            <val xml:space="preserve"> -</val>
          </value>
        </values>
      </ddeItem>
      <ddeItem name="PZFB1.214" advise="1">
        <values>
          <value t="str">
            <val xml:space="preserve"> -</val>
          </value>
        </values>
      </ddeItem>
      <ddeItem name="PZFB1.215" advise="1">
        <values>
          <value t="str">
            <val xml:space="preserve"> -</val>
          </value>
        </values>
      </ddeItem>
      <ddeItem name="PZFB1.221" advise="1">
        <values>
          <value t="str">
            <val>-</val>
          </value>
        </values>
      </ddeItem>
      <ddeItem name="PZFB1.222" advise="1">
        <values>
          <value t="str">
            <val>-</val>
          </value>
        </values>
      </ddeItem>
      <ddeItem name="PZFB1.223" advise="1">
        <values>
          <value t="str">
            <val>-</val>
          </value>
        </values>
      </ddeItem>
      <ddeItem name="PZFB1.224" advise="1">
        <values>
          <value t="str">
            <val>-</val>
          </value>
        </values>
      </ddeItem>
      <ddeItem name="PZFB1.225" advise="1">
        <values>
          <value t="str">
            <val>-</val>
          </value>
        </values>
      </ddeItem>
      <ddeItem name="PZFB1.231" advise="1">
        <values>
          <value t="str">
            <val>-</val>
          </value>
        </values>
      </ddeItem>
      <ddeItem name="PZFB1.232" advise="1">
        <values>
          <value t="str">
            <val>-</val>
          </value>
        </values>
      </ddeItem>
      <ddeItem name="PZFB1.233" advise="1">
        <values>
          <value t="str">
            <val>-</val>
          </value>
        </values>
      </ddeItem>
      <ddeItem name="PZFB1.234" advise="1">
        <values>
          <value t="str">
            <val>-</val>
          </value>
        </values>
      </ddeItem>
      <ddeItem name="PZFB1.235" advise="1">
        <values>
          <value t="str">
            <val>-</val>
          </value>
        </values>
      </ddeItem>
      <ddeItem name="PZFB1.402" advise="1">
        <values>
          <value t="str">
            <val>加權指數</val>
          </value>
        </values>
      </ddeItem>
      <ddeItem name="PZFB1.406" advise="1">
        <values>
          <value t="str">
            <val xml:space="preserve"> -</val>
          </value>
        </values>
      </ddeItem>
      <ddeItem name="PZFB1.407" advise="1">
        <values>
          <value t="str">
            <val xml:space="preserve"> -</val>
          </value>
        </values>
      </ddeItem>
      <ddeItem name="PZFB1.431" advise="1">
        <values>
          <value t="str">
            <val>-</val>
          </value>
        </values>
      </ddeItem>
      <ddeItem name="PZFB1.437" advise="1">
        <values>
          <value t="str">
            <val xml:space="preserve"> -</val>
          </value>
        </values>
      </ddeItem>
      <ddeItem name="QAFB1.123" advise="1">
        <values>
          <value>
            <val>100130</val>
          </value>
        </values>
      </ddeItem>
      <ddeItem name="QAFB1.124" advise="1">
        <values>
          <value>
            <val>16422.080000000002</val>
          </value>
        </values>
      </ddeItem>
      <ddeItem name="QAFB1.125" advise="1">
        <values>
          <value>
            <val>-21.32</val>
          </value>
        </values>
      </ddeItem>
      <ddeItem name="QAFB1.128" advise="1">
        <values>
          <value>
            <val>3347</val>
          </value>
        </values>
      </ddeItem>
      <ddeItem name="QAFB1.130" advise="1">
        <values>
          <value>
            <val>16329.54</val>
          </value>
        </values>
      </ddeItem>
      <ddeItem name="QAFB1.131" advise="1">
        <values>
          <value>
            <val>16456.939999999999</val>
          </value>
        </values>
      </ddeItem>
      <ddeItem name="QAFB1.132" advise="1">
        <values>
          <value>
            <val>16329.54</val>
          </value>
        </values>
      </ddeItem>
      <ddeItem name="QAFB1.133" advise="1">
        <values>
          <value>
            <val>4018459</val>
          </value>
        </values>
      </ddeItem>
      <ddeItem name="QAFB1.135" advise="1">
        <values>
          <value t="str">
            <val xml:space="preserve"> -</val>
          </value>
        </values>
      </ddeItem>
      <ddeItem name="QAFB1.136" advise="1">
        <values>
          <value t="str">
            <val xml:space="preserve"> -</val>
          </value>
        </values>
      </ddeItem>
      <ddeItem name="QAFB1.201" advise="1">
        <values>
          <value t="str">
            <val xml:space="preserve"> -</val>
          </value>
        </values>
      </ddeItem>
      <ddeItem name="QAFB1.202" advise="1">
        <values>
          <value t="str">
            <val xml:space="preserve"> -</val>
          </value>
        </values>
      </ddeItem>
      <ddeItem name="QAFB1.203" advise="1">
        <values>
          <value t="str">
            <val xml:space="preserve"> -</val>
          </value>
        </values>
      </ddeItem>
      <ddeItem name="QAFB1.204" advise="1">
        <values>
          <value t="str">
            <val xml:space="preserve"> -</val>
          </value>
        </values>
      </ddeItem>
      <ddeItem name="QAFB1.205" advise="1">
        <values>
          <value t="str">
            <val xml:space="preserve"> -</val>
          </value>
        </values>
      </ddeItem>
      <ddeItem name="QAFB1.211" advise="1">
        <values>
          <value t="str">
            <val xml:space="preserve"> -</val>
          </value>
        </values>
      </ddeItem>
      <ddeItem name="QAFB1.212" advise="1">
        <values>
          <value t="str">
            <val xml:space="preserve"> -</val>
          </value>
        </values>
      </ddeItem>
      <ddeItem name="QAFB1.213" advise="1">
        <values>
          <value t="str">
            <val xml:space="preserve"> -</val>
          </value>
        </values>
      </ddeItem>
      <ddeItem name="QAFB1.214" advise="1">
        <values>
          <value t="str">
            <val xml:space="preserve"> -</val>
          </value>
        </values>
      </ddeItem>
      <ddeItem name="QAFB1.215" advise="1">
        <values>
          <value t="str">
            <val xml:space="preserve"> -</val>
          </value>
        </values>
      </ddeItem>
      <ddeItem name="QAFB1.221" advise="1">
        <values>
          <value t="str">
            <val>-</val>
          </value>
        </values>
      </ddeItem>
      <ddeItem name="QAFB1.222" advise="1">
        <values>
          <value t="str">
            <val>-</val>
          </value>
        </values>
      </ddeItem>
      <ddeItem name="QAFB1.223" advise="1">
        <values>
          <value t="str">
            <val>-</val>
          </value>
        </values>
      </ddeItem>
      <ddeItem name="QAFB1.224" advise="1">
        <values>
          <value t="str">
            <val>-</val>
          </value>
        </values>
      </ddeItem>
      <ddeItem name="QAFB1.225" advise="1">
        <values>
          <value t="str">
            <val>-</val>
          </value>
        </values>
      </ddeItem>
      <ddeItem name="QAFB1.231" advise="1">
        <values>
          <value t="str">
            <val>-</val>
          </value>
        </values>
      </ddeItem>
      <ddeItem name="QAFB1.232" advise="1">
        <values>
          <value t="str">
            <val>-</val>
          </value>
        </values>
      </ddeItem>
      <ddeItem name="QAFB1.233" advise="1">
        <values>
          <value t="str">
            <val>-</val>
          </value>
        </values>
      </ddeItem>
      <ddeItem name="QAFB1.234" advise="1">
        <values>
          <value t="str">
            <val>-</val>
          </value>
        </values>
      </ddeItem>
      <ddeItem name="QAFB1.235" advise="1">
        <values>
          <value t="str">
            <val>-</val>
          </value>
        </values>
      </ddeItem>
      <ddeItem name="QAFB1.402" advise="1">
        <values>
          <value t="str">
            <val>加權指數</val>
          </value>
        </values>
      </ddeItem>
      <ddeItem name="QAFB1.406" advise="1">
        <values>
          <value t="str">
            <val xml:space="preserve"> -</val>
          </value>
        </values>
      </ddeItem>
      <ddeItem name="QAFB1.407" advise="1">
        <values>
          <value t="str">
            <val xml:space="preserve"> -</val>
          </value>
        </values>
      </ddeItem>
      <ddeItem name="QAFB1.431" advise="1">
        <values>
          <value t="str">
            <val>-</val>
          </value>
        </values>
      </ddeItem>
      <ddeItem name="QAFB1.437" advise="1">
        <values>
          <value t="str">
            <val xml:space="preserve"> -</val>
          </value>
        </values>
      </ddeItem>
      <ddeItem name="QB1C1.123" advise="1">
        <values>
          <value>
            <val>111524</val>
          </value>
        </values>
      </ddeItem>
      <ddeItem name="QB1C1.124" advise="1">
        <values>
          <value>
            <val>86</val>
          </value>
        </values>
      </ddeItem>
      <ddeItem name="QB1C1.125" advise="1">
        <values>
          <value>
            <val>0.3</val>
          </value>
        </values>
      </ddeItem>
      <ddeItem name="QB1C1.128" advise="1">
        <values>
          <value>
            <val>1</val>
          </value>
        </values>
      </ddeItem>
      <ddeItem name="QB1C1.130" advise="1">
        <values>
          <value>
            <val>86.5</val>
          </value>
        </values>
      </ddeItem>
      <ddeItem name="QB1C1.131" advise="1">
        <values>
          <value>
            <val>86.5</val>
          </value>
        </values>
      </ddeItem>
      <ddeItem name="QB1C1.132" advise="1">
        <values>
          <value>
            <val>86</val>
          </value>
        </values>
      </ddeItem>
      <ddeItem name="QB1C1.133" advise="1">
        <values>
          <value>
            <val>3</val>
          </value>
        </values>
      </ddeItem>
      <ddeItem name="QB1C1.135" advise="1">
        <values>
          <value>
            <val>83.8</val>
          </value>
        </values>
      </ddeItem>
      <ddeItem name="QB1C1.136" advise="1">
        <values>
          <value>
            <val>85.7</val>
          </value>
        </values>
      </ddeItem>
      <ddeItem name="QB1C1.201" advise="1">
        <values>
          <value>
            <val>83.8</val>
          </value>
        </values>
      </ddeItem>
      <ddeItem name="QB1C1.202" advise="1">
        <values>
          <value t="str">
            <val xml:space="preserve"> </val>
          </value>
        </values>
      </ddeItem>
      <ddeItem name="QB1C1.203" advise="1">
        <values>
          <value t="str">
            <val xml:space="preserve"> </val>
          </value>
        </values>
      </ddeItem>
      <ddeItem name="QB1C1.204" advise="1">
        <values>
          <value t="str">
            <val xml:space="preserve"> </val>
          </value>
        </values>
      </ddeItem>
      <ddeItem name="QB1C1.205" advise="1">
        <values>
          <value t="str">
            <val xml:space="preserve"> </val>
          </value>
        </values>
      </ddeItem>
      <ddeItem name="QB1C1.211" advise="1">
        <values>
          <value>
            <val>85.7</val>
          </value>
        </values>
      </ddeItem>
      <ddeItem name="QB1C1.212" advise="1">
        <values>
          <value t="str">
            <val xml:space="preserve"> </val>
          </value>
        </values>
      </ddeItem>
      <ddeItem name="QB1C1.213" advise="1">
        <values>
          <value t="str">
            <val xml:space="preserve"> </val>
          </value>
        </values>
      </ddeItem>
      <ddeItem name="QB1C1.214" advise="1">
        <values>
          <value t="str">
            <val xml:space="preserve"> </val>
          </value>
        </values>
      </ddeItem>
      <ddeItem name="QB1C1.215" advise="1">
        <values>
          <value t="str">
            <val xml:space="preserve"> </val>
          </value>
        </values>
      </ddeItem>
      <ddeItem name="QB1C1.221" advise="1">
        <values>
          <value>
            <val>2</val>
          </value>
        </values>
      </ddeItem>
      <ddeItem name="QB1C1.222" advise="1">
        <values>
          <value>
            <val>0</val>
          </value>
        </values>
      </ddeItem>
      <ddeItem name="QB1C1.223" advise="1">
        <values>
          <value>
            <val>0</val>
          </value>
        </values>
      </ddeItem>
      <ddeItem name="QB1C1.224" advise="1">
        <values>
          <value>
            <val>0</val>
          </value>
        </values>
      </ddeItem>
      <ddeItem name="QB1C1.225" advise="1">
        <values>
          <value>
            <val>0</val>
          </value>
        </values>
      </ddeItem>
      <ddeItem name="QB1C1.231" advise="1">
        <values>
          <value>
            <val>1</val>
          </value>
        </values>
      </ddeItem>
      <ddeItem name="QB1C1.232" advise="1">
        <values>
          <value>
            <val>0</val>
          </value>
        </values>
      </ddeItem>
      <ddeItem name="QB1C1.233" advise="1">
        <values>
          <value>
            <val>0</val>
          </value>
        </values>
      </ddeItem>
      <ddeItem name="QB1C1.234" advise="1">
        <values>
          <value>
            <val>0</val>
          </value>
        </values>
      </ddeItem>
      <ddeItem name="QB1C1.235" advise="1">
        <values>
          <value>
            <val>0</val>
          </value>
        </values>
      </ddeItem>
      <ddeItem name="QB1C1.402" advise="1">
        <values>
          <value t="str">
            <val>富采1-03</val>
          </value>
        </values>
      </ddeItem>
      <ddeItem name="QB1C1.406" advise="1">
        <values>
          <value>
            <val>94.2</val>
          </value>
        </values>
      </ddeItem>
      <ddeItem name="QB1C1.407" advise="1">
        <values>
          <value>
            <val>77.2</val>
          </value>
        </values>
      </ddeItem>
      <ddeItem name="QB1C1.431" advise="1">
        <values>
          <value>
            <val>20210224</val>
          </value>
        </values>
      </ddeItem>
      <ddeItem name="QB1C1.437" advise="1">
        <values>
          <value>
            <val>85.89</val>
          </value>
        </values>
      </ddeItem>
      <ddeItem name="QB2C1.123" advise="1">
        <values>
          <value>
            <val>113343</val>
          </value>
        </values>
      </ddeItem>
      <ddeItem name="QB2C1.124" advise="1">
        <values>
          <value>
            <val>85.4</val>
          </value>
        </values>
      </ddeItem>
      <ddeItem name="QB2C1.125" advise="1">
        <values>
          <value>
            <val>-0.3</val>
          </value>
        </values>
      </ddeItem>
      <ddeItem name="QB2C1.128" advise="1">
        <values>
          <value>
            <val>1</val>
          </value>
        </values>
      </ddeItem>
      <ddeItem name="QB2C1.130" advise="1">
        <values>
          <value>
            <val>86.4</val>
          </value>
        </values>
      </ddeItem>
      <ddeItem name="QB2C1.131" advise="1">
        <values>
          <value>
            <val>86.4</val>
          </value>
        </values>
      </ddeItem>
      <ddeItem name="QB2C1.132" advise="1">
        <values>
          <value>
            <val>85.4</val>
          </value>
        </values>
      </ddeItem>
      <ddeItem name="QB2C1.133" advise="1">
        <values>
          <value>
            <val>3</val>
          </value>
        </values>
      </ddeItem>
      <ddeItem name="QB2C1.135" advise="1">
        <values>
          <value>
            <val>83.8</val>
          </value>
        </values>
      </ddeItem>
      <ddeItem name="QB2C1.136" advise="1">
        <values>
          <value>
            <val>87.5</val>
          </value>
        </values>
      </ddeItem>
      <ddeItem name="QB2C1.201" advise="1">
        <values>
          <value>
            <val>83.8</val>
          </value>
        </values>
      </ddeItem>
      <ddeItem name="QB2C1.202" advise="1">
        <values>
          <value t="str">
            <val xml:space="preserve"> </val>
          </value>
        </values>
      </ddeItem>
      <ddeItem name="QB2C1.203" advise="1">
        <values>
          <value t="str">
            <val xml:space="preserve"> </val>
          </value>
        </values>
      </ddeItem>
      <ddeItem name="QB2C1.204" advise="1">
        <values>
          <value t="str">
            <val xml:space="preserve"> </val>
          </value>
        </values>
      </ddeItem>
      <ddeItem name="QB2C1.205" advise="1">
        <values>
          <value t="str">
            <val xml:space="preserve"> </val>
          </value>
        </values>
      </ddeItem>
      <ddeItem name="QB2C1.211" advise="1">
        <values>
          <value>
            <val>87.5</val>
          </value>
        </values>
      </ddeItem>
      <ddeItem name="QB2C1.212" advise="1">
        <values>
          <value t="str">
            <val xml:space="preserve"> </val>
          </value>
        </values>
      </ddeItem>
      <ddeItem name="QB2C1.213" advise="1">
        <values>
          <value t="str">
            <val xml:space="preserve"> </val>
          </value>
        </values>
      </ddeItem>
      <ddeItem name="QB2C1.214" advise="1">
        <values>
          <value t="str">
            <val xml:space="preserve"> </val>
          </value>
        </values>
      </ddeItem>
      <ddeItem name="QB2C1.215" advise="1">
        <values>
          <value t="str">
            <val xml:space="preserve"> </val>
          </value>
        </values>
      </ddeItem>
      <ddeItem name="QB2C1.221" advise="1">
        <values>
          <value>
            <val>2</val>
          </value>
        </values>
      </ddeItem>
      <ddeItem name="QB2C1.222" advise="1">
        <values>
          <value>
            <val>0</val>
          </value>
        </values>
      </ddeItem>
      <ddeItem name="QB2C1.223" advise="1">
        <values>
          <value>
            <val>0</val>
          </value>
        </values>
      </ddeItem>
      <ddeItem name="QB2C1.224" advise="1">
        <values>
          <value>
            <val>0</val>
          </value>
        </values>
      </ddeItem>
      <ddeItem name="QB2C1.225" advise="1">
        <values>
          <value>
            <val>0</val>
          </value>
        </values>
      </ddeItem>
      <ddeItem name="QB2C1.231" advise="1">
        <values>
          <value>
            <val>2</val>
          </value>
        </values>
      </ddeItem>
      <ddeItem name="QB2C1.232" advise="1">
        <values>
          <value>
            <val>0</val>
          </value>
        </values>
      </ddeItem>
      <ddeItem name="QB2C1.233" advise="1">
        <values>
          <value>
            <val>0</val>
          </value>
        </values>
      </ddeItem>
      <ddeItem name="QB2C1.234" advise="1">
        <values>
          <value>
            <val>0</val>
          </value>
        </values>
      </ddeItem>
      <ddeItem name="QB2C1.235" advise="1">
        <values>
          <value>
            <val>0</val>
          </value>
        </values>
      </ddeItem>
      <ddeItem name="QB2C1.402" advise="1">
        <values>
          <value t="str">
            <val>富采2-03</val>
          </value>
        </values>
      </ddeItem>
      <ddeItem name="QB2C1.406" advise="1">
        <values>
          <value>
            <val>94.2</val>
          </value>
        </values>
      </ddeItem>
      <ddeItem name="QB2C1.407" advise="1">
        <values>
          <value>
            <val>77.2</val>
          </value>
        </values>
      </ddeItem>
      <ddeItem name="QB2C1.431" advise="1">
        <values>
          <value>
            <val>20210224</val>
          </value>
        </values>
      </ddeItem>
      <ddeItem name="QB2C1.437" advise="1">
        <values>
          <value>
            <val>85.39</val>
          </value>
        </values>
      </ddeItem>
      <ddeItem name="QBFB1.123" advise="1">
        <values>
          <value>
            <val>100130</val>
          </value>
        </values>
      </ddeItem>
      <ddeItem name="QBFB1.124" advise="1">
        <values>
          <value>
            <val>16422.080000000002</val>
          </value>
        </values>
      </ddeItem>
      <ddeItem name="QBFB1.125" advise="1">
        <values>
          <value>
            <val>-21.32</val>
          </value>
        </values>
      </ddeItem>
      <ddeItem name="QBFB1.128" advise="1">
        <values>
          <value>
            <val>3347</val>
          </value>
        </values>
      </ddeItem>
      <ddeItem name="QBFB1.130" advise="1">
        <values>
          <value>
            <val>16329.54</val>
          </value>
        </values>
      </ddeItem>
      <ddeItem name="QBFB1.131" advise="1">
        <values>
          <value>
            <val>16456.939999999999</val>
          </value>
        </values>
      </ddeItem>
      <ddeItem name="QBFB1.132" advise="1">
        <values>
          <value>
            <val>16329.54</val>
          </value>
        </values>
      </ddeItem>
      <ddeItem name="QBFB1.133" advise="1">
        <values>
          <value>
            <val>4018459</val>
          </value>
        </values>
      </ddeItem>
      <ddeItem name="QBFB1.135" advise="1">
        <values>
          <value t="str">
            <val xml:space="preserve"> -</val>
          </value>
        </values>
      </ddeItem>
      <ddeItem name="QBFB1.136" advise="1">
        <values>
          <value t="str">
            <val xml:space="preserve"> -</val>
          </value>
        </values>
      </ddeItem>
      <ddeItem name="QBFB1.201" advise="1">
        <values>
          <value t="str">
            <val xml:space="preserve"> -</val>
          </value>
        </values>
      </ddeItem>
      <ddeItem name="QBFB1.202" advise="1">
        <values>
          <value t="str">
            <val xml:space="preserve"> -</val>
          </value>
        </values>
      </ddeItem>
      <ddeItem name="QBFB1.203" advise="1">
        <values>
          <value t="str">
            <val xml:space="preserve"> -</val>
          </value>
        </values>
      </ddeItem>
      <ddeItem name="QBFB1.204" advise="1">
        <values>
          <value t="str">
            <val xml:space="preserve"> -</val>
          </value>
        </values>
      </ddeItem>
      <ddeItem name="QBFB1.205" advise="1">
        <values>
          <value t="str">
            <val xml:space="preserve"> -</val>
          </value>
        </values>
      </ddeItem>
      <ddeItem name="QBFB1.211" advise="1">
        <values>
          <value t="str">
            <val xml:space="preserve"> -</val>
          </value>
        </values>
      </ddeItem>
      <ddeItem name="QBFB1.212" advise="1">
        <values>
          <value t="str">
            <val xml:space="preserve"> -</val>
          </value>
        </values>
      </ddeItem>
      <ddeItem name="QBFB1.213" advise="1">
        <values>
          <value t="str">
            <val xml:space="preserve"> -</val>
          </value>
        </values>
      </ddeItem>
      <ddeItem name="QBFB1.214" advise="1">
        <values>
          <value t="str">
            <val xml:space="preserve"> -</val>
          </value>
        </values>
      </ddeItem>
      <ddeItem name="QBFB1.215" advise="1">
        <values>
          <value t="str">
            <val xml:space="preserve"> -</val>
          </value>
        </values>
      </ddeItem>
      <ddeItem name="QBFB1.221" advise="1">
        <values>
          <value t="str">
            <val>-</val>
          </value>
        </values>
      </ddeItem>
      <ddeItem name="QBFB1.222" advise="1">
        <values>
          <value t="str">
            <val>-</val>
          </value>
        </values>
      </ddeItem>
      <ddeItem name="QBFB1.223" advise="1">
        <values>
          <value t="str">
            <val>-</val>
          </value>
        </values>
      </ddeItem>
      <ddeItem name="QBFB1.224" advise="1">
        <values>
          <value t="str">
            <val>-</val>
          </value>
        </values>
      </ddeItem>
      <ddeItem name="QBFB1.225" advise="1">
        <values>
          <value t="str">
            <val>-</val>
          </value>
        </values>
      </ddeItem>
      <ddeItem name="QBFB1.231" advise="1">
        <values>
          <value t="str">
            <val>-</val>
          </value>
        </values>
      </ddeItem>
      <ddeItem name="QBFB1.232" advise="1">
        <values>
          <value t="str">
            <val>-</val>
          </value>
        </values>
      </ddeItem>
      <ddeItem name="QBFB1.233" advise="1">
        <values>
          <value t="str">
            <val>-</val>
          </value>
        </values>
      </ddeItem>
      <ddeItem name="QBFB1.234" advise="1">
        <values>
          <value t="str">
            <val>-</val>
          </value>
        </values>
      </ddeItem>
      <ddeItem name="QBFB1.235" advise="1">
        <values>
          <value t="str">
            <val>-</val>
          </value>
        </values>
      </ddeItem>
      <ddeItem name="QBFB1.402" advise="1">
        <values>
          <value t="str">
            <val>加權指數</val>
          </value>
        </values>
      </ddeItem>
      <ddeItem name="QBFB1.406" advise="1">
        <values>
          <value t="str">
            <val xml:space="preserve"> -</val>
          </value>
        </values>
      </ddeItem>
      <ddeItem name="QBFB1.407" advise="1">
        <values>
          <value t="str">
            <val xml:space="preserve"> -</val>
          </value>
        </values>
      </ddeItem>
      <ddeItem name="QBFB1.431" advise="1">
        <values>
          <value t="str">
            <val>-</val>
          </value>
        </values>
      </ddeItem>
      <ddeItem name="QBFB1.437" advise="1">
        <values>
          <value t="str">
            <val xml:space="preserve"> -</val>
          </value>
        </values>
      </ddeItem>
      <ddeItem name="QCFB1.123" advise="1">
        <values>
          <value>
            <val>100150</val>
          </value>
        </values>
      </ddeItem>
      <ddeItem name="QCFB1.124" advise="1">
        <values>
          <value>
            <val>13900.72</val>
          </value>
        </values>
      </ddeItem>
      <ddeItem name="QCFB1.125" advise="1">
        <values>
          <value>
            <val>14.14</val>
          </value>
        </values>
      </ddeItem>
      <ddeItem name="QCFB1.128" advise="1">
        <values>
          <value>
            <val>887</val>
          </value>
        </values>
      </ddeItem>
      <ddeItem name="QCFB1.130" advise="1">
        <values>
          <value>
            <val>13893.03</val>
          </value>
        </values>
      </ddeItem>
      <ddeItem name="QCFB1.131" advise="1">
        <values>
          <value>
            <val>13945.78</val>
          </value>
        </values>
      </ddeItem>
      <ddeItem name="QCFB1.132" advise="1">
        <values>
          <value>
            <val>13875.82</val>
          </value>
        </values>
      </ddeItem>
      <ddeItem name="QCFB1.133" advise="1">
        <values>
          <value>
            <val>873827</val>
          </value>
        </values>
      </ddeItem>
      <ddeItem name="QCFB1.135" advise="1">
        <values>
          <value t="str">
            <val xml:space="preserve"> -</val>
          </value>
        </values>
      </ddeItem>
      <ddeItem name="QCFB1.136" advise="1">
        <values>
          <value t="str">
            <val xml:space="preserve"> -</val>
          </value>
        </values>
      </ddeItem>
      <ddeItem name="QCFB1.201" advise="1">
        <values>
          <value t="str">
            <val xml:space="preserve"> -</val>
          </value>
        </values>
      </ddeItem>
      <ddeItem name="QCFB1.202" advise="1">
        <values>
          <value t="str">
            <val xml:space="preserve"> -</val>
          </value>
        </values>
      </ddeItem>
      <ddeItem name="QCFB1.203" advise="1">
        <values>
          <value t="str">
            <val xml:space="preserve"> -</val>
          </value>
        </values>
      </ddeItem>
      <ddeItem name="QCFB1.204" advise="1">
        <values>
          <value t="str">
            <val xml:space="preserve"> -</val>
          </value>
        </values>
      </ddeItem>
      <ddeItem name="QCFB1.205" advise="1">
        <values>
          <value t="str">
            <val xml:space="preserve"> -</val>
          </value>
        </values>
      </ddeItem>
      <ddeItem name="QCFB1.211" advise="1">
        <values>
          <value t="str">
            <val xml:space="preserve"> -</val>
          </value>
        </values>
      </ddeItem>
      <ddeItem name="QCFB1.212" advise="1">
        <values>
          <value t="str">
            <val xml:space="preserve"> -</val>
          </value>
        </values>
      </ddeItem>
      <ddeItem name="QCFB1.213" advise="1">
        <values>
          <value t="str">
            <val xml:space="preserve"> -</val>
          </value>
        </values>
      </ddeItem>
      <ddeItem name="QCFB1.214" advise="1">
        <values>
          <value t="str">
            <val xml:space="preserve"> -</val>
          </value>
        </values>
      </ddeItem>
      <ddeItem name="QCFB1.215" advise="1">
        <values>
          <value t="str">
            <val xml:space="preserve"> -</val>
          </value>
        </values>
      </ddeItem>
      <ddeItem name="QCFB1.221" advise="1">
        <values>
          <value t="str">
            <val>-</val>
          </value>
        </values>
      </ddeItem>
      <ddeItem name="QCFB1.222" advise="1">
        <values>
          <value t="str">
            <val>-</val>
          </value>
        </values>
      </ddeItem>
      <ddeItem name="QCFB1.223" advise="1">
        <values>
          <value t="str">
            <val>-</val>
          </value>
        </values>
      </ddeItem>
      <ddeItem name="QCFB1.224" advise="1">
        <values>
          <value t="str">
            <val>-</val>
          </value>
        </values>
      </ddeItem>
      <ddeItem name="QCFB1.225" advise="1">
        <values>
          <value t="str">
            <val>-</val>
          </value>
        </values>
      </ddeItem>
      <ddeItem name="QCFB1.231" advise="1">
        <values>
          <value t="str">
            <val>-</val>
          </value>
        </values>
      </ddeItem>
      <ddeItem name="QCFB1.232" advise="1">
        <values>
          <value t="str">
            <val>-</val>
          </value>
        </values>
      </ddeItem>
      <ddeItem name="QCFB1.233" advise="1">
        <values>
          <value t="str">
            <val>-</val>
          </value>
        </values>
      </ddeItem>
      <ddeItem name="QCFB1.234" advise="1">
        <values>
          <value t="str">
            <val>-</val>
          </value>
        </values>
      </ddeItem>
      <ddeItem name="QCFB1.235" advise="1">
        <values>
          <value t="str">
            <val>-</val>
          </value>
        </values>
      </ddeItem>
      <ddeItem name="QCFB1.402" advise="1">
        <values>
          <value t="str">
            <val>不含金電</val>
          </value>
        </values>
      </ddeItem>
      <ddeItem name="QCFB1.406" advise="1">
        <values>
          <value t="str">
            <val xml:space="preserve"> -</val>
          </value>
        </values>
      </ddeItem>
      <ddeItem name="QCFB1.407" advise="1">
        <values>
          <value t="str">
            <val xml:space="preserve"> -</val>
          </value>
        </values>
      </ddeItem>
      <ddeItem name="QCFB1.431" advise="1">
        <values>
          <value t="str">
            <val>-</val>
          </value>
        </values>
      </ddeItem>
      <ddeItem name="QCFB1.437" advise="1">
        <values>
          <value t="str">
            <val xml:space="preserve"> -</val>
          </value>
        </values>
      </ddeItem>
      <ddeItem name="QDFB1.123" advise="1">
        <values>
          <value>
            <val>100150</val>
          </value>
        </values>
      </ddeItem>
      <ddeItem name="QDFB1.124" advise="1">
        <values>
          <value>
            <val>16421.62</val>
          </value>
        </values>
      </ddeItem>
      <ddeItem name="QDFB1.125" advise="1">
        <values>
          <value>
            <val>-21.78</val>
          </value>
        </values>
      </ddeItem>
      <ddeItem name="QDFB1.128" advise="1">
        <values>
          <value>
            <val>2439</val>
          </value>
        </values>
      </ddeItem>
      <ddeItem name="QDFB1.130" advise="1">
        <values>
          <value>
            <val>16329.54</val>
          </value>
        </values>
      </ddeItem>
      <ddeItem name="QDFB1.131" advise="1">
        <values>
          <value>
            <val>16456.939999999999</val>
          </value>
        </values>
      </ddeItem>
      <ddeItem name="QDFB1.132" advise="1">
        <values>
          <value>
            <val>16329.54</val>
          </value>
        </values>
      </ddeItem>
      <ddeItem name="QDFB1.133" advise="1">
        <values>
          <value>
            <val>4027056</val>
          </value>
        </values>
      </ddeItem>
      <ddeItem name="QDFB1.135" advise="1">
        <values>
          <value t="str">
            <val xml:space="preserve"> -</val>
          </value>
        </values>
      </ddeItem>
      <ddeItem name="QDFB1.136" advise="1">
        <values>
          <value t="str">
            <val xml:space="preserve"> -</val>
          </value>
        </values>
      </ddeItem>
      <ddeItem name="QDFB1.201" advise="1">
        <values>
          <value t="str">
            <val xml:space="preserve"> -</val>
          </value>
        </values>
      </ddeItem>
      <ddeItem name="QDFB1.202" advise="1">
        <values>
          <value t="str">
            <val xml:space="preserve"> -</val>
          </value>
        </values>
      </ddeItem>
      <ddeItem name="QDFB1.203" advise="1">
        <values>
          <value t="str">
            <val xml:space="preserve"> -</val>
          </value>
        </values>
      </ddeItem>
      <ddeItem name="QDFB1.204" advise="1">
        <values>
          <value t="str">
            <val xml:space="preserve"> -</val>
          </value>
        </values>
      </ddeItem>
      <ddeItem name="QDFB1.205" advise="1">
        <values>
          <value t="str">
            <val xml:space="preserve"> -</val>
          </value>
        </values>
      </ddeItem>
      <ddeItem name="QDFB1.211" advise="1">
        <values>
          <value t="str">
            <val xml:space="preserve"> -</val>
          </value>
        </values>
      </ddeItem>
      <ddeItem name="QDFB1.212" advise="1">
        <values>
          <value t="str">
            <val xml:space="preserve"> -</val>
          </value>
        </values>
      </ddeItem>
      <ddeItem name="QDFB1.213" advise="1">
        <values>
          <value t="str">
            <val xml:space="preserve"> -</val>
          </value>
        </values>
      </ddeItem>
      <ddeItem name="QDFB1.214" advise="1">
        <values>
          <value t="str">
            <val xml:space="preserve"> -</val>
          </value>
        </values>
      </ddeItem>
      <ddeItem name="QDFB1.215" advise="1">
        <values>
          <value t="str">
            <val xml:space="preserve"> -</val>
          </value>
        </values>
      </ddeItem>
      <ddeItem name="QDFB1.221" advise="1">
        <values>
          <value t="str">
            <val>-</val>
          </value>
        </values>
      </ddeItem>
      <ddeItem name="QDFB1.222" advise="1">
        <values>
          <value t="str">
            <val>-</val>
          </value>
        </values>
      </ddeItem>
      <ddeItem name="QDFB1.223" advise="1">
        <values>
          <value t="str">
            <val>-</val>
          </value>
        </values>
      </ddeItem>
      <ddeItem name="QDFB1.224" advise="1">
        <values>
          <value t="str">
            <val>-</val>
          </value>
        </values>
      </ddeItem>
      <ddeItem name="QDFB1.225" advise="1">
        <values>
          <value t="str">
            <val>-</val>
          </value>
        </values>
      </ddeItem>
      <ddeItem name="QDFB1.231" advise="1">
        <values>
          <value t="str">
            <val>-</val>
          </value>
        </values>
      </ddeItem>
      <ddeItem name="QDFB1.232" advise="1">
        <values>
          <value t="str">
            <val>-</val>
          </value>
        </values>
      </ddeItem>
      <ddeItem name="QDFB1.233" advise="1">
        <values>
          <value t="str">
            <val>-</val>
          </value>
        </values>
      </ddeItem>
      <ddeItem name="QDFB1.234" advise="1">
        <values>
          <value t="str">
            <val>-</val>
          </value>
        </values>
      </ddeItem>
      <ddeItem name="QDFB1.235" advise="1">
        <values>
          <value t="str">
            <val>-</val>
          </value>
        </values>
      </ddeItem>
      <ddeItem name="QDFB1.402" advise="1">
        <values>
          <value t="str">
            <val>加權指數</val>
          </value>
        </values>
      </ddeItem>
      <ddeItem name="QDFB1.406" advise="1">
        <values>
          <value t="str">
            <val xml:space="preserve"> -</val>
          </value>
        </values>
      </ddeItem>
      <ddeItem name="QDFB1.407" advise="1">
        <values>
          <value t="str">
            <val xml:space="preserve"> -</val>
          </value>
        </values>
      </ddeItem>
      <ddeItem name="QDFB1.431" advise="1">
        <values>
          <value t="str">
            <val>-</val>
          </value>
        </values>
      </ddeItem>
      <ddeItem name="QDFB1.437" advise="1">
        <values>
          <value t="str">
            <val xml:space="preserve"> -</val>
          </value>
        </values>
      </ddeItem>
      <ddeItem name="QEFB1.123" advise="1">
        <values>
          <value>
            <val>100145</val>
          </value>
        </values>
      </ddeItem>
      <ddeItem name="QEFB1.124" advise="1">
        <values>
          <value>
            <val>16422.560000000001</val>
          </value>
        </values>
      </ddeItem>
      <ddeItem name="QEFB1.125" advise="1">
        <values>
          <value>
            <val>-20.84</val>
          </value>
        </values>
      </ddeItem>
      <ddeItem name="QEFB1.128" advise="1">
        <values>
          <value>
            <val>1824</val>
          </value>
        </values>
      </ddeItem>
      <ddeItem name="QEFB1.130" advise="1">
        <values>
          <value>
            <val>16329.54</val>
          </value>
        </values>
      </ddeItem>
      <ddeItem name="QEFB1.131" advise="1">
        <values>
          <value>
            <val>16456.939999999999</val>
          </value>
        </values>
      </ddeItem>
      <ddeItem name="QEFB1.132" advise="1">
        <values>
          <value>
            <val>16329.54</val>
          </value>
        </values>
      </ddeItem>
      <ddeItem name="QEFB1.133" advise="1">
        <values>
          <value>
            <val>4024617</val>
          </value>
        </values>
      </ddeItem>
      <ddeItem name="QEFB1.135" advise="1">
        <values>
          <value t="str">
            <val xml:space="preserve"> -</val>
          </value>
        </values>
      </ddeItem>
      <ddeItem name="QEFB1.136" advise="1">
        <values>
          <value t="str">
            <val xml:space="preserve"> -</val>
          </value>
        </values>
      </ddeItem>
      <ddeItem name="QEFB1.201" advise="1">
        <values>
          <value t="str">
            <val xml:space="preserve"> -</val>
          </value>
        </values>
      </ddeItem>
      <ddeItem name="QEFB1.202" advise="1">
        <values>
          <value t="str">
            <val xml:space="preserve"> -</val>
          </value>
        </values>
      </ddeItem>
      <ddeItem name="QEFB1.203" advise="1">
        <values>
          <value t="str">
            <val xml:space="preserve"> -</val>
          </value>
        </values>
      </ddeItem>
      <ddeItem name="QEFB1.204" advise="1">
        <values>
          <value t="str">
            <val xml:space="preserve"> -</val>
          </value>
        </values>
      </ddeItem>
      <ddeItem name="QEFB1.205" advise="1">
        <values>
          <value t="str">
            <val xml:space="preserve"> -</val>
          </value>
        </values>
      </ddeItem>
      <ddeItem name="QEFB1.211" advise="1">
        <values>
          <value t="str">
            <val xml:space="preserve"> -</val>
          </value>
        </values>
      </ddeItem>
      <ddeItem name="QEFB1.212" advise="1">
        <values>
          <value t="str">
            <val xml:space="preserve"> -</val>
          </value>
        </values>
      </ddeItem>
      <ddeItem name="QEFB1.213" advise="1">
        <values>
          <value t="str">
            <val xml:space="preserve"> -</val>
          </value>
        </values>
      </ddeItem>
      <ddeItem name="QEFB1.214" advise="1">
        <values>
          <value t="str">
            <val xml:space="preserve"> -</val>
          </value>
        </values>
      </ddeItem>
      <ddeItem name="QEFB1.215" advise="1">
        <values>
          <value t="str">
            <val xml:space="preserve"> -</val>
          </value>
        </values>
      </ddeItem>
      <ddeItem name="QEFB1.221" advise="1">
        <values>
          <value t="str">
            <val>-</val>
          </value>
        </values>
      </ddeItem>
      <ddeItem name="QEFB1.222" advise="1">
        <values>
          <value t="str">
            <val>-</val>
          </value>
        </values>
      </ddeItem>
      <ddeItem name="QEFB1.223" advise="1">
        <values>
          <value t="str">
            <val>-</val>
          </value>
        </values>
      </ddeItem>
      <ddeItem name="QEFB1.224" advise="1">
        <values>
          <value t="str">
            <val>-</val>
          </value>
        </values>
      </ddeItem>
      <ddeItem name="QEFB1.225" advise="1">
        <values>
          <value t="str">
            <val>-</val>
          </value>
        </values>
      </ddeItem>
      <ddeItem name="QEFB1.231" advise="1">
        <values>
          <value t="str">
            <val>-</val>
          </value>
        </values>
      </ddeItem>
      <ddeItem name="QEFB1.232" advise="1">
        <values>
          <value t="str">
            <val>-</val>
          </value>
        </values>
      </ddeItem>
      <ddeItem name="QEFB1.233" advise="1">
        <values>
          <value t="str">
            <val>-</val>
          </value>
        </values>
      </ddeItem>
      <ddeItem name="QEFB1.234" advise="1">
        <values>
          <value t="str">
            <val>-</val>
          </value>
        </values>
      </ddeItem>
      <ddeItem name="QEFB1.235" advise="1">
        <values>
          <value t="str">
            <val>-</val>
          </value>
        </values>
      </ddeItem>
      <ddeItem name="QEFB1.402" advise="1">
        <values>
          <value t="str">
            <val>加權指數</val>
          </value>
        </values>
      </ddeItem>
      <ddeItem name="QEFB1.406" advise="1">
        <values>
          <value t="str">
            <val xml:space="preserve"> -</val>
          </value>
        </values>
      </ddeItem>
      <ddeItem name="QEFB1.407" advise="1">
        <values>
          <value t="str">
            <val xml:space="preserve"> -</val>
          </value>
        </values>
      </ddeItem>
      <ddeItem name="QEFB1.431" advise="1">
        <values>
          <value t="str">
            <val>-</val>
          </value>
        </values>
      </ddeItem>
      <ddeItem name="QEFB1.437" advise="1">
        <values>
          <value t="str">
            <val xml:space="preserve"> -</val>
          </value>
        </values>
      </ddeItem>
      <ddeItem name="QFFB1.123" advise="1">
        <values>
          <value>
            <val>100145</val>
          </value>
        </values>
      </ddeItem>
      <ddeItem name="QFFB1.124" advise="1">
        <values>
          <value>
            <val>16422.560000000001</val>
          </value>
        </values>
      </ddeItem>
      <ddeItem name="QFFB1.125" advise="1">
        <values>
          <value>
            <val>-20.84</val>
          </value>
        </values>
      </ddeItem>
      <ddeItem name="QFFB1.128" advise="1">
        <values>
          <value>
            <val>1824</val>
          </value>
        </values>
      </ddeItem>
      <ddeItem name="QFFB1.130" advise="1">
        <values>
          <value>
            <val>16329.54</val>
          </value>
        </values>
      </ddeItem>
      <ddeItem name="QFFB1.131" advise="1">
        <values>
          <value>
            <val>16456.939999999999</val>
          </value>
        </values>
      </ddeItem>
      <ddeItem name="QFFB1.132" advise="1">
        <values>
          <value>
            <val>16329.54</val>
          </value>
        </values>
      </ddeItem>
      <ddeItem name="QFFB1.133" advise="1">
        <values>
          <value>
            <val>4024617</val>
          </value>
        </values>
      </ddeItem>
      <ddeItem name="QFFB1.135" advise="1">
        <values>
          <value t="str">
            <val xml:space="preserve"> -</val>
          </value>
        </values>
      </ddeItem>
      <ddeItem name="QFFB1.136" advise="1">
        <values>
          <value t="str">
            <val xml:space="preserve"> -</val>
          </value>
        </values>
      </ddeItem>
      <ddeItem name="QFFB1.201" advise="1">
        <values>
          <value t="str">
            <val xml:space="preserve"> -</val>
          </value>
        </values>
      </ddeItem>
      <ddeItem name="QFFB1.202" advise="1">
        <values>
          <value t="str">
            <val xml:space="preserve"> -</val>
          </value>
        </values>
      </ddeItem>
      <ddeItem name="QFFB1.203" advise="1">
        <values>
          <value t="str">
            <val xml:space="preserve"> -</val>
          </value>
        </values>
      </ddeItem>
      <ddeItem name="QFFB1.204" advise="1">
        <values>
          <value t="str">
            <val xml:space="preserve"> -</val>
          </value>
        </values>
      </ddeItem>
      <ddeItem name="QFFB1.205" advise="1">
        <values>
          <value t="str">
            <val xml:space="preserve"> -</val>
          </value>
        </values>
      </ddeItem>
      <ddeItem name="QFFB1.211" advise="1">
        <values>
          <value t="str">
            <val xml:space="preserve"> -</val>
          </value>
        </values>
      </ddeItem>
      <ddeItem name="QFFB1.212" advise="1">
        <values>
          <value t="str">
            <val xml:space="preserve"> -</val>
          </value>
        </values>
      </ddeItem>
      <ddeItem name="QFFB1.213" advise="1">
        <values>
          <value t="str">
            <val xml:space="preserve"> -</val>
          </value>
        </values>
      </ddeItem>
      <ddeItem name="QFFB1.214" advise="1">
        <values>
          <value t="str">
            <val xml:space="preserve"> -</val>
          </value>
        </values>
      </ddeItem>
      <ddeItem name="QFFB1.215" advise="1">
        <values>
          <value t="str">
            <val xml:space="preserve"> -</val>
          </value>
        </values>
      </ddeItem>
      <ddeItem name="QFFB1.221" advise="1">
        <values>
          <value t="str">
            <val>-</val>
          </value>
        </values>
      </ddeItem>
      <ddeItem name="QFFB1.222" advise="1">
        <values>
          <value t="str">
            <val>-</val>
          </value>
        </values>
      </ddeItem>
      <ddeItem name="QFFB1.223" advise="1">
        <values>
          <value t="str">
            <val>-</val>
          </value>
        </values>
      </ddeItem>
      <ddeItem name="QFFB1.224" advise="1">
        <values>
          <value t="str">
            <val>-</val>
          </value>
        </values>
      </ddeItem>
      <ddeItem name="QFFB1.225" advise="1">
        <values>
          <value t="str">
            <val>-</val>
          </value>
        </values>
      </ddeItem>
      <ddeItem name="QFFB1.231" advise="1">
        <values>
          <value t="str">
            <val>-</val>
          </value>
        </values>
      </ddeItem>
      <ddeItem name="QFFB1.232" advise="1">
        <values>
          <value t="str">
            <val>-</val>
          </value>
        </values>
      </ddeItem>
      <ddeItem name="QFFB1.233" advise="1">
        <values>
          <value t="str">
            <val>-</val>
          </value>
        </values>
      </ddeItem>
      <ddeItem name="QFFB1.234" advise="1">
        <values>
          <value t="str">
            <val>-</val>
          </value>
        </values>
      </ddeItem>
      <ddeItem name="QFFB1.235" advise="1">
        <values>
          <value t="str">
            <val>-</val>
          </value>
        </values>
      </ddeItem>
      <ddeItem name="QFFB1.402" advise="1">
        <values>
          <value t="str">
            <val>加權指數</val>
          </value>
        </values>
      </ddeItem>
      <ddeItem name="QFFB1.406" advise="1">
        <values>
          <value t="str">
            <val xml:space="preserve"> -</val>
          </value>
        </values>
      </ddeItem>
      <ddeItem name="QFFB1.407" advise="1">
        <values>
          <value t="str">
            <val xml:space="preserve"> -</val>
          </value>
        </values>
      </ddeItem>
      <ddeItem name="QFFB1.431" advise="1">
        <values>
          <value t="str">
            <val>-</val>
          </value>
        </values>
      </ddeItem>
      <ddeItem name="QFFB1.437" advise="1">
        <values>
          <value t="str">
            <val xml:space="preserve"> -</val>
          </value>
        </values>
      </ddeItem>
      <ddeItem name="QGFB1.123" advise="1">
        <values>
          <value>
            <val>100145</val>
          </value>
        </values>
      </ddeItem>
      <ddeItem name="QGFB1.124" advise="1">
        <values>
          <value>
            <val>16422.560000000001</val>
          </value>
        </values>
      </ddeItem>
      <ddeItem name="QGFB1.125" advise="1">
        <values>
          <value>
            <val>-20.84</val>
          </value>
        </values>
      </ddeItem>
      <ddeItem name="QGFB1.128" advise="1">
        <values>
          <value>
            <val>1824</val>
          </value>
        </values>
      </ddeItem>
      <ddeItem name="QGFB1.130" advise="1">
        <values>
          <value>
            <val>16329.54</val>
          </value>
        </values>
      </ddeItem>
      <ddeItem name="QGFB1.131" advise="1">
        <values>
          <value>
            <val>16456.939999999999</val>
          </value>
        </values>
      </ddeItem>
      <ddeItem name="QGFB1.132" advise="1">
        <values>
          <value>
            <val>16329.54</val>
          </value>
        </values>
      </ddeItem>
      <ddeItem name="QGFB1.133" advise="1">
        <values>
          <value>
            <val>4024617</val>
          </value>
        </values>
      </ddeItem>
      <ddeItem name="QGFB1.135" advise="1">
        <values>
          <value t="str">
            <val xml:space="preserve"> -</val>
          </value>
        </values>
      </ddeItem>
      <ddeItem name="QGFB1.136" advise="1">
        <values>
          <value t="str">
            <val xml:space="preserve"> -</val>
          </value>
        </values>
      </ddeItem>
      <ddeItem name="QGFB1.201" advise="1">
        <values>
          <value t="str">
            <val xml:space="preserve"> -</val>
          </value>
        </values>
      </ddeItem>
      <ddeItem name="QGFB1.202" advise="1">
        <values>
          <value t="str">
            <val xml:space="preserve"> -</val>
          </value>
        </values>
      </ddeItem>
      <ddeItem name="QGFB1.203" advise="1">
        <values>
          <value t="str">
            <val xml:space="preserve"> -</val>
          </value>
        </values>
      </ddeItem>
      <ddeItem name="QGFB1.204" advise="1">
        <values>
          <value t="str">
            <val xml:space="preserve"> -</val>
          </value>
        </values>
      </ddeItem>
      <ddeItem name="QGFB1.205" advise="1">
        <values>
          <value t="str">
            <val xml:space="preserve"> -</val>
          </value>
        </values>
      </ddeItem>
      <ddeItem name="QGFB1.211" advise="1">
        <values>
          <value t="str">
            <val xml:space="preserve"> -</val>
          </value>
        </values>
      </ddeItem>
      <ddeItem name="QGFB1.212" advise="1">
        <values>
          <value t="str">
            <val xml:space="preserve"> -</val>
          </value>
        </values>
      </ddeItem>
      <ddeItem name="QGFB1.213" advise="1">
        <values>
          <value t="str">
            <val xml:space="preserve"> -</val>
          </value>
        </values>
      </ddeItem>
      <ddeItem name="QGFB1.214" advise="1">
        <values>
          <value t="str">
            <val xml:space="preserve"> -</val>
          </value>
        </values>
      </ddeItem>
      <ddeItem name="QGFB1.215" advise="1">
        <values>
          <value t="str">
            <val xml:space="preserve"> -</val>
          </value>
        </values>
      </ddeItem>
      <ddeItem name="QGFB1.221" advise="1">
        <values>
          <value t="str">
            <val>-</val>
          </value>
        </values>
      </ddeItem>
      <ddeItem name="QGFB1.222" advise="1">
        <values>
          <value t="str">
            <val>-</val>
          </value>
        </values>
      </ddeItem>
      <ddeItem name="QGFB1.223" advise="1">
        <values>
          <value t="str">
            <val>-</val>
          </value>
        </values>
      </ddeItem>
      <ddeItem name="QGFB1.224" advise="1">
        <values>
          <value t="str">
            <val>-</val>
          </value>
        </values>
      </ddeItem>
      <ddeItem name="QGFB1.225" advise="1">
        <values>
          <value t="str">
            <val>-</val>
          </value>
        </values>
      </ddeItem>
      <ddeItem name="QGFB1.231" advise="1">
        <values>
          <value t="str">
            <val>-</val>
          </value>
        </values>
      </ddeItem>
      <ddeItem name="QGFB1.232" advise="1">
        <values>
          <value t="str">
            <val>-</val>
          </value>
        </values>
      </ddeItem>
      <ddeItem name="QGFB1.233" advise="1">
        <values>
          <value t="str">
            <val>-</val>
          </value>
        </values>
      </ddeItem>
      <ddeItem name="QGFB1.234" advise="1">
        <values>
          <value t="str">
            <val>-</val>
          </value>
        </values>
      </ddeItem>
      <ddeItem name="QGFB1.235" advise="1">
        <values>
          <value t="str">
            <val>-</val>
          </value>
        </values>
      </ddeItem>
      <ddeItem name="QGFB1.402" advise="1">
        <values>
          <value t="str">
            <val>加權指數</val>
          </value>
        </values>
      </ddeItem>
      <ddeItem name="QGFB1.406" advise="1">
        <values>
          <value t="str">
            <val xml:space="preserve"> -</val>
          </value>
        </values>
      </ddeItem>
      <ddeItem name="QGFB1.407" advise="1">
        <values>
          <value t="str">
            <val xml:space="preserve"> -</val>
          </value>
        </values>
      </ddeItem>
      <ddeItem name="QGFB1.431" advise="1">
        <values>
          <value t="str">
            <val>-</val>
          </value>
        </values>
      </ddeItem>
      <ddeItem name="QGFB1.437" advise="1">
        <values>
          <value t="str">
            <val xml:space="preserve"> -</val>
          </value>
        </values>
      </ddeItem>
      <ddeItem name="QHFB1.123" advise="1">
        <values>
          <value>
            <val>0</val>
          </value>
        </values>
      </ddeItem>
      <ddeItem name="QHFB1.124" advise="1">
        <values>
          <value>
            <val>20878632</val>
          </value>
        </values>
      </ddeItem>
      <ddeItem name="QHFB1.125" advise="1">
        <values>
          <value t="str">
            <val xml:space="preserve"> </val>
          </value>
        </values>
      </ddeItem>
      <ddeItem name="QHFB1.128" advise="1">
        <values>
          <value>
            <val>1212870150</val>
          </value>
        </values>
      </ddeItem>
      <ddeItem name="QHFB1.130" advise="1">
        <values>
          <value>
            <val>20803788</val>
          </value>
        </values>
      </ddeItem>
      <ddeItem name="QHFB1.131" advise="1">
        <values>
          <value>
            <val>20804690</val>
          </value>
        </values>
      </ddeItem>
      <ddeItem name="QHFB1.132" advise="1">
        <values>
          <value>
            <val>10989732</val>
          </value>
        </values>
      </ddeItem>
      <ddeItem name="QHFB1.133" advise="1">
        <values>
          <value>
            <val>2088371110</val>
          </value>
        </values>
      </ddeItem>
      <ddeItem name="QHFB1.135" advise="1">
        <values>
          <value t="str">
            <val xml:space="preserve"> -</val>
          </value>
        </values>
      </ddeItem>
      <ddeItem name="QHFB1.136" advise="1">
        <values>
          <value t="str">
            <val xml:space="preserve"> -</val>
          </value>
        </values>
      </ddeItem>
      <ddeItem name="QHFB1.201" advise="1">
        <values>
          <value t="str">
            <val xml:space="preserve"> -</val>
          </value>
        </values>
      </ddeItem>
      <ddeItem name="QHFB1.202" advise="1">
        <values>
          <value t="str">
            <val xml:space="preserve"> -</val>
          </value>
        </values>
      </ddeItem>
      <ddeItem name="QHFB1.203" advise="1">
        <values>
          <value t="str">
            <val xml:space="preserve"> -</val>
          </value>
        </values>
      </ddeItem>
      <ddeItem name="QHFB1.204" advise="1">
        <values>
          <value t="str">
            <val xml:space="preserve"> -</val>
          </value>
        </values>
      </ddeItem>
      <ddeItem name="QHFB1.205" advise="1">
        <values>
          <value t="str">
            <val xml:space="preserve"> -</val>
          </value>
        </values>
      </ddeItem>
      <ddeItem name="QHFB1.211" advise="1">
        <values>
          <value t="str">
            <val xml:space="preserve"> -</val>
          </value>
        </values>
      </ddeItem>
      <ddeItem name="QHFB1.212" advise="1">
        <values>
          <value t="str">
            <val xml:space="preserve"> -</val>
          </value>
        </values>
      </ddeItem>
      <ddeItem name="QHFB1.213" advise="1">
        <values>
          <value t="str">
            <val xml:space="preserve"> -</val>
          </value>
        </values>
      </ddeItem>
      <ddeItem name="QHFB1.214" advise="1">
        <values>
          <value t="str">
            <val xml:space="preserve"> -</val>
          </value>
        </values>
      </ddeItem>
      <ddeItem name="QHFB1.215" advise="1">
        <values>
          <value t="str">
            <val xml:space="preserve"> -</val>
          </value>
        </values>
      </ddeItem>
      <ddeItem name="QHFB1.221" advise="1">
        <values>
          <value t="str">
            <val>-</val>
          </value>
        </values>
      </ddeItem>
      <ddeItem name="QHFB1.222" advise="1">
        <values>
          <value t="str">
            <val>-</val>
          </value>
        </values>
      </ddeItem>
      <ddeItem name="QHFB1.223" advise="1">
        <values>
          <value t="str">
            <val>-</val>
          </value>
        </values>
      </ddeItem>
      <ddeItem name="QHFB1.224" advise="1">
        <values>
          <value t="str">
            <val>-</val>
          </value>
        </values>
      </ddeItem>
      <ddeItem name="QHFB1.225" advise="1">
        <values>
          <value t="str">
            <val>-</val>
          </value>
        </values>
      </ddeItem>
      <ddeItem name="QHFB1.231" advise="1">
        <values>
          <value t="str">
            <val>-</val>
          </value>
        </values>
      </ddeItem>
      <ddeItem name="QHFB1.232" advise="1">
        <values>
          <value t="str">
            <val>-</val>
          </value>
        </values>
      </ddeItem>
      <ddeItem name="QHFB1.233" advise="1">
        <values>
          <value t="str">
            <val>-</val>
          </value>
        </values>
      </ddeItem>
      <ddeItem name="QHFB1.234" advise="1">
        <values>
          <value t="str">
            <val>-</val>
          </value>
        </values>
      </ddeItem>
      <ddeItem name="QHFB1.235" advise="1">
        <values>
          <value t="str">
            <val>-</val>
          </value>
        </values>
      </ddeItem>
      <ddeItem name="QHFB1.402" advise="1"/>
      <ddeItem name="QHFB1.406" advise="1">
        <values>
          <value t="str">
            <val xml:space="preserve"> -</val>
          </value>
        </values>
      </ddeItem>
      <ddeItem name="QHFB1.407" advise="1">
        <values>
          <value t="str">
            <val xml:space="preserve"> -</val>
          </value>
        </values>
      </ddeItem>
      <ddeItem name="QHFB1.431" advise="1">
        <values>
          <value t="str">
            <val>-</val>
          </value>
        </values>
      </ddeItem>
      <ddeItem name="QHFB1.437" advise="1">
        <values>
          <value t="str">
            <val xml:space="preserve"> -</val>
          </value>
        </values>
      </ddeItem>
      <ddeItem name="QIFB1.123" advise="1">
        <values>
          <value>
            <val>0</val>
          </value>
        </values>
      </ddeItem>
      <ddeItem name="QIFB1.124" advise="1">
        <values>
          <value>
            <val>20878632</val>
          </value>
        </values>
      </ddeItem>
      <ddeItem name="QIFB1.125" advise="1">
        <values>
          <value t="str">
            <val xml:space="preserve"> </val>
          </value>
        </values>
      </ddeItem>
      <ddeItem name="QIFB1.128" advise="1">
        <values>
          <value>
            <val>1212870150</val>
          </value>
        </values>
      </ddeItem>
      <ddeItem name="QIFB1.130" advise="1">
        <values>
          <value>
            <val>20803788</val>
          </value>
        </values>
      </ddeItem>
      <ddeItem name="QIFB1.131" advise="1">
        <values>
          <value>
            <val>20804690</val>
          </value>
        </values>
      </ddeItem>
      <ddeItem name="QIFB1.132" advise="1">
        <values>
          <value>
            <val>10989732</val>
          </value>
        </values>
      </ddeItem>
      <ddeItem name="QIFB1.133" advise="1">
        <values>
          <value>
            <val>2088371110</val>
          </value>
        </values>
      </ddeItem>
      <ddeItem name="QIFB1.135" advise="1">
        <values>
          <value t="str">
            <val xml:space="preserve"> -</val>
          </value>
        </values>
      </ddeItem>
      <ddeItem name="QIFB1.136" advise="1">
        <values>
          <value t="str">
            <val xml:space="preserve"> -</val>
          </value>
        </values>
      </ddeItem>
      <ddeItem name="QIFB1.201" advise="1">
        <values>
          <value t="str">
            <val xml:space="preserve"> -</val>
          </value>
        </values>
      </ddeItem>
      <ddeItem name="QIFB1.202" advise="1">
        <values>
          <value t="str">
            <val xml:space="preserve"> -</val>
          </value>
        </values>
      </ddeItem>
      <ddeItem name="QIFB1.203" advise="1">
        <values>
          <value t="str">
            <val xml:space="preserve"> -</val>
          </value>
        </values>
      </ddeItem>
      <ddeItem name="QIFB1.204" advise="1">
        <values>
          <value t="str">
            <val xml:space="preserve"> -</val>
          </value>
        </values>
      </ddeItem>
      <ddeItem name="QIFB1.205" advise="1">
        <values>
          <value t="str">
            <val xml:space="preserve"> -</val>
          </value>
        </values>
      </ddeItem>
      <ddeItem name="QIFB1.211" advise="1">
        <values>
          <value t="str">
            <val xml:space="preserve"> -</val>
          </value>
        </values>
      </ddeItem>
      <ddeItem name="QIFB1.212" advise="1">
        <values>
          <value t="str">
            <val xml:space="preserve"> -</val>
          </value>
        </values>
      </ddeItem>
      <ddeItem name="QIFB1.213" advise="1">
        <values>
          <value t="str">
            <val xml:space="preserve"> -</val>
          </value>
        </values>
      </ddeItem>
      <ddeItem name="QIFB1.214" advise="1">
        <values>
          <value t="str">
            <val xml:space="preserve"> -</val>
          </value>
        </values>
      </ddeItem>
      <ddeItem name="QIFB1.215" advise="1">
        <values>
          <value t="str">
            <val xml:space="preserve"> -</val>
          </value>
        </values>
      </ddeItem>
      <ddeItem name="QIFB1.221" advise="1">
        <values>
          <value t="str">
            <val>-</val>
          </value>
        </values>
      </ddeItem>
      <ddeItem name="QIFB1.222" advise="1">
        <values>
          <value t="str">
            <val>-</val>
          </value>
        </values>
      </ddeItem>
      <ddeItem name="QIFB1.223" advise="1">
        <values>
          <value t="str">
            <val>-</val>
          </value>
        </values>
      </ddeItem>
      <ddeItem name="QIFB1.224" advise="1">
        <values>
          <value t="str">
            <val>-</val>
          </value>
        </values>
      </ddeItem>
      <ddeItem name="QIFB1.225" advise="1">
        <values>
          <value t="str">
            <val>-</val>
          </value>
        </values>
      </ddeItem>
      <ddeItem name="QIFB1.231" advise="1">
        <values>
          <value t="str">
            <val>-</val>
          </value>
        </values>
      </ddeItem>
      <ddeItem name="QIFB1.232" advise="1">
        <values>
          <value t="str">
            <val>-</val>
          </value>
        </values>
      </ddeItem>
      <ddeItem name="QIFB1.233" advise="1">
        <values>
          <value t="str">
            <val>-</val>
          </value>
        </values>
      </ddeItem>
      <ddeItem name="QIFB1.234" advise="1">
        <values>
          <value t="str">
            <val>-</val>
          </value>
        </values>
      </ddeItem>
      <ddeItem name="QIFB1.235" advise="1">
        <values>
          <value t="str">
            <val>-</val>
          </value>
        </values>
      </ddeItem>
      <ddeItem name="QIFB1.402" advise="1"/>
      <ddeItem name="QIFB1.406" advise="1">
        <values>
          <value t="str">
            <val xml:space="preserve"> -</val>
          </value>
        </values>
      </ddeItem>
      <ddeItem name="QIFB1.407" advise="1">
        <values>
          <value t="str">
            <val xml:space="preserve"> -</val>
          </value>
        </values>
      </ddeItem>
      <ddeItem name="QIFB1.431" advise="1">
        <values>
          <value t="str">
            <val>-</val>
          </value>
        </values>
      </ddeItem>
      <ddeItem name="QIFB1.437" advise="1">
        <values>
          <value t="str">
            <val xml:space="preserve"> -</val>
          </value>
        </values>
      </ddeItem>
      <ddeItem name="QJFB1.123" advise="1">
        <values>
          <value>
            <val>100140</val>
          </value>
        </values>
      </ddeItem>
      <ddeItem name="QJFB1.124" advise="1">
        <values>
          <value>
            <val>16428.68</val>
          </value>
        </values>
      </ddeItem>
      <ddeItem name="QJFB1.125" advise="1">
        <values>
          <value>
            <val>-14.72</val>
          </value>
        </values>
      </ddeItem>
      <ddeItem name="QJFB1.128" advise="1">
        <values>
          <value>
            <val>2686</val>
          </value>
        </values>
      </ddeItem>
      <ddeItem name="QJFB1.130" advise="1">
        <values>
          <value>
            <val>16329.54</val>
          </value>
        </values>
      </ddeItem>
      <ddeItem name="QJFB1.131" advise="1">
        <values>
          <value>
            <val>16456.939999999999</val>
          </value>
        </values>
      </ddeItem>
      <ddeItem name="QJFB1.132" advise="1">
        <values>
          <value>
            <val>16329.54</val>
          </value>
        </values>
      </ddeItem>
      <ddeItem name="QJFB1.133" advise="1">
        <values>
          <value>
            <val>4022793</val>
          </value>
        </values>
      </ddeItem>
      <ddeItem name="QJFB1.135" advise="1">
        <values>
          <value t="str">
            <val xml:space="preserve"> -</val>
          </value>
        </values>
      </ddeItem>
      <ddeItem name="QJFB1.136" advise="1">
        <values>
          <value t="str">
            <val xml:space="preserve"> -</val>
          </value>
        </values>
      </ddeItem>
      <ddeItem name="QJFB1.201" advise="1">
        <values>
          <value t="str">
            <val xml:space="preserve"> -</val>
          </value>
        </values>
      </ddeItem>
      <ddeItem name="QJFB1.202" advise="1">
        <values>
          <value t="str">
            <val xml:space="preserve"> -</val>
          </value>
        </values>
      </ddeItem>
      <ddeItem name="QJFB1.203" advise="1">
        <values>
          <value t="str">
            <val xml:space="preserve"> -</val>
          </value>
        </values>
      </ddeItem>
      <ddeItem name="QJFB1.204" advise="1">
        <values>
          <value t="str">
            <val xml:space="preserve"> -</val>
          </value>
        </values>
      </ddeItem>
      <ddeItem name="QJFB1.205" advise="1">
        <values>
          <value t="str">
            <val xml:space="preserve"> -</val>
          </value>
        </values>
      </ddeItem>
      <ddeItem name="QJFB1.211" advise="1">
        <values>
          <value t="str">
            <val xml:space="preserve"> -</val>
          </value>
        </values>
      </ddeItem>
      <ddeItem name="QJFB1.212" advise="1">
        <values>
          <value t="str">
            <val xml:space="preserve"> -</val>
          </value>
        </values>
      </ddeItem>
      <ddeItem name="QJFB1.213" advise="1">
        <values>
          <value t="str">
            <val xml:space="preserve"> -</val>
          </value>
        </values>
      </ddeItem>
      <ddeItem name="QJFB1.214" advise="1">
        <values>
          <value t="str">
            <val xml:space="preserve"> -</val>
          </value>
        </values>
      </ddeItem>
      <ddeItem name="QJFB1.215" advise="1">
        <values>
          <value t="str">
            <val xml:space="preserve"> -</val>
          </value>
        </values>
      </ddeItem>
      <ddeItem name="QJFB1.221" advise="1">
        <values>
          <value t="str">
            <val>-</val>
          </value>
        </values>
      </ddeItem>
      <ddeItem name="QJFB1.222" advise="1">
        <values>
          <value t="str">
            <val>-</val>
          </value>
        </values>
      </ddeItem>
      <ddeItem name="QJFB1.223" advise="1">
        <values>
          <value t="str">
            <val>-</val>
          </value>
        </values>
      </ddeItem>
      <ddeItem name="QJFB1.224" advise="1">
        <values>
          <value t="str">
            <val>-</val>
          </value>
        </values>
      </ddeItem>
      <ddeItem name="QJFB1.225" advise="1">
        <values>
          <value t="str">
            <val>-</val>
          </value>
        </values>
      </ddeItem>
      <ddeItem name="QJFB1.231" advise="1">
        <values>
          <value t="str">
            <val>-</val>
          </value>
        </values>
      </ddeItem>
      <ddeItem name="QJFB1.232" advise="1">
        <values>
          <value t="str">
            <val>-</val>
          </value>
        </values>
      </ddeItem>
      <ddeItem name="QJFB1.233" advise="1">
        <values>
          <value t="str">
            <val>-</val>
          </value>
        </values>
      </ddeItem>
      <ddeItem name="QJFB1.234" advise="1">
        <values>
          <value t="str">
            <val>-</val>
          </value>
        </values>
      </ddeItem>
      <ddeItem name="QJFB1.235" advise="1">
        <values>
          <value t="str">
            <val>-</val>
          </value>
        </values>
      </ddeItem>
      <ddeItem name="QJFB1.402" advise="1">
        <values>
          <value t="str">
            <val>加權指數</val>
          </value>
        </values>
      </ddeItem>
      <ddeItem name="QJFB1.406" advise="1">
        <values>
          <value t="str">
            <val xml:space="preserve"> -</val>
          </value>
        </values>
      </ddeItem>
      <ddeItem name="QJFB1.407" advise="1">
        <values>
          <value t="str">
            <val xml:space="preserve"> -</val>
          </value>
        </values>
      </ddeItem>
      <ddeItem name="QJFB1.431" advise="1">
        <values>
          <value t="str">
            <val>-</val>
          </value>
        </values>
      </ddeItem>
      <ddeItem name="QJFB1.437" advise="1">
        <values>
          <value t="str">
            <val xml:space="preserve"> -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ops.twse.com.tw/mops/web/index" TargetMode="External"/><Relationship Id="rId1" Type="http://schemas.openxmlformats.org/officeDocument/2006/relationships/hyperlink" Target="http://newmops.twse.com.tw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9"/>
  <sheetViews>
    <sheetView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B19" sqref="B19"/>
    </sheetView>
  </sheetViews>
  <sheetFormatPr defaultRowHeight="16.5" x14ac:dyDescent="0.25"/>
  <cols>
    <col min="2" max="2" width="10.5" customWidth="1"/>
    <col min="36" max="36" width="8.5" bestFit="1" customWidth="1"/>
  </cols>
  <sheetData>
    <row r="1" spans="1:36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</row>
    <row r="2" spans="1:36" s="10" customFormat="1" x14ac:dyDescent="0.25">
      <c r="A2" s="10" t="str">
        <f>"DFFB1"</f>
        <v>DFFB1</v>
      </c>
      <c r="B2" s="10" t="str">
        <f>[1]!DFFB1.402</f>
        <v>不含金電</v>
      </c>
      <c r="C2" s="10">
        <f>[1]!DFFB1.123</f>
        <v>100125</v>
      </c>
      <c r="D2" s="10">
        <f>[1]!DFFB1.124</f>
        <v>13894.54</v>
      </c>
      <c r="E2" s="10">
        <f>[1]!DFFB1.125</f>
        <v>7.96</v>
      </c>
      <c r="F2" s="10">
        <f>[1]!DFFB1.128</f>
        <v>789</v>
      </c>
      <c r="G2" s="10">
        <f>[1]!DFFB1.130</f>
        <v>13893.03</v>
      </c>
      <c r="H2" s="10">
        <f>[1]!DFFB1.131</f>
        <v>13945.78</v>
      </c>
      <c r="I2" s="10">
        <f>[1]!DFFB1.132</f>
        <v>13875.82</v>
      </c>
      <c r="J2" s="10">
        <f>[1]!DFFB1.133</f>
        <v>870725</v>
      </c>
      <c r="K2" s="10" t="str">
        <f>[1]!DFFB1.135</f>
        <v xml:space="preserve"> -</v>
      </c>
      <c r="L2" s="10" t="str">
        <f>[1]!DFFB1.136</f>
        <v xml:space="preserve"> -</v>
      </c>
      <c r="M2" s="10" t="str">
        <f>[1]!DFFB1.437</f>
        <v xml:space="preserve"> -</v>
      </c>
      <c r="N2" s="10" t="str">
        <f>[1]!DFFB1.406</f>
        <v xml:space="preserve"> -</v>
      </c>
      <c r="O2" s="10" t="str">
        <f>[1]!DFFB1.407</f>
        <v xml:space="preserve"> -</v>
      </c>
      <c r="P2" s="10" t="str">
        <f>[1]!DFFB1.431</f>
        <v>-</v>
      </c>
      <c r="Q2" s="10" t="str">
        <f>[1]!DFFB1.201</f>
        <v xml:space="preserve"> -</v>
      </c>
      <c r="R2" s="10" t="str">
        <f>[1]!DFFB1.202</f>
        <v xml:space="preserve"> -</v>
      </c>
      <c r="S2" s="10" t="str">
        <f>[1]!DFFB1.203</f>
        <v xml:space="preserve"> -</v>
      </c>
      <c r="T2" s="10" t="str">
        <f>[1]!DFFB1.204</f>
        <v xml:space="preserve"> -</v>
      </c>
      <c r="U2" s="10" t="str">
        <f>[1]!DFFB1.205</f>
        <v xml:space="preserve"> -</v>
      </c>
      <c r="V2" s="10" t="str">
        <f>[1]!DFFB1.211</f>
        <v xml:space="preserve"> -</v>
      </c>
      <c r="W2" s="10" t="str">
        <f>[1]!DFFB1.212</f>
        <v xml:space="preserve"> -</v>
      </c>
      <c r="X2" s="10" t="str">
        <f>[1]!DFFB1.213</f>
        <v xml:space="preserve"> -</v>
      </c>
      <c r="Y2" s="10" t="str">
        <f>[1]!DFFB1.214</f>
        <v xml:space="preserve"> -</v>
      </c>
      <c r="Z2" s="10" t="str">
        <f>[1]!DFFB1.215</f>
        <v xml:space="preserve"> -</v>
      </c>
      <c r="AA2" s="10" t="str">
        <f>[1]!DFFB1.221</f>
        <v>-</v>
      </c>
      <c r="AB2" s="10" t="str">
        <f>[1]!DFFB1.222</f>
        <v>-</v>
      </c>
      <c r="AC2" s="10" t="str">
        <f>[1]!DFFB1.223</f>
        <v>-</v>
      </c>
      <c r="AD2" s="10" t="str">
        <f>[1]!DFFB1.224</f>
        <v>-</v>
      </c>
      <c r="AE2" s="10" t="str">
        <f>[1]!DFFB1.225</f>
        <v>-</v>
      </c>
      <c r="AF2" s="10" t="str">
        <f>[1]!DFFB1.231</f>
        <v>-</v>
      </c>
      <c r="AG2" s="10" t="str">
        <f>[1]!DFFB1.232</f>
        <v>-</v>
      </c>
      <c r="AH2" s="10" t="str">
        <f>[1]!DFFB1.233</f>
        <v>-</v>
      </c>
      <c r="AI2" s="10" t="str">
        <f>[1]!DFFB1.234</f>
        <v>-</v>
      </c>
      <c r="AJ2" s="10" t="str">
        <f>[1]!DFFB1.235</f>
        <v>-</v>
      </c>
    </row>
    <row r="3" spans="1:36" s="10" customFormat="1" x14ac:dyDescent="0.25">
      <c r="A3" s="10" t="str">
        <f>"DYFB1"</f>
        <v>DYFB1</v>
      </c>
      <c r="B3" s="10" t="str">
        <f>[1]!DYFB1.402</f>
        <v>加權指數</v>
      </c>
      <c r="C3" s="10">
        <f>[1]!DYFB1.123</f>
        <v>100150</v>
      </c>
      <c r="D3" s="10">
        <f>[1]!DYFB1.124</f>
        <v>16421.62</v>
      </c>
      <c r="E3" s="10">
        <f>[1]!DYFB1.125</f>
        <v>-21.78</v>
      </c>
      <c r="F3" s="10">
        <f>[1]!DYFB1.128</f>
        <v>2439</v>
      </c>
      <c r="G3" s="10">
        <f>[1]!DYFB1.130</f>
        <v>16329.54</v>
      </c>
      <c r="H3" s="10">
        <f>[1]!DYFB1.131</f>
        <v>16456.939999999999</v>
      </c>
      <c r="I3" s="10">
        <f>[1]!DYFB1.132</f>
        <v>16329.54</v>
      </c>
      <c r="J3" s="10">
        <f>[1]!DYFB1.133</f>
        <v>4027056</v>
      </c>
      <c r="K3" s="10" t="str">
        <f>[1]!DYFB1.135</f>
        <v xml:space="preserve"> -</v>
      </c>
      <c r="L3" s="10" t="str">
        <f>[1]!DYFB1.136</f>
        <v xml:space="preserve"> -</v>
      </c>
      <c r="M3" s="10" t="str">
        <f>[1]!DYFB1.437</f>
        <v xml:space="preserve"> -</v>
      </c>
      <c r="N3" s="10" t="str">
        <f>[1]!DYFB1.406</f>
        <v xml:space="preserve"> -</v>
      </c>
      <c r="O3" s="10" t="str">
        <f>[1]!DYFB1.407</f>
        <v xml:space="preserve"> -</v>
      </c>
      <c r="P3" s="10" t="str">
        <f>[1]!DYFB1.431</f>
        <v>-</v>
      </c>
      <c r="Q3" s="10" t="str">
        <f>[1]!DYFB1.201</f>
        <v xml:space="preserve"> -</v>
      </c>
      <c r="R3" s="10" t="str">
        <f>[1]!DYFB1.202</f>
        <v xml:space="preserve"> -</v>
      </c>
      <c r="S3" s="10" t="str">
        <f>[1]!DYFB1.203</f>
        <v xml:space="preserve"> -</v>
      </c>
      <c r="T3" s="10" t="str">
        <f>[1]!DYFB1.204</f>
        <v xml:space="preserve"> -</v>
      </c>
      <c r="U3" s="10" t="str">
        <f>[1]!DYFB1.205</f>
        <v xml:space="preserve"> -</v>
      </c>
      <c r="V3" s="10" t="str">
        <f>[1]!DYFB1.211</f>
        <v xml:space="preserve"> -</v>
      </c>
      <c r="W3" s="10" t="str">
        <f>[1]!DYFB1.212</f>
        <v xml:space="preserve"> -</v>
      </c>
      <c r="X3" s="10" t="str">
        <f>[1]!DYFB1.213</f>
        <v xml:space="preserve"> -</v>
      </c>
      <c r="Y3" s="10" t="str">
        <f>[1]!DYFB1.214</f>
        <v xml:space="preserve"> -</v>
      </c>
      <c r="Z3" s="10" t="str">
        <f>[1]!DYFB1.215</f>
        <v xml:space="preserve"> -</v>
      </c>
      <c r="AA3" s="10" t="str">
        <f>[1]!DYFB1.221</f>
        <v>-</v>
      </c>
      <c r="AB3" s="10" t="str">
        <f>[1]!DYFB1.222</f>
        <v>-</v>
      </c>
      <c r="AC3" s="10" t="str">
        <f>[1]!DYFB1.223</f>
        <v>-</v>
      </c>
      <c r="AD3" s="10" t="str">
        <f>[1]!DYFB1.224</f>
        <v>-</v>
      </c>
      <c r="AE3" s="10" t="str">
        <f>[1]!DYFB1.225</f>
        <v>-</v>
      </c>
      <c r="AF3" s="10" t="str">
        <f>[1]!DYFB1.231</f>
        <v>-</v>
      </c>
      <c r="AG3" s="10" t="str">
        <f>[1]!DYFB1.232</f>
        <v>-</v>
      </c>
      <c r="AH3" s="10" t="str">
        <f>[1]!DYFB1.233</f>
        <v>-</v>
      </c>
      <c r="AI3" s="10" t="str">
        <f>[1]!DYFB1.234</f>
        <v>-</v>
      </c>
      <c r="AJ3" s="10" t="str">
        <f>[1]!DYFB1.235</f>
        <v>-</v>
      </c>
    </row>
    <row r="4" spans="1:36" s="10" customFormat="1" x14ac:dyDescent="0.25">
      <c r="A4" s="10" t="str">
        <f>"DZFB1"</f>
        <v>DZFB1</v>
      </c>
      <c r="B4" s="10" t="str">
        <f>[1]!DZFB1.402</f>
        <v>加權指數</v>
      </c>
      <c r="C4" s="10">
        <f>[1]!DZFB1.123</f>
        <v>100150</v>
      </c>
      <c r="D4" s="10">
        <f>[1]!DZFB1.124</f>
        <v>16421.62</v>
      </c>
      <c r="E4" s="10">
        <f>[1]!DZFB1.125</f>
        <v>-21.78</v>
      </c>
      <c r="F4" s="10">
        <f>[1]!DZFB1.128</f>
        <v>2439</v>
      </c>
      <c r="G4" s="10">
        <f>[1]!DZFB1.130</f>
        <v>16329.54</v>
      </c>
      <c r="H4" s="10">
        <f>[1]!DZFB1.131</f>
        <v>16456.939999999999</v>
      </c>
      <c r="I4" s="10">
        <f>[1]!DZFB1.132</f>
        <v>16329.54</v>
      </c>
      <c r="J4" s="10">
        <f>[1]!DZFB1.133</f>
        <v>4027056</v>
      </c>
      <c r="K4" s="10" t="str">
        <f>[1]!DZFB1.135</f>
        <v xml:space="preserve"> -</v>
      </c>
      <c r="L4" s="10" t="str">
        <f>[1]!DZFB1.136</f>
        <v xml:space="preserve"> -</v>
      </c>
      <c r="M4" s="10" t="str">
        <f>[1]!DZFB1.437</f>
        <v xml:space="preserve"> -</v>
      </c>
      <c r="N4" s="10" t="str">
        <f>[1]!DZFB1.406</f>
        <v xml:space="preserve"> -</v>
      </c>
      <c r="O4" s="10" t="str">
        <f>[1]!DZFB1.407</f>
        <v xml:space="preserve"> -</v>
      </c>
      <c r="P4" s="10" t="str">
        <f>[1]!DZFB1.431</f>
        <v>-</v>
      </c>
      <c r="Q4" s="10" t="str">
        <f>[1]!DZFB1.201</f>
        <v xml:space="preserve"> -</v>
      </c>
      <c r="R4" s="10" t="str">
        <f>[1]!DZFB1.202</f>
        <v xml:space="preserve"> -</v>
      </c>
      <c r="S4" s="10" t="str">
        <f>[1]!DZFB1.203</f>
        <v xml:space="preserve"> -</v>
      </c>
      <c r="T4" s="10" t="str">
        <f>[1]!DZFB1.204</f>
        <v xml:space="preserve"> -</v>
      </c>
      <c r="U4" s="10" t="str">
        <f>[1]!DZFB1.205</f>
        <v xml:space="preserve"> -</v>
      </c>
      <c r="V4" s="10" t="str">
        <f>[1]!DZFB1.211</f>
        <v xml:space="preserve"> -</v>
      </c>
      <c r="W4" s="10" t="str">
        <f>[1]!DZFB1.212</f>
        <v xml:space="preserve"> -</v>
      </c>
      <c r="X4" s="10" t="str">
        <f>[1]!DZFB1.213</f>
        <v xml:space="preserve"> -</v>
      </c>
      <c r="Y4" s="10" t="str">
        <f>[1]!DZFB1.214</f>
        <v xml:space="preserve"> -</v>
      </c>
      <c r="Z4" s="10" t="str">
        <f>[1]!DZFB1.215</f>
        <v xml:space="preserve"> -</v>
      </c>
      <c r="AA4" s="10" t="str">
        <f>[1]!DZFB1.221</f>
        <v>-</v>
      </c>
      <c r="AB4" s="10" t="str">
        <f>[1]!DZFB1.222</f>
        <v>-</v>
      </c>
      <c r="AC4" s="10" t="str">
        <f>[1]!DZFB1.223</f>
        <v>-</v>
      </c>
      <c r="AD4" s="10" t="str">
        <f>[1]!DZFB1.224</f>
        <v>-</v>
      </c>
      <c r="AE4" s="10" t="str">
        <f>[1]!DZFB1.225</f>
        <v>-</v>
      </c>
      <c r="AF4" s="10" t="str">
        <f>[1]!DZFB1.231</f>
        <v>-</v>
      </c>
      <c r="AG4" s="10" t="str">
        <f>[1]!DZFB1.232</f>
        <v>-</v>
      </c>
      <c r="AH4" s="10" t="str">
        <f>[1]!DZFB1.233</f>
        <v>-</v>
      </c>
      <c r="AI4" s="10" t="str">
        <f>[1]!DZFB1.234</f>
        <v>-</v>
      </c>
      <c r="AJ4" s="10" t="str">
        <f>[1]!DZFB1.235</f>
        <v>-</v>
      </c>
    </row>
    <row r="5" spans="1:36" s="10" customFormat="1" x14ac:dyDescent="0.25">
      <c r="A5" s="10" t="str">
        <f>"CQFB1"</f>
        <v>CQFB1</v>
      </c>
      <c r="B5" s="10" t="str">
        <f>[1]!CQFB1.402</f>
        <v>加權指數</v>
      </c>
      <c r="C5" s="10">
        <f>[1]!CQFB1.123</f>
        <v>0</v>
      </c>
      <c r="D5" s="10">
        <f>[1]!CQFB1.124</f>
        <v>20878632</v>
      </c>
      <c r="E5" s="10" t="str">
        <f>[1]!CQFB1.125</f>
        <v xml:space="preserve"> </v>
      </c>
      <c r="F5" s="10">
        <f>[1]!CQFB1.128</f>
        <v>1212870150</v>
      </c>
      <c r="G5" s="10">
        <f>[1]!CQFB1.130</f>
        <v>20803788</v>
      </c>
      <c r="H5" s="10">
        <f>[1]!CQFB1.131</f>
        <v>20804690</v>
      </c>
      <c r="I5" s="10">
        <f>[1]!CQFB1.132</f>
        <v>10989732</v>
      </c>
      <c r="J5" s="10">
        <f>[1]!CQFB1.133</f>
        <v>2088371110</v>
      </c>
      <c r="K5" s="10" t="str">
        <f>[1]!CQFB1.135</f>
        <v xml:space="preserve"> -</v>
      </c>
      <c r="L5" s="10" t="str">
        <f>[1]!CQFB1.136</f>
        <v xml:space="preserve"> -</v>
      </c>
      <c r="M5" s="10" t="str">
        <f>[1]!CQFB1.437</f>
        <v xml:space="preserve"> -</v>
      </c>
      <c r="N5" s="10" t="str">
        <f>[1]!CQFB1.406</f>
        <v xml:space="preserve"> -</v>
      </c>
      <c r="O5" s="10" t="str">
        <f>[1]!CQFB1.407</f>
        <v xml:space="preserve"> -</v>
      </c>
      <c r="P5" s="10" t="str">
        <f>[1]!CQFB1.431</f>
        <v>-</v>
      </c>
      <c r="Q5" s="10" t="str">
        <f>[1]!CQFB1.201</f>
        <v xml:space="preserve"> -</v>
      </c>
      <c r="R5" s="10" t="str">
        <f>[1]!CQFB1.202</f>
        <v xml:space="preserve"> -</v>
      </c>
      <c r="S5" s="10" t="str">
        <f>[1]!CQFB1.203</f>
        <v xml:space="preserve"> -</v>
      </c>
      <c r="T5" s="10" t="str">
        <f>[1]!CQFB1.204</f>
        <v xml:space="preserve"> -</v>
      </c>
      <c r="U5" s="10" t="str">
        <f>[1]!CQFB1.205</f>
        <v xml:space="preserve"> -</v>
      </c>
      <c r="V5" s="10" t="str">
        <f>[1]!CQFB1.211</f>
        <v xml:space="preserve"> -</v>
      </c>
      <c r="W5" s="10" t="str">
        <f>[1]!CQFB1.212</f>
        <v xml:space="preserve"> -</v>
      </c>
      <c r="X5" s="10" t="str">
        <f>[1]!CQFB1.213</f>
        <v xml:space="preserve"> -</v>
      </c>
      <c r="Y5" s="10" t="str">
        <f>[1]!CQFB1.214</f>
        <v xml:space="preserve"> -</v>
      </c>
      <c r="Z5" s="10" t="str">
        <f>[1]!CQFB1.215</f>
        <v xml:space="preserve"> -</v>
      </c>
      <c r="AA5" s="10" t="str">
        <f>[1]!CQFB1.221</f>
        <v>-</v>
      </c>
      <c r="AB5" s="10" t="str">
        <f>[1]!CQFB1.222</f>
        <v>-</v>
      </c>
      <c r="AC5" s="10" t="str">
        <f>[1]!CQFB1.223</f>
        <v>-</v>
      </c>
      <c r="AD5" s="10" t="str">
        <f>[1]!CQFB1.224</f>
        <v>-</v>
      </c>
      <c r="AE5" s="10" t="str">
        <f>[1]!CQFB1.225</f>
        <v>-</v>
      </c>
      <c r="AF5" s="10" t="str">
        <f>[1]!CQFB1.231</f>
        <v>-</v>
      </c>
      <c r="AG5" s="10" t="str">
        <f>[1]!CQFB1.232</f>
        <v>-</v>
      </c>
      <c r="AH5" s="10" t="str">
        <f>[1]!CQFB1.233</f>
        <v>-</v>
      </c>
      <c r="AI5" s="10" t="str">
        <f>[1]!CQFB1.234</f>
        <v>-</v>
      </c>
      <c r="AJ5" s="10" t="str">
        <f>[1]!CQFB1.235</f>
        <v>-</v>
      </c>
    </row>
    <row r="6" spans="1:36" s="10" customFormat="1" x14ac:dyDescent="0.25">
      <c r="A6" s="10" t="str">
        <f>"CFFB1"</f>
        <v>CFFB1</v>
      </c>
      <c r="B6" s="10" t="str">
        <f>[1]!CFFB1.402</f>
        <v>加權指數</v>
      </c>
      <c r="C6" s="10">
        <f>[1]!CFFB1.123</f>
        <v>100150</v>
      </c>
      <c r="D6" s="10">
        <f>[1]!CFFB1.124</f>
        <v>16421.62</v>
      </c>
      <c r="E6" s="10">
        <f>[1]!CFFB1.125</f>
        <v>-21.78</v>
      </c>
      <c r="F6" s="10">
        <f>[1]!CFFB1.128</f>
        <v>2439</v>
      </c>
      <c r="G6" s="10">
        <f>[1]!CFFB1.130</f>
        <v>16329.54</v>
      </c>
      <c r="H6" s="10">
        <f>[1]!CFFB1.131</f>
        <v>16456.939999999999</v>
      </c>
      <c r="I6" s="10">
        <f>[1]!CFFB1.132</f>
        <v>16329.54</v>
      </c>
      <c r="J6" s="10">
        <f>[1]!CFFB1.133</f>
        <v>4027056</v>
      </c>
      <c r="K6" s="10" t="str">
        <f>[1]!CFFB1.135</f>
        <v xml:space="preserve"> -</v>
      </c>
      <c r="L6" s="10" t="str">
        <f>[1]!CFFB1.136</f>
        <v xml:space="preserve"> -</v>
      </c>
      <c r="M6" s="10" t="str">
        <f>[1]!CFFB1.437</f>
        <v xml:space="preserve"> -</v>
      </c>
      <c r="N6" s="10" t="str">
        <f>[1]!CFFB1.406</f>
        <v xml:space="preserve"> -</v>
      </c>
      <c r="O6" s="10" t="str">
        <f>[1]!CFFB1.407</f>
        <v xml:space="preserve"> -</v>
      </c>
      <c r="P6" s="10" t="str">
        <f>[1]!CFFB1.431</f>
        <v>-</v>
      </c>
      <c r="Q6" s="10" t="str">
        <f>[1]!CFFB1.201</f>
        <v xml:space="preserve"> -</v>
      </c>
      <c r="R6" s="10" t="str">
        <f>[1]!CFFB1.202</f>
        <v xml:space="preserve"> -</v>
      </c>
      <c r="S6" s="10" t="str">
        <f>[1]!CFFB1.203</f>
        <v xml:space="preserve"> -</v>
      </c>
      <c r="T6" s="10" t="str">
        <f>[1]!CFFB1.204</f>
        <v xml:space="preserve"> -</v>
      </c>
      <c r="U6" s="10" t="str">
        <f>[1]!CFFB1.205</f>
        <v xml:space="preserve"> -</v>
      </c>
      <c r="V6" s="10" t="str">
        <f>[1]!CFFB1.211</f>
        <v xml:space="preserve"> -</v>
      </c>
      <c r="W6" s="10" t="str">
        <f>[1]!CFFB1.212</f>
        <v xml:space="preserve"> -</v>
      </c>
      <c r="X6" s="10" t="str">
        <f>[1]!CFFB1.213</f>
        <v xml:space="preserve"> -</v>
      </c>
      <c r="Y6" s="10" t="str">
        <f>[1]!CFFB1.214</f>
        <v xml:space="preserve"> -</v>
      </c>
      <c r="Z6" s="10" t="str">
        <f>[1]!CFFB1.215</f>
        <v xml:space="preserve"> -</v>
      </c>
      <c r="AA6" s="10" t="str">
        <f>[1]!CFFB1.221</f>
        <v>-</v>
      </c>
      <c r="AB6" s="10" t="str">
        <f>[1]!CFFB1.222</f>
        <v>-</v>
      </c>
      <c r="AC6" s="10" t="str">
        <f>[1]!CFFB1.223</f>
        <v>-</v>
      </c>
      <c r="AD6" s="10" t="str">
        <f>[1]!CFFB1.224</f>
        <v>-</v>
      </c>
      <c r="AE6" s="10" t="str">
        <f>[1]!CFFB1.225</f>
        <v>-</v>
      </c>
      <c r="AF6" s="10" t="str">
        <f>[1]!CFFB1.231</f>
        <v>-</v>
      </c>
      <c r="AG6" s="10" t="str">
        <f>[1]!CFFB1.232</f>
        <v>-</v>
      </c>
      <c r="AH6" s="10" t="str">
        <f>[1]!CFFB1.233</f>
        <v>-</v>
      </c>
      <c r="AI6" s="10" t="str">
        <f>[1]!CFFB1.234</f>
        <v>-</v>
      </c>
      <c r="AJ6" s="10" t="str">
        <f>[1]!CFFB1.235</f>
        <v>-</v>
      </c>
    </row>
    <row r="7" spans="1:36" s="10" customFormat="1" x14ac:dyDescent="0.25">
      <c r="A7" s="10" t="str">
        <f>"CAFB1"</f>
        <v>CAFB1</v>
      </c>
      <c r="B7" s="10" t="str">
        <f>[1]!CAFB1.402</f>
        <v>加權指數</v>
      </c>
      <c r="C7" s="10">
        <f>[1]!CAFB1.123</f>
        <v>100125</v>
      </c>
      <c r="D7" s="10">
        <f>[1]!CAFB1.124</f>
        <v>16429</v>
      </c>
      <c r="E7" s="10">
        <f>[1]!CAFB1.125</f>
        <v>-14.4</v>
      </c>
      <c r="F7" s="10">
        <f>[1]!CAFB1.128</f>
        <v>2036</v>
      </c>
      <c r="G7" s="10">
        <f>[1]!CAFB1.130</f>
        <v>16329.54</v>
      </c>
      <c r="H7" s="10">
        <f>[1]!CAFB1.131</f>
        <v>16456.939999999999</v>
      </c>
      <c r="I7" s="10">
        <f>[1]!CAFB1.132</f>
        <v>16329.54</v>
      </c>
      <c r="J7" s="10">
        <f>[1]!CAFB1.133</f>
        <v>4015112</v>
      </c>
      <c r="K7" s="10" t="str">
        <f>[1]!CAFB1.135</f>
        <v xml:space="preserve"> -</v>
      </c>
      <c r="L7" s="10" t="str">
        <f>[1]!CAFB1.136</f>
        <v xml:space="preserve"> -</v>
      </c>
      <c r="M7" s="10" t="str">
        <f>[1]!CAFB1.437</f>
        <v xml:space="preserve"> -</v>
      </c>
      <c r="N7" s="10" t="str">
        <f>[1]!CAFB1.406</f>
        <v xml:space="preserve"> -</v>
      </c>
      <c r="O7" s="10" t="str">
        <f>[1]!CAFB1.407</f>
        <v xml:space="preserve"> -</v>
      </c>
      <c r="P7" s="10" t="str">
        <f>[1]!CAFB1.431</f>
        <v>-</v>
      </c>
      <c r="Q7" s="10" t="str">
        <f>[1]!CAFB1.201</f>
        <v xml:space="preserve"> -</v>
      </c>
      <c r="R7" s="10" t="str">
        <f>[1]!CAFB1.202</f>
        <v xml:space="preserve"> -</v>
      </c>
      <c r="S7" s="10" t="str">
        <f>[1]!CAFB1.203</f>
        <v xml:space="preserve"> -</v>
      </c>
      <c r="T7" s="10" t="str">
        <f>[1]!CAFB1.204</f>
        <v xml:space="preserve"> -</v>
      </c>
      <c r="U7" s="10" t="str">
        <f>[1]!CAFB1.205</f>
        <v xml:space="preserve"> -</v>
      </c>
      <c r="V7" s="10" t="str">
        <f>[1]!CAFB1.211</f>
        <v xml:space="preserve"> -</v>
      </c>
      <c r="W7" s="10" t="str">
        <f>[1]!CAFB1.212</f>
        <v xml:space="preserve"> -</v>
      </c>
      <c r="X7" s="10" t="str">
        <f>[1]!CAFB1.213</f>
        <v xml:space="preserve"> -</v>
      </c>
      <c r="Y7" s="10" t="str">
        <f>[1]!CAFB1.214</f>
        <v xml:space="preserve"> -</v>
      </c>
      <c r="Z7" s="10" t="str">
        <f>[1]!CAFB1.215</f>
        <v xml:space="preserve"> -</v>
      </c>
      <c r="AA7" s="10" t="str">
        <f>[1]!CAFB1.221</f>
        <v>-</v>
      </c>
      <c r="AB7" s="10" t="str">
        <f>[1]!CAFB1.222</f>
        <v>-</v>
      </c>
      <c r="AC7" s="10" t="str">
        <f>[1]!CAFB1.223</f>
        <v>-</v>
      </c>
      <c r="AD7" s="10" t="str">
        <f>[1]!CAFB1.224</f>
        <v>-</v>
      </c>
      <c r="AE7" s="10" t="str">
        <f>[1]!CAFB1.225</f>
        <v>-</v>
      </c>
      <c r="AF7" s="10" t="str">
        <f>[1]!CAFB1.231</f>
        <v>-</v>
      </c>
      <c r="AG7" s="10" t="str">
        <f>[1]!CAFB1.232</f>
        <v>-</v>
      </c>
      <c r="AH7" s="10" t="str">
        <f>[1]!CAFB1.233</f>
        <v>-</v>
      </c>
      <c r="AI7" s="10" t="str">
        <f>[1]!CAFB1.234</f>
        <v>-</v>
      </c>
      <c r="AJ7" s="10" t="str">
        <f>[1]!CAFB1.235</f>
        <v>-</v>
      </c>
    </row>
    <row r="8" spans="1:36" s="10" customFormat="1" x14ac:dyDescent="0.25">
      <c r="A8" s="10" t="str">
        <f>"EEFB1"</f>
        <v>EEFB1</v>
      </c>
      <c r="B8" s="10" t="str">
        <f>[1]!EEFB1.402</f>
        <v>加權指數</v>
      </c>
      <c r="C8" s="10">
        <f>[1]!EEFB1.123</f>
        <v>100135</v>
      </c>
      <c r="D8" s="10">
        <f>[1]!EEFB1.124</f>
        <v>16424.64</v>
      </c>
      <c r="E8" s="10">
        <f>[1]!EEFB1.125</f>
        <v>-18.760000000000002</v>
      </c>
      <c r="F8" s="10">
        <f>[1]!EEFB1.128</f>
        <v>1648</v>
      </c>
      <c r="G8" s="10">
        <f>[1]!EEFB1.130</f>
        <v>16329.54</v>
      </c>
      <c r="H8" s="10">
        <f>[1]!EEFB1.131</f>
        <v>16456.939999999999</v>
      </c>
      <c r="I8" s="10">
        <f>[1]!EEFB1.132</f>
        <v>16329.54</v>
      </c>
      <c r="J8" s="10">
        <f>[1]!EEFB1.133</f>
        <v>4020107</v>
      </c>
      <c r="K8" s="10" t="str">
        <f>[1]!EEFB1.135</f>
        <v xml:space="preserve"> -</v>
      </c>
      <c r="L8" s="10" t="str">
        <f>[1]!EEFB1.136</f>
        <v xml:space="preserve"> -</v>
      </c>
      <c r="M8" s="10" t="str">
        <f>[1]!EEFB1.437</f>
        <v xml:space="preserve"> -</v>
      </c>
      <c r="N8" s="10" t="str">
        <f>[1]!EEFB1.406</f>
        <v xml:space="preserve"> -</v>
      </c>
      <c r="O8" s="10" t="str">
        <f>[1]!EEFB1.407</f>
        <v xml:space="preserve"> -</v>
      </c>
      <c r="P8" s="10" t="str">
        <f>[1]!EEFB1.431</f>
        <v>-</v>
      </c>
      <c r="Q8" s="10" t="str">
        <f>[1]!EEFB1.201</f>
        <v xml:space="preserve"> -</v>
      </c>
      <c r="R8" s="10" t="str">
        <f>[1]!EEFB1.202</f>
        <v xml:space="preserve"> -</v>
      </c>
      <c r="S8" s="10" t="str">
        <f>[1]!EEFB1.203</f>
        <v xml:space="preserve"> -</v>
      </c>
      <c r="T8" s="10" t="str">
        <f>[1]!EEFB1.204</f>
        <v xml:space="preserve"> -</v>
      </c>
      <c r="U8" s="10" t="str">
        <f>[1]!EEFB1.205</f>
        <v xml:space="preserve"> -</v>
      </c>
      <c r="V8" s="10" t="str">
        <f>[1]!EEFB1.211</f>
        <v xml:space="preserve"> -</v>
      </c>
      <c r="W8" s="10" t="str">
        <f>[1]!EEFB1.212</f>
        <v xml:space="preserve"> -</v>
      </c>
      <c r="X8" s="10" t="str">
        <f>[1]!EEFB1.213</f>
        <v xml:space="preserve"> -</v>
      </c>
      <c r="Y8" s="10" t="str">
        <f>[1]!EEFB1.214</f>
        <v xml:space="preserve"> -</v>
      </c>
      <c r="Z8" s="10" t="str">
        <f>[1]!EEFB1.215</f>
        <v xml:space="preserve"> -</v>
      </c>
      <c r="AA8" s="10" t="str">
        <f>[1]!EEFB1.221</f>
        <v>-</v>
      </c>
      <c r="AB8" s="10" t="str">
        <f>[1]!EEFB1.222</f>
        <v>-</v>
      </c>
      <c r="AC8" s="10" t="str">
        <f>[1]!EEFB1.223</f>
        <v>-</v>
      </c>
      <c r="AD8" s="10" t="str">
        <f>[1]!EEFB1.224</f>
        <v>-</v>
      </c>
      <c r="AE8" s="10" t="str">
        <f>[1]!EEFB1.225</f>
        <v>-</v>
      </c>
      <c r="AF8" s="10" t="str">
        <f>[1]!EEFB1.231</f>
        <v>-</v>
      </c>
      <c r="AG8" s="10" t="str">
        <f>[1]!EEFB1.232</f>
        <v>-</v>
      </c>
      <c r="AH8" s="10" t="str">
        <f>[1]!EEFB1.233</f>
        <v>-</v>
      </c>
      <c r="AI8" s="10" t="str">
        <f>[1]!EEFB1.234</f>
        <v>-</v>
      </c>
      <c r="AJ8" s="10" t="str">
        <f>[1]!EEFB1.235</f>
        <v>-</v>
      </c>
    </row>
    <row r="9" spans="1:36" s="10" customFormat="1" x14ac:dyDescent="0.25">
      <c r="A9" s="10" t="str">
        <f>"EGFB1"</f>
        <v>EGFB1</v>
      </c>
      <c r="B9" s="10" t="str">
        <f>[1]!EGFB1.402</f>
        <v>加權指數</v>
      </c>
      <c r="C9" s="10">
        <f>[1]!EGFB1.123</f>
        <v>100125</v>
      </c>
      <c r="D9" s="10">
        <f>[1]!EGFB1.124</f>
        <v>16429</v>
      </c>
      <c r="E9" s="10">
        <f>[1]!EGFB1.125</f>
        <v>-14.4</v>
      </c>
      <c r="F9" s="10">
        <f>[1]!EGFB1.128</f>
        <v>2036</v>
      </c>
      <c r="G9" s="10">
        <f>[1]!EGFB1.130</f>
        <v>16329.54</v>
      </c>
      <c r="H9" s="10">
        <f>[1]!EGFB1.131</f>
        <v>16456.939999999999</v>
      </c>
      <c r="I9" s="10">
        <f>[1]!EGFB1.132</f>
        <v>16329.54</v>
      </c>
      <c r="J9" s="10">
        <f>[1]!EGFB1.133</f>
        <v>4015112</v>
      </c>
      <c r="K9" s="10" t="str">
        <f>[1]!EGFB1.135</f>
        <v xml:space="preserve"> -</v>
      </c>
      <c r="L9" s="10" t="str">
        <f>[1]!EGFB1.136</f>
        <v xml:space="preserve"> -</v>
      </c>
      <c r="M9" s="10" t="str">
        <f>[1]!EGFB1.437</f>
        <v xml:space="preserve"> -</v>
      </c>
      <c r="N9" s="10" t="str">
        <f>[1]!EGFB1.406</f>
        <v xml:space="preserve"> -</v>
      </c>
      <c r="O9" s="10" t="str">
        <f>[1]!EGFB1.407</f>
        <v xml:space="preserve"> -</v>
      </c>
      <c r="P9" s="10" t="str">
        <f>[1]!EGFB1.431</f>
        <v>-</v>
      </c>
      <c r="Q9" s="10" t="str">
        <f>[1]!EGFB1.201</f>
        <v xml:space="preserve"> -</v>
      </c>
      <c r="R9" s="10" t="str">
        <f>[1]!EGFB1.202</f>
        <v xml:space="preserve"> -</v>
      </c>
      <c r="S9" s="10" t="str">
        <f>[1]!EGFB1.203</f>
        <v xml:space="preserve"> -</v>
      </c>
      <c r="T9" s="10" t="str">
        <f>[1]!EGFB1.204</f>
        <v xml:space="preserve"> -</v>
      </c>
      <c r="U9" s="10" t="str">
        <f>[1]!EGFB1.205</f>
        <v xml:space="preserve"> -</v>
      </c>
      <c r="V9" s="10" t="str">
        <f>[1]!EGFB1.211</f>
        <v xml:space="preserve"> -</v>
      </c>
      <c r="W9" s="10" t="str">
        <f>[1]!EGFB1.212</f>
        <v xml:space="preserve"> -</v>
      </c>
      <c r="X9" s="10" t="str">
        <f>[1]!EGFB1.213</f>
        <v xml:space="preserve"> -</v>
      </c>
      <c r="Y9" s="10" t="str">
        <f>[1]!EGFB1.214</f>
        <v xml:space="preserve"> -</v>
      </c>
      <c r="Z9" s="10" t="str">
        <f>[1]!EGFB1.215</f>
        <v xml:space="preserve"> -</v>
      </c>
      <c r="AA9" s="10" t="str">
        <f>[1]!EGFB1.221</f>
        <v>-</v>
      </c>
      <c r="AB9" s="10" t="str">
        <f>[1]!EGFB1.222</f>
        <v>-</v>
      </c>
      <c r="AC9" s="10" t="str">
        <f>[1]!EGFB1.223</f>
        <v>-</v>
      </c>
      <c r="AD9" s="10" t="str">
        <f>[1]!EGFB1.224</f>
        <v>-</v>
      </c>
      <c r="AE9" s="10" t="str">
        <f>[1]!EGFB1.225</f>
        <v>-</v>
      </c>
      <c r="AF9" s="10" t="str">
        <f>[1]!EGFB1.231</f>
        <v>-</v>
      </c>
      <c r="AG9" s="10" t="str">
        <f>[1]!EGFB1.232</f>
        <v>-</v>
      </c>
      <c r="AH9" s="10" t="str">
        <f>[1]!EGFB1.233</f>
        <v>-</v>
      </c>
      <c r="AI9" s="10" t="str">
        <f>[1]!EGFB1.234</f>
        <v>-</v>
      </c>
      <c r="AJ9" s="10" t="str">
        <f>[1]!EGFB1.235</f>
        <v>-</v>
      </c>
    </row>
    <row r="10" spans="1:36" s="10" customFormat="1" x14ac:dyDescent="0.25">
      <c r="A10" s="10" t="str">
        <f>"EHFB1"</f>
        <v>EHFB1</v>
      </c>
      <c r="B10" s="10" t="str">
        <f>[1]!EHFB1.402</f>
        <v>不含金電</v>
      </c>
      <c r="C10" s="10">
        <f>[1]!EHFB1.123</f>
        <v>100150</v>
      </c>
      <c r="D10" s="10">
        <f>[1]!EHFB1.124</f>
        <v>13900.72</v>
      </c>
      <c r="E10" s="10">
        <f>[1]!EHFB1.125</f>
        <v>14.14</v>
      </c>
      <c r="F10" s="10">
        <f>[1]!EHFB1.128</f>
        <v>887</v>
      </c>
      <c r="G10" s="10">
        <f>[1]!EHFB1.130</f>
        <v>13893.03</v>
      </c>
      <c r="H10" s="10">
        <f>[1]!EHFB1.131</f>
        <v>13945.78</v>
      </c>
      <c r="I10" s="10">
        <f>[1]!EHFB1.132</f>
        <v>13875.82</v>
      </c>
      <c r="J10" s="10">
        <f>[1]!EHFB1.133</f>
        <v>873827</v>
      </c>
      <c r="K10" s="10" t="str">
        <f>[1]!EHFB1.135</f>
        <v xml:space="preserve"> -</v>
      </c>
      <c r="L10" s="10" t="str">
        <f>[1]!EHFB1.136</f>
        <v xml:space="preserve"> -</v>
      </c>
      <c r="M10" s="10" t="str">
        <f>[1]!EHFB1.437</f>
        <v xml:space="preserve"> -</v>
      </c>
      <c r="N10" s="10" t="str">
        <f>[1]!EHFB1.406</f>
        <v xml:space="preserve"> -</v>
      </c>
      <c r="O10" s="10" t="str">
        <f>[1]!EHFB1.407</f>
        <v xml:space="preserve"> -</v>
      </c>
      <c r="P10" s="10" t="str">
        <f>[1]!EHFB1.431</f>
        <v>-</v>
      </c>
      <c r="Q10" s="10" t="str">
        <f>[1]!EHFB1.201</f>
        <v xml:space="preserve"> -</v>
      </c>
      <c r="R10" s="10" t="str">
        <f>[1]!EHFB1.202</f>
        <v xml:space="preserve"> -</v>
      </c>
      <c r="S10" s="10" t="str">
        <f>[1]!EHFB1.203</f>
        <v xml:space="preserve"> -</v>
      </c>
      <c r="T10" s="10" t="str">
        <f>[1]!EHFB1.204</f>
        <v xml:space="preserve"> -</v>
      </c>
      <c r="U10" s="10" t="str">
        <f>[1]!EHFB1.205</f>
        <v xml:space="preserve"> -</v>
      </c>
      <c r="V10" s="10" t="str">
        <f>[1]!EHFB1.211</f>
        <v xml:space="preserve"> -</v>
      </c>
      <c r="W10" s="10" t="str">
        <f>[1]!EHFB1.212</f>
        <v xml:space="preserve"> -</v>
      </c>
      <c r="X10" s="10" t="str">
        <f>[1]!EHFB1.213</f>
        <v xml:space="preserve"> -</v>
      </c>
      <c r="Y10" s="10" t="str">
        <f>[1]!EHFB1.214</f>
        <v xml:space="preserve"> -</v>
      </c>
      <c r="Z10" s="10" t="str">
        <f>[1]!EHFB1.215</f>
        <v xml:space="preserve"> -</v>
      </c>
      <c r="AA10" s="10" t="str">
        <f>[1]!EHFB1.221</f>
        <v>-</v>
      </c>
      <c r="AB10" s="10" t="str">
        <f>[1]!EHFB1.222</f>
        <v>-</v>
      </c>
      <c r="AC10" s="10" t="str">
        <f>[1]!EHFB1.223</f>
        <v>-</v>
      </c>
      <c r="AD10" s="10" t="str">
        <f>[1]!EHFB1.224</f>
        <v>-</v>
      </c>
      <c r="AE10" s="10" t="str">
        <f>[1]!EHFB1.225</f>
        <v>-</v>
      </c>
      <c r="AF10" s="10" t="str">
        <f>[1]!EHFB1.231</f>
        <v>-</v>
      </c>
      <c r="AG10" s="10" t="str">
        <f>[1]!EHFB1.232</f>
        <v>-</v>
      </c>
      <c r="AH10" s="10" t="str">
        <f>[1]!EHFB1.233</f>
        <v>-</v>
      </c>
      <c r="AI10" s="10" t="str">
        <f>[1]!EHFB1.234</f>
        <v>-</v>
      </c>
      <c r="AJ10" s="10" t="str">
        <f>[1]!EHFB1.235</f>
        <v>-</v>
      </c>
    </row>
    <row r="11" spans="1:36" s="10" customFormat="1" x14ac:dyDescent="0.25">
      <c r="A11" s="10" t="str">
        <f>"DGFB1"</f>
        <v>DGFB1</v>
      </c>
      <c r="B11" s="10" t="str">
        <f>[1]!DGFB1.402</f>
        <v>加權指數</v>
      </c>
      <c r="C11" s="10">
        <f>[1]!DGFB1.123</f>
        <v>100150</v>
      </c>
      <c r="D11" s="10">
        <f>[1]!DGFB1.124</f>
        <v>16421.62</v>
      </c>
      <c r="E11" s="10">
        <f>[1]!DGFB1.125</f>
        <v>-21.78</v>
      </c>
      <c r="F11" s="10">
        <f>[1]!DGFB1.128</f>
        <v>2439</v>
      </c>
      <c r="G11" s="10">
        <f>[1]!DGFB1.130</f>
        <v>16329.54</v>
      </c>
      <c r="H11" s="10">
        <f>[1]!DGFB1.131</f>
        <v>16456.939999999999</v>
      </c>
      <c r="I11" s="10">
        <f>[1]!DGFB1.132</f>
        <v>16329.54</v>
      </c>
      <c r="J11" s="10">
        <f>[1]!DGFB1.133</f>
        <v>4027056</v>
      </c>
      <c r="K11" s="10" t="str">
        <f>[1]!DGFB1.135</f>
        <v xml:space="preserve"> -</v>
      </c>
      <c r="L11" s="10" t="str">
        <f>[1]!DGFB1.136</f>
        <v xml:space="preserve"> -</v>
      </c>
      <c r="M11" s="10" t="str">
        <f>[1]!DGFB1.437</f>
        <v xml:space="preserve"> -</v>
      </c>
      <c r="N11" s="10" t="str">
        <f>[1]!DGFB1.406</f>
        <v xml:space="preserve"> -</v>
      </c>
      <c r="O11" s="10" t="str">
        <f>[1]!DGFB1.407</f>
        <v xml:space="preserve"> -</v>
      </c>
      <c r="P11" s="10" t="str">
        <f>[1]!DGFB1.431</f>
        <v>-</v>
      </c>
      <c r="Q11" s="10" t="str">
        <f>[1]!DGFB1.201</f>
        <v xml:space="preserve"> -</v>
      </c>
      <c r="R11" s="10" t="str">
        <f>[1]!DGFB1.202</f>
        <v xml:space="preserve"> -</v>
      </c>
      <c r="S11" s="10" t="str">
        <f>[1]!DGFB1.203</f>
        <v xml:space="preserve"> -</v>
      </c>
      <c r="T11" s="10" t="str">
        <f>[1]!DGFB1.204</f>
        <v xml:space="preserve"> -</v>
      </c>
      <c r="U11" s="10" t="str">
        <f>[1]!DGFB1.205</f>
        <v xml:space="preserve"> -</v>
      </c>
      <c r="V11" s="10" t="str">
        <f>[1]!DGFB1.211</f>
        <v xml:space="preserve"> -</v>
      </c>
      <c r="W11" s="10" t="str">
        <f>[1]!DGFB1.212</f>
        <v xml:space="preserve"> -</v>
      </c>
      <c r="X11" s="10" t="str">
        <f>[1]!DGFB1.213</f>
        <v xml:space="preserve"> -</v>
      </c>
      <c r="Y11" s="10" t="str">
        <f>[1]!DGFB1.214</f>
        <v xml:space="preserve"> -</v>
      </c>
      <c r="Z11" s="10" t="str">
        <f>[1]!DGFB1.215</f>
        <v xml:space="preserve"> -</v>
      </c>
      <c r="AA11" s="10" t="str">
        <f>[1]!DGFB1.221</f>
        <v>-</v>
      </c>
      <c r="AB11" s="10" t="str">
        <f>[1]!DGFB1.222</f>
        <v>-</v>
      </c>
      <c r="AC11" s="10" t="str">
        <f>[1]!DGFB1.223</f>
        <v>-</v>
      </c>
      <c r="AD11" s="10" t="str">
        <f>[1]!DGFB1.224</f>
        <v>-</v>
      </c>
      <c r="AE11" s="10" t="str">
        <f>[1]!DGFB1.225</f>
        <v>-</v>
      </c>
      <c r="AF11" s="10" t="str">
        <f>[1]!DGFB1.231</f>
        <v>-</v>
      </c>
      <c r="AG11" s="10" t="str">
        <f>[1]!DGFB1.232</f>
        <v>-</v>
      </c>
      <c r="AH11" s="10" t="str">
        <f>[1]!DGFB1.233</f>
        <v>-</v>
      </c>
      <c r="AI11" s="10" t="str">
        <f>[1]!DGFB1.234</f>
        <v>-</v>
      </c>
      <c r="AJ11" s="10" t="str">
        <f>[1]!DGFB1.235</f>
        <v>-</v>
      </c>
    </row>
    <row r="12" spans="1:36" s="10" customFormat="1" x14ac:dyDescent="0.25">
      <c r="A12" s="10" t="str">
        <f>"CRFB1"</f>
        <v>CRFB1</v>
      </c>
      <c r="B12" s="10" t="str">
        <f>[1]!CRFB1.402</f>
        <v>加權指數</v>
      </c>
      <c r="C12" s="10">
        <f>[1]!CRFB1.123</f>
        <v>100135</v>
      </c>
      <c r="D12" s="10">
        <f>[1]!CRFB1.124</f>
        <v>16424.64</v>
      </c>
      <c r="E12" s="10">
        <f>[1]!CRFB1.125</f>
        <v>-18.760000000000002</v>
      </c>
      <c r="F12" s="10">
        <f>[1]!CRFB1.128</f>
        <v>1648</v>
      </c>
      <c r="G12" s="10">
        <f>[1]!CRFB1.130</f>
        <v>16329.54</v>
      </c>
      <c r="H12" s="10">
        <f>[1]!CRFB1.131</f>
        <v>16456.939999999999</v>
      </c>
      <c r="I12" s="10">
        <f>[1]!CRFB1.132</f>
        <v>16329.54</v>
      </c>
      <c r="J12" s="10">
        <f>[1]!CRFB1.133</f>
        <v>4020107</v>
      </c>
      <c r="K12" s="10" t="str">
        <f>[1]!CRFB1.135</f>
        <v xml:space="preserve"> -</v>
      </c>
      <c r="L12" s="10" t="str">
        <f>[1]!CRFB1.136</f>
        <v xml:space="preserve"> -</v>
      </c>
      <c r="M12" s="10" t="str">
        <f>[1]!CRFB1.437</f>
        <v xml:space="preserve"> -</v>
      </c>
      <c r="N12" s="10" t="str">
        <f>[1]!CRFB1.406</f>
        <v xml:space="preserve"> -</v>
      </c>
      <c r="O12" s="10" t="str">
        <f>[1]!CRFB1.407</f>
        <v xml:space="preserve"> -</v>
      </c>
      <c r="P12" s="10" t="str">
        <f>[1]!CRFB1.431</f>
        <v>-</v>
      </c>
      <c r="Q12" s="10" t="str">
        <f>[1]!CRFB1.201</f>
        <v xml:space="preserve"> -</v>
      </c>
      <c r="R12" s="10" t="str">
        <f>[1]!CRFB1.202</f>
        <v xml:space="preserve"> -</v>
      </c>
      <c r="S12" s="10" t="str">
        <f>[1]!CRFB1.203</f>
        <v xml:space="preserve"> -</v>
      </c>
      <c r="T12" s="10" t="str">
        <f>[1]!CRFB1.204</f>
        <v xml:space="preserve"> -</v>
      </c>
      <c r="U12" s="10" t="str">
        <f>[1]!CRFB1.205</f>
        <v xml:space="preserve"> -</v>
      </c>
      <c r="V12" s="10" t="str">
        <f>[1]!CRFB1.211</f>
        <v xml:space="preserve"> -</v>
      </c>
      <c r="W12" s="10" t="str">
        <f>[1]!CRFB1.212</f>
        <v xml:space="preserve"> -</v>
      </c>
      <c r="X12" s="10" t="str">
        <f>[1]!CRFB1.213</f>
        <v xml:space="preserve"> -</v>
      </c>
      <c r="Y12" s="10" t="str">
        <f>[1]!CRFB1.214</f>
        <v xml:space="preserve"> -</v>
      </c>
      <c r="Z12" s="10" t="str">
        <f>[1]!CRFB1.215</f>
        <v xml:space="preserve"> -</v>
      </c>
      <c r="AA12" s="10" t="str">
        <f>[1]!CRFB1.221</f>
        <v>-</v>
      </c>
      <c r="AB12" s="10" t="str">
        <f>[1]!CRFB1.222</f>
        <v>-</v>
      </c>
      <c r="AC12" s="10" t="str">
        <f>[1]!CRFB1.223</f>
        <v>-</v>
      </c>
      <c r="AD12" s="10" t="str">
        <f>[1]!CRFB1.224</f>
        <v>-</v>
      </c>
      <c r="AE12" s="10" t="str">
        <f>[1]!CRFB1.225</f>
        <v>-</v>
      </c>
      <c r="AF12" s="10" t="str">
        <f>[1]!CRFB1.231</f>
        <v>-</v>
      </c>
      <c r="AG12" s="10" t="str">
        <f>[1]!CRFB1.232</f>
        <v>-</v>
      </c>
      <c r="AH12" s="10" t="str">
        <f>[1]!CRFB1.233</f>
        <v>-</v>
      </c>
      <c r="AI12" s="10" t="str">
        <f>[1]!CRFB1.234</f>
        <v>-</v>
      </c>
      <c r="AJ12" s="10" t="str">
        <f>[1]!CRFB1.235</f>
        <v>-</v>
      </c>
    </row>
    <row r="13" spans="1:36" s="10" customFormat="1" x14ac:dyDescent="0.25">
      <c r="A13" s="10" t="str">
        <f>"LWFB1"</f>
        <v>LWFB1</v>
      </c>
      <c r="B13" s="10" t="str">
        <f>[1]!LWFB1.402</f>
        <v>不含金電</v>
      </c>
      <c r="C13" s="10">
        <f>[1]!LWFB1.123</f>
        <v>100140</v>
      </c>
      <c r="D13" s="10">
        <f>[1]!LWFB1.124</f>
        <v>13893.18</v>
      </c>
      <c r="E13" s="10">
        <f>[1]!LWFB1.125</f>
        <v>6.6</v>
      </c>
      <c r="F13" s="10">
        <f>[1]!LWFB1.128</f>
        <v>720</v>
      </c>
      <c r="G13" s="10">
        <f>[1]!LWFB1.130</f>
        <v>13893.03</v>
      </c>
      <c r="H13" s="10">
        <f>[1]!LWFB1.131</f>
        <v>13945.78</v>
      </c>
      <c r="I13" s="10">
        <f>[1]!LWFB1.132</f>
        <v>13875.82</v>
      </c>
      <c r="J13" s="10">
        <f>[1]!LWFB1.133</f>
        <v>872505</v>
      </c>
      <c r="K13" s="10" t="str">
        <f>[1]!LWFB1.135</f>
        <v xml:space="preserve"> -</v>
      </c>
      <c r="L13" s="10" t="str">
        <f>[1]!LWFB1.136</f>
        <v xml:space="preserve"> -</v>
      </c>
      <c r="M13" s="10" t="str">
        <f>[1]!LWFB1.437</f>
        <v xml:space="preserve"> -</v>
      </c>
      <c r="N13" s="10" t="str">
        <f>[1]!LWFB1.406</f>
        <v xml:space="preserve"> -</v>
      </c>
      <c r="O13" s="10" t="str">
        <f>[1]!LWFB1.407</f>
        <v xml:space="preserve"> -</v>
      </c>
      <c r="P13" s="10" t="str">
        <f>[1]!LWFB1.431</f>
        <v>-</v>
      </c>
      <c r="Q13" s="10" t="str">
        <f>[1]!LWFB1.201</f>
        <v xml:space="preserve"> -</v>
      </c>
      <c r="R13" s="10" t="str">
        <f>[1]!LWFB1.202</f>
        <v xml:space="preserve"> -</v>
      </c>
      <c r="S13" s="10" t="str">
        <f>[1]!LWFB1.203</f>
        <v xml:space="preserve"> -</v>
      </c>
      <c r="T13" s="10" t="str">
        <f>[1]!LWFB1.204</f>
        <v xml:space="preserve"> -</v>
      </c>
      <c r="U13" s="10" t="str">
        <f>[1]!LWFB1.205</f>
        <v xml:space="preserve"> -</v>
      </c>
      <c r="V13" s="10" t="str">
        <f>[1]!LWFB1.211</f>
        <v xml:space="preserve"> -</v>
      </c>
      <c r="W13" s="10" t="str">
        <f>[1]!LWFB1.212</f>
        <v xml:space="preserve"> -</v>
      </c>
      <c r="X13" s="10" t="str">
        <f>[1]!LWFB1.213</f>
        <v xml:space="preserve"> -</v>
      </c>
      <c r="Y13" s="10" t="str">
        <f>[1]!LWFB1.214</f>
        <v xml:space="preserve"> -</v>
      </c>
      <c r="Z13" s="10" t="str">
        <f>[1]!LWFB1.215</f>
        <v xml:space="preserve"> -</v>
      </c>
      <c r="AA13" s="10" t="str">
        <f>[1]!LWFB1.221</f>
        <v>-</v>
      </c>
      <c r="AB13" s="10" t="str">
        <f>[1]!LWFB1.222</f>
        <v>-</v>
      </c>
      <c r="AC13" s="10" t="str">
        <f>[1]!LWFB1.223</f>
        <v>-</v>
      </c>
      <c r="AD13" s="10" t="str">
        <f>[1]!LWFB1.224</f>
        <v>-</v>
      </c>
      <c r="AE13" s="10" t="str">
        <f>[1]!LWFB1.225</f>
        <v>-</v>
      </c>
      <c r="AF13" s="10" t="str">
        <f>[1]!LWFB1.231</f>
        <v>-</v>
      </c>
      <c r="AG13" s="10" t="str">
        <f>[1]!LWFB1.232</f>
        <v>-</v>
      </c>
      <c r="AH13" s="10" t="str">
        <f>[1]!LWFB1.233</f>
        <v>-</v>
      </c>
      <c r="AI13" s="10" t="str">
        <f>[1]!LWFB1.234</f>
        <v>-</v>
      </c>
      <c r="AJ13" s="10" t="str">
        <f>[1]!LWFB1.235</f>
        <v>-</v>
      </c>
    </row>
    <row r="14" spans="1:36" s="10" customFormat="1" x14ac:dyDescent="0.25">
      <c r="A14" s="10" t="str">
        <f>"KS1B1"</f>
        <v>KS1B1</v>
      </c>
      <c r="B14" s="10" t="str">
        <f>[1]!KS1B1.402</f>
        <v>加權指數</v>
      </c>
      <c r="C14" s="10">
        <f>[1]!KS1B1.123</f>
        <v>100140</v>
      </c>
      <c r="D14" s="10">
        <f>[1]!KS1B1.124</f>
        <v>16428.68</v>
      </c>
      <c r="E14" s="10">
        <f>[1]!KS1B1.125</f>
        <v>-14.72</v>
      </c>
      <c r="F14" s="10">
        <f>[1]!KS1B1.128</f>
        <v>2686</v>
      </c>
      <c r="G14" s="10">
        <f>[1]!KS1B1.130</f>
        <v>16329.54</v>
      </c>
      <c r="H14" s="10">
        <f>[1]!KS1B1.131</f>
        <v>16456.939999999999</v>
      </c>
      <c r="I14" s="10">
        <f>[1]!KS1B1.132</f>
        <v>16329.54</v>
      </c>
      <c r="J14" s="10">
        <f>[1]!KS1B1.133</f>
        <v>4022793</v>
      </c>
      <c r="K14" s="10" t="str">
        <f>[1]!KS1B1.135</f>
        <v xml:space="preserve"> -</v>
      </c>
      <c r="L14" s="10" t="str">
        <f>[1]!KS1B1.136</f>
        <v xml:space="preserve"> -</v>
      </c>
      <c r="M14" s="10" t="str">
        <f>[1]!KS1B1.437</f>
        <v xml:space="preserve"> -</v>
      </c>
      <c r="N14" s="10" t="str">
        <f>[1]!KS1B1.406</f>
        <v xml:space="preserve"> -</v>
      </c>
      <c r="O14" s="10" t="str">
        <f>[1]!KS1B1.407</f>
        <v xml:space="preserve"> -</v>
      </c>
      <c r="P14" s="10" t="str">
        <f>[1]!KS1B1.431</f>
        <v>-</v>
      </c>
      <c r="Q14" s="10" t="str">
        <f>[1]!KS1B1.201</f>
        <v xml:space="preserve"> -</v>
      </c>
      <c r="R14" s="10" t="str">
        <f>[1]!KS1B1.202</f>
        <v xml:space="preserve"> -</v>
      </c>
      <c r="S14" s="10" t="str">
        <f>[1]!KS1B1.203</f>
        <v xml:space="preserve"> -</v>
      </c>
      <c r="T14" s="10" t="str">
        <f>[1]!KS1B1.204</f>
        <v xml:space="preserve"> -</v>
      </c>
      <c r="U14" s="10" t="str">
        <f>[1]!KS1B1.205</f>
        <v xml:space="preserve"> -</v>
      </c>
      <c r="V14" s="10" t="str">
        <f>[1]!KS1B1.211</f>
        <v xml:space="preserve"> -</v>
      </c>
      <c r="W14" s="10" t="str">
        <f>[1]!KS1B1.212</f>
        <v xml:space="preserve"> -</v>
      </c>
      <c r="X14" s="10" t="str">
        <f>[1]!KS1B1.213</f>
        <v xml:space="preserve"> -</v>
      </c>
      <c r="Y14" s="10" t="str">
        <f>[1]!KS1B1.214</f>
        <v xml:space="preserve"> -</v>
      </c>
      <c r="Z14" s="10" t="str">
        <f>[1]!KS1B1.215</f>
        <v xml:space="preserve"> -</v>
      </c>
      <c r="AA14" s="10" t="str">
        <f>[1]!KS1B1.221</f>
        <v>-</v>
      </c>
      <c r="AB14" s="10" t="str">
        <f>[1]!KS1B1.222</f>
        <v>-</v>
      </c>
      <c r="AC14" s="10" t="str">
        <f>[1]!KS1B1.223</f>
        <v>-</v>
      </c>
      <c r="AD14" s="10" t="str">
        <f>[1]!KS1B1.224</f>
        <v>-</v>
      </c>
      <c r="AE14" s="10" t="str">
        <f>[1]!KS1B1.225</f>
        <v>-</v>
      </c>
      <c r="AF14" s="10" t="str">
        <f>[1]!KS1B1.231</f>
        <v>-</v>
      </c>
      <c r="AG14" s="10" t="str">
        <f>[1]!KS1B1.232</f>
        <v>-</v>
      </c>
      <c r="AH14" s="10" t="str">
        <f>[1]!KS1B1.233</f>
        <v>-</v>
      </c>
      <c r="AI14" s="10" t="str">
        <f>[1]!KS1B1.234</f>
        <v>-</v>
      </c>
      <c r="AJ14" s="10" t="str">
        <f>[1]!KS1B1.235</f>
        <v>-</v>
      </c>
    </row>
    <row r="15" spans="1:36" s="10" customFormat="1" x14ac:dyDescent="0.25">
      <c r="A15" s="10" t="str">
        <f>"KSFB1"</f>
        <v>KSFB1</v>
      </c>
      <c r="B15" s="10" t="str">
        <f>[1]!KSFB1.402</f>
        <v>加權指數</v>
      </c>
      <c r="C15" s="10">
        <f>[1]!KSFB1.123</f>
        <v>100145</v>
      </c>
      <c r="D15" s="10">
        <f>[1]!KSFB1.124</f>
        <v>16422.560000000001</v>
      </c>
      <c r="E15" s="10">
        <f>[1]!KSFB1.125</f>
        <v>-20.84</v>
      </c>
      <c r="F15" s="10">
        <f>[1]!KSFB1.128</f>
        <v>1824</v>
      </c>
      <c r="G15" s="10">
        <f>[1]!KSFB1.130</f>
        <v>16329.54</v>
      </c>
      <c r="H15" s="10">
        <f>[1]!KSFB1.131</f>
        <v>16456.939999999999</v>
      </c>
      <c r="I15" s="10">
        <f>[1]!KSFB1.132</f>
        <v>16329.54</v>
      </c>
      <c r="J15" s="10">
        <f>[1]!KSFB1.133</f>
        <v>4024617</v>
      </c>
      <c r="K15" s="10" t="str">
        <f>[1]!KSFB1.135</f>
        <v xml:space="preserve"> -</v>
      </c>
      <c r="L15" s="10" t="str">
        <f>[1]!KSFB1.136</f>
        <v xml:space="preserve"> -</v>
      </c>
      <c r="M15" s="10" t="str">
        <f>[1]!KSFB1.437</f>
        <v xml:space="preserve"> -</v>
      </c>
      <c r="N15" s="10" t="str">
        <f>[1]!KSFB1.406</f>
        <v xml:space="preserve"> -</v>
      </c>
      <c r="O15" s="10" t="str">
        <f>[1]!KSFB1.407</f>
        <v xml:space="preserve"> -</v>
      </c>
      <c r="P15" s="10" t="str">
        <f>[1]!KSFB1.431</f>
        <v>-</v>
      </c>
      <c r="Q15" s="10" t="str">
        <f>[1]!KSFB1.201</f>
        <v xml:space="preserve"> -</v>
      </c>
      <c r="R15" s="10" t="str">
        <f>[1]!KSFB1.202</f>
        <v xml:space="preserve"> -</v>
      </c>
      <c r="S15" s="10" t="str">
        <f>[1]!KSFB1.203</f>
        <v xml:space="preserve"> -</v>
      </c>
      <c r="T15" s="10" t="str">
        <f>[1]!KSFB1.204</f>
        <v xml:space="preserve"> -</v>
      </c>
      <c r="U15" s="10" t="str">
        <f>[1]!KSFB1.205</f>
        <v xml:space="preserve"> -</v>
      </c>
      <c r="V15" s="10" t="str">
        <f>[1]!KSFB1.211</f>
        <v xml:space="preserve"> -</v>
      </c>
      <c r="W15" s="10" t="str">
        <f>[1]!KSFB1.212</f>
        <v xml:space="preserve"> -</v>
      </c>
      <c r="X15" s="10" t="str">
        <f>[1]!KSFB1.213</f>
        <v xml:space="preserve"> -</v>
      </c>
      <c r="Y15" s="10" t="str">
        <f>[1]!KSFB1.214</f>
        <v xml:space="preserve"> -</v>
      </c>
      <c r="Z15" s="10" t="str">
        <f>[1]!KSFB1.215</f>
        <v xml:space="preserve"> -</v>
      </c>
      <c r="AA15" s="10" t="str">
        <f>[1]!KSFB1.221</f>
        <v>-</v>
      </c>
      <c r="AB15" s="10" t="str">
        <f>[1]!KSFB1.222</f>
        <v>-</v>
      </c>
      <c r="AC15" s="10" t="str">
        <f>[1]!KSFB1.223</f>
        <v>-</v>
      </c>
      <c r="AD15" s="10" t="str">
        <f>[1]!KSFB1.224</f>
        <v>-</v>
      </c>
      <c r="AE15" s="10" t="str">
        <f>[1]!KSFB1.225</f>
        <v>-</v>
      </c>
      <c r="AF15" s="10" t="str">
        <f>[1]!KSFB1.231</f>
        <v>-</v>
      </c>
      <c r="AG15" s="10" t="str">
        <f>[1]!KSFB1.232</f>
        <v>-</v>
      </c>
      <c r="AH15" s="10" t="str">
        <f>[1]!KSFB1.233</f>
        <v>-</v>
      </c>
      <c r="AI15" s="10" t="str">
        <f>[1]!KSFB1.234</f>
        <v>-</v>
      </c>
      <c r="AJ15" s="10" t="str">
        <f>[1]!KSFB1.235</f>
        <v>-</v>
      </c>
    </row>
    <row r="16" spans="1:36" s="10" customFormat="1" x14ac:dyDescent="0.25">
      <c r="A16" s="10" t="str">
        <f>"EMFB1"</f>
        <v>EMFB1</v>
      </c>
      <c r="B16" s="10" t="e">
        <f>[1]!EMFB1.402</f>
        <v>#N/A</v>
      </c>
      <c r="C16" s="10">
        <f>[1]!EMFB1.123</f>
        <v>0</v>
      </c>
      <c r="D16" s="10">
        <f>[1]!EMFB1.124</f>
        <v>20878632</v>
      </c>
      <c r="E16" s="10" t="str">
        <f>[1]!EMFB1.125</f>
        <v xml:space="preserve"> </v>
      </c>
      <c r="F16" s="10">
        <f>[1]!EMFB1.128</f>
        <v>1212870150</v>
      </c>
      <c r="G16" s="10">
        <f>[1]!EMFB1.130</f>
        <v>20803788</v>
      </c>
      <c r="H16" s="10">
        <f>[1]!EMFB1.131</f>
        <v>20804690</v>
      </c>
      <c r="I16" s="10">
        <f>[1]!EMFB1.132</f>
        <v>10989732</v>
      </c>
      <c r="J16" s="10">
        <f>[1]!EMFB1.133</f>
        <v>2088371110</v>
      </c>
      <c r="K16" s="10" t="str">
        <f>[1]!EMFB1.135</f>
        <v xml:space="preserve"> -</v>
      </c>
      <c r="L16" s="10" t="str">
        <f>[1]!EMFB1.136</f>
        <v xml:space="preserve"> -</v>
      </c>
      <c r="M16" s="10" t="str">
        <f>[1]!EMFB1.437</f>
        <v xml:space="preserve"> -</v>
      </c>
      <c r="N16" s="10" t="str">
        <f>[1]!EMFB1.406</f>
        <v xml:space="preserve"> -</v>
      </c>
      <c r="O16" s="10" t="str">
        <f>[1]!EMFB1.407</f>
        <v xml:space="preserve"> -</v>
      </c>
      <c r="P16" s="10" t="str">
        <f>[1]!EMFB1.431</f>
        <v>-</v>
      </c>
      <c r="Q16" s="10" t="str">
        <f>[1]!EMFB1.201</f>
        <v xml:space="preserve"> -</v>
      </c>
      <c r="R16" s="10" t="str">
        <f>[1]!EMFB1.202</f>
        <v xml:space="preserve"> -</v>
      </c>
      <c r="S16" s="10" t="str">
        <f>[1]!EMFB1.203</f>
        <v xml:space="preserve"> -</v>
      </c>
      <c r="T16" s="10" t="str">
        <f>[1]!EMFB1.204</f>
        <v xml:space="preserve"> -</v>
      </c>
      <c r="U16" s="10" t="str">
        <f>[1]!EMFB1.205</f>
        <v xml:space="preserve"> -</v>
      </c>
      <c r="V16" s="10" t="str">
        <f>[1]!EMFB1.211</f>
        <v xml:space="preserve"> -</v>
      </c>
      <c r="W16" s="10" t="str">
        <f>[1]!EMFB1.212</f>
        <v xml:space="preserve"> -</v>
      </c>
      <c r="X16" s="10" t="str">
        <f>[1]!EMFB1.213</f>
        <v xml:space="preserve"> -</v>
      </c>
      <c r="Y16" s="10" t="str">
        <f>[1]!EMFB1.214</f>
        <v xml:space="preserve"> -</v>
      </c>
      <c r="Z16" s="10" t="str">
        <f>[1]!EMFB1.215</f>
        <v xml:space="preserve"> -</v>
      </c>
      <c r="AA16" s="10" t="str">
        <f>[1]!EMFB1.221</f>
        <v>-</v>
      </c>
      <c r="AB16" s="10" t="str">
        <f>[1]!EMFB1.222</f>
        <v>-</v>
      </c>
      <c r="AC16" s="10" t="str">
        <f>[1]!EMFB1.223</f>
        <v>-</v>
      </c>
      <c r="AD16" s="10" t="str">
        <f>[1]!EMFB1.224</f>
        <v>-</v>
      </c>
      <c r="AE16" s="10" t="str">
        <f>[1]!EMFB1.225</f>
        <v>-</v>
      </c>
      <c r="AF16" s="10" t="str">
        <f>[1]!EMFB1.231</f>
        <v>-</v>
      </c>
      <c r="AG16" s="10" t="str">
        <f>[1]!EMFB1.232</f>
        <v>-</v>
      </c>
      <c r="AH16" s="10" t="str">
        <f>[1]!EMFB1.233</f>
        <v>-</v>
      </c>
      <c r="AI16" s="10" t="str">
        <f>[1]!EMFB1.234</f>
        <v>-</v>
      </c>
      <c r="AJ16" s="10" t="str">
        <f>[1]!EMFB1.235</f>
        <v>-</v>
      </c>
    </row>
    <row r="17" spans="1:36" s="10" customFormat="1" x14ac:dyDescent="0.25">
      <c r="A17" s="10" t="str">
        <f>"ORFB1"</f>
        <v>ORFB1</v>
      </c>
      <c r="B17" s="10" t="str">
        <f>[1]!ORFB1.402</f>
        <v>加權指數</v>
      </c>
      <c r="C17" s="10">
        <f>[1]!ORFB1.123</f>
        <v>100150</v>
      </c>
      <c r="D17" s="10">
        <f>[1]!ORFB1.124</f>
        <v>16421.62</v>
      </c>
      <c r="E17" s="10">
        <f>[1]!ORFB1.125</f>
        <v>-21.78</v>
      </c>
      <c r="F17" s="10">
        <f>[1]!ORFB1.128</f>
        <v>2439</v>
      </c>
      <c r="G17" s="10">
        <f>[1]!ORFB1.130</f>
        <v>16329.54</v>
      </c>
      <c r="H17" s="10">
        <f>[1]!ORFB1.131</f>
        <v>16456.939999999999</v>
      </c>
      <c r="I17" s="10">
        <f>[1]!ORFB1.132</f>
        <v>16329.54</v>
      </c>
      <c r="J17" s="10">
        <f>[1]!ORFB1.133</f>
        <v>4027056</v>
      </c>
      <c r="K17" s="10" t="str">
        <f>[1]!ORFB1.135</f>
        <v xml:space="preserve"> -</v>
      </c>
      <c r="L17" s="10" t="str">
        <f>[1]!ORFB1.136</f>
        <v xml:space="preserve"> -</v>
      </c>
      <c r="M17" s="10" t="str">
        <f>[1]!ORFB1.437</f>
        <v xml:space="preserve"> -</v>
      </c>
      <c r="N17" s="10" t="str">
        <f>[1]!ORFB1.406</f>
        <v xml:space="preserve"> -</v>
      </c>
      <c r="O17" s="10" t="str">
        <f>[1]!ORFB1.407</f>
        <v xml:space="preserve"> -</v>
      </c>
      <c r="P17" s="10" t="str">
        <f>[1]!ORFB1.431</f>
        <v>-</v>
      </c>
      <c r="Q17" s="10" t="str">
        <f>[1]!ORFB1.201</f>
        <v xml:space="preserve"> -</v>
      </c>
      <c r="R17" s="10" t="str">
        <f>[1]!ORFB1.202</f>
        <v xml:space="preserve"> -</v>
      </c>
      <c r="S17" s="10" t="str">
        <f>[1]!ORFB1.203</f>
        <v xml:space="preserve"> -</v>
      </c>
      <c r="T17" s="10" t="str">
        <f>[1]!ORFB1.204</f>
        <v xml:space="preserve"> -</v>
      </c>
      <c r="U17" s="10" t="str">
        <f>[1]!ORFB1.205</f>
        <v xml:space="preserve"> -</v>
      </c>
      <c r="V17" s="10" t="str">
        <f>[1]!ORFB1.211</f>
        <v xml:space="preserve"> -</v>
      </c>
      <c r="W17" s="10" t="str">
        <f>[1]!ORFB1.212</f>
        <v xml:space="preserve"> -</v>
      </c>
      <c r="X17" s="10" t="str">
        <f>[1]!ORFB1.213</f>
        <v xml:space="preserve"> -</v>
      </c>
      <c r="Y17" s="10" t="str">
        <f>[1]!ORFB1.214</f>
        <v xml:space="preserve"> -</v>
      </c>
      <c r="Z17" s="10" t="str">
        <f>[1]!ORFB1.215</f>
        <v xml:space="preserve"> -</v>
      </c>
      <c r="AA17" s="10" t="str">
        <f>[1]!ORFB1.221</f>
        <v>-</v>
      </c>
      <c r="AB17" s="10" t="str">
        <f>[1]!ORFB1.222</f>
        <v>-</v>
      </c>
      <c r="AC17" s="10" t="str">
        <f>[1]!ORFB1.223</f>
        <v>-</v>
      </c>
      <c r="AD17" s="10" t="str">
        <f>[1]!ORFB1.224</f>
        <v>-</v>
      </c>
      <c r="AE17" s="10" t="str">
        <f>[1]!ORFB1.225</f>
        <v>-</v>
      </c>
      <c r="AF17" s="10" t="str">
        <f>[1]!ORFB1.231</f>
        <v>-</v>
      </c>
      <c r="AG17" s="10" t="str">
        <f>[1]!ORFB1.232</f>
        <v>-</v>
      </c>
      <c r="AH17" s="10" t="str">
        <f>[1]!ORFB1.233</f>
        <v>-</v>
      </c>
      <c r="AI17" s="10" t="str">
        <f>[1]!ORFB1.234</f>
        <v>-</v>
      </c>
      <c r="AJ17" s="10" t="str">
        <f>[1]!ORFB1.235</f>
        <v>-</v>
      </c>
    </row>
    <row r="18" spans="1:36" s="10" customFormat="1" x14ac:dyDescent="0.25">
      <c r="A18" s="10" t="str">
        <f>"OR1C1"</f>
        <v>OR1C1</v>
      </c>
      <c r="B18" s="10" t="str">
        <f>[1]!OR1C1.402</f>
        <v>和大1-03</v>
      </c>
      <c r="C18" s="10">
        <f>[1]!OR1C1.123</f>
        <v>131734</v>
      </c>
      <c r="D18" s="10">
        <f>[1]!OR1C1.124</f>
        <v>118</v>
      </c>
      <c r="E18" s="10">
        <f>[1]!OR1C1.125</f>
        <v>0</v>
      </c>
      <c r="F18" s="10">
        <f>[1]!OR1C1.128</f>
        <v>1</v>
      </c>
      <c r="G18" s="10">
        <f>[1]!OR1C1.130</f>
        <v>118</v>
      </c>
      <c r="H18" s="10">
        <f>[1]!OR1C1.131</f>
        <v>118</v>
      </c>
      <c r="I18" s="10">
        <f>[1]!OR1C1.132</f>
        <v>118</v>
      </c>
      <c r="J18" s="10">
        <f>[1]!OR1C1.133</f>
        <v>1</v>
      </c>
      <c r="K18" s="10">
        <f>[1]!OR1C1.135</f>
        <v>114</v>
      </c>
      <c r="L18" s="10">
        <f>[1]!OR1C1.136</f>
        <v>120</v>
      </c>
      <c r="M18" s="10">
        <f>[1]!OR1C1.437</f>
        <v>115.62</v>
      </c>
      <c r="N18" s="10">
        <f>[1]!OR1C1.406</f>
        <v>129.5</v>
      </c>
      <c r="O18" s="10">
        <f>[1]!OR1C1.407</f>
        <v>106.5</v>
      </c>
      <c r="P18" s="10">
        <f>[1]!OR1C1.431</f>
        <v>20210224</v>
      </c>
      <c r="Q18" s="10">
        <f>[1]!OR1C1.201</f>
        <v>114</v>
      </c>
      <c r="R18" s="10" t="str">
        <f>[1]!OR1C1.202</f>
        <v xml:space="preserve"> </v>
      </c>
      <c r="S18" s="10" t="str">
        <f>[1]!OR1C1.203</f>
        <v xml:space="preserve"> </v>
      </c>
      <c r="T18" s="10" t="str">
        <f>[1]!OR1C1.204</f>
        <v xml:space="preserve"> </v>
      </c>
      <c r="U18" s="10" t="str">
        <f>[1]!OR1C1.205</f>
        <v xml:space="preserve"> </v>
      </c>
      <c r="V18" s="10">
        <f>[1]!OR1C1.211</f>
        <v>120</v>
      </c>
      <c r="W18" s="10" t="str">
        <f>[1]!OR1C1.212</f>
        <v xml:space="preserve"> </v>
      </c>
      <c r="X18" s="10" t="str">
        <f>[1]!OR1C1.213</f>
        <v xml:space="preserve"> </v>
      </c>
      <c r="Y18" s="10" t="str">
        <f>[1]!OR1C1.214</f>
        <v xml:space="preserve"> </v>
      </c>
      <c r="Z18" s="10" t="str">
        <f>[1]!OR1C1.215</f>
        <v xml:space="preserve"> </v>
      </c>
      <c r="AA18" s="10">
        <f>[1]!OR1C1.221</f>
        <v>1</v>
      </c>
      <c r="AB18" s="10">
        <f>[1]!OR1C1.222</f>
        <v>0</v>
      </c>
      <c r="AC18" s="10">
        <f>[1]!OR1C1.223</f>
        <v>0</v>
      </c>
      <c r="AD18" s="10">
        <f>[1]!OR1C1.224</f>
        <v>0</v>
      </c>
      <c r="AE18" s="10">
        <f>[1]!OR1C1.225</f>
        <v>0</v>
      </c>
      <c r="AF18" s="10">
        <f>[1]!OR1C1.231</f>
        <v>1</v>
      </c>
      <c r="AG18" s="10">
        <f>[1]!OR1C1.232</f>
        <v>0</v>
      </c>
      <c r="AH18" s="10">
        <f>[1]!OR1C1.233</f>
        <v>0</v>
      </c>
      <c r="AI18" s="10">
        <f>[1]!OR1C1.234</f>
        <v>0</v>
      </c>
      <c r="AJ18" s="10">
        <f>[1]!OR1C1.235</f>
        <v>0</v>
      </c>
    </row>
    <row r="19" spans="1:36" s="10" customFormat="1" x14ac:dyDescent="0.25">
      <c r="A19" s="10" t="str">
        <f>"EPFB1"</f>
        <v>EPFB1</v>
      </c>
      <c r="B19" s="10" t="e">
        <f>[1]!EPFB1.402</f>
        <v>#N/A</v>
      </c>
      <c r="C19" s="10">
        <f>[1]!EPFB1.123</f>
        <v>0</v>
      </c>
      <c r="D19" s="10">
        <f>[1]!EPFB1.124</f>
        <v>20878632</v>
      </c>
      <c r="E19" s="10" t="str">
        <f>[1]!EPFB1.125</f>
        <v xml:space="preserve"> </v>
      </c>
      <c r="F19" s="10">
        <f>[1]!EPFB1.128</f>
        <v>1212870150</v>
      </c>
      <c r="G19" s="10">
        <f>[1]!EPFB1.130</f>
        <v>20803788</v>
      </c>
      <c r="H19" s="10">
        <f>[1]!EPFB1.131</f>
        <v>20804690</v>
      </c>
      <c r="I19" s="10">
        <f>[1]!EPFB1.132</f>
        <v>10989732</v>
      </c>
      <c r="J19" s="10">
        <f>[1]!EPFB1.133</f>
        <v>2088371110</v>
      </c>
      <c r="K19" s="10" t="str">
        <f>[1]!EPFB1.135</f>
        <v xml:space="preserve"> -</v>
      </c>
      <c r="L19" s="10" t="str">
        <f>[1]!EPFB1.136</f>
        <v xml:space="preserve"> -</v>
      </c>
      <c r="M19" s="10" t="str">
        <f>[1]!EPFB1.437</f>
        <v xml:space="preserve"> -</v>
      </c>
      <c r="N19" s="10" t="str">
        <f>[1]!EPFB1.406</f>
        <v xml:space="preserve"> -</v>
      </c>
      <c r="O19" s="10" t="str">
        <f>[1]!EPFB1.407</f>
        <v xml:space="preserve"> -</v>
      </c>
      <c r="P19" s="10" t="str">
        <f>[1]!EPFB1.431</f>
        <v>-</v>
      </c>
      <c r="Q19" s="10" t="str">
        <f>[1]!EPFB1.201</f>
        <v xml:space="preserve"> -</v>
      </c>
      <c r="R19" s="10" t="str">
        <f>[1]!EPFB1.202</f>
        <v xml:space="preserve"> -</v>
      </c>
      <c r="S19" s="10" t="str">
        <f>[1]!EPFB1.203</f>
        <v xml:space="preserve"> -</v>
      </c>
      <c r="T19" s="10" t="str">
        <f>[1]!EPFB1.204</f>
        <v xml:space="preserve"> -</v>
      </c>
      <c r="U19" s="10" t="str">
        <f>[1]!EPFB1.205</f>
        <v xml:space="preserve"> -</v>
      </c>
      <c r="V19" s="10" t="str">
        <f>[1]!EPFB1.211</f>
        <v xml:space="preserve"> -</v>
      </c>
      <c r="W19" s="10" t="str">
        <f>[1]!EPFB1.212</f>
        <v xml:space="preserve"> -</v>
      </c>
      <c r="X19" s="10" t="str">
        <f>[1]!EPFB1.213</f>
        <v xml:space="preserve"> -</v>
      </c>
      <c r="Y19" s="10" t="str">
        <f>[1]!EPFB1.214</f>
        <v xml:space="preserve"> -</v>
      </c>
      <c r="Z19" s="10" t="str">
        <f>[1]!EPFB1.215</f>
        <v xml:space="preserve"> -</v>
      </c>
      <c r="AA19" s="10" t="str">
        <f>[1]!EPFB1.221</f>
        <v>-</v>
      </c>
      <c r="AB19" s="10" t="str">
        <f>[1]!EPFB1.222</f>
        <v>-</v>
      </c>
      <c r="AC19" s="10" t="str">
        <f>[1]!EPFB1.223</f>
        <v>-</v>
      </c>
      <c r="AD19" s="10" t="str">
        <f>[1]!EPFB1.224</f>
        <v>-</v>
      </c>
      <c r="AE19" s="10" t="str">
        <f>[1]!EPFB1.225</f>
        <v>-</v>
      </c>
      <c r="AF19" s="10" t="str">
        <f>[1]!EPFB1.231</f>
        <v>-</v>
      </c>
      <c r="AG19" s="10" t="str">
        <f>[1]!EPFB1.232</f>
        <v>-</v>
      </c>
      <c r="AH19" s="10" t="str">
        <f>[1]!EPFB1.233</f>
        <v>-</v>
      </c>
      <c r="AI19" s="10" t="str">
        <f>[1]!EPFB1.234</f>
        <v>-</v>
      </c>
      <c r="AJ19" s="10" t="str">
        <f>[1]!EPFB1.235</f>
        <v>-</v>
      </c>
    </row>
    <row r="20" spans="1:36" s="10" customFormat="1" x14ac:dyDescent="0.25">
      <c r="A20" s="10" t="str">
        <f>"CSFB1"</f>
        <v>CSFB1</v>
      </c>
      <c r="B20" s="10" t="str">
        <f>[1]!CSFB1.402</f>
        <v>加權指數</v>
      </c>
      <c r="C20" s="10">
        <f>[1]!CSFB1.123</f>
        <v>100135</v>
      </c>
      <c r="D20" s="10">
        <f>[1]!CSFB1.124</f>
        <v>16424.64</v>
      </c>
      <c r="E20" s="10">
        <f>[1]!CSFB1.125</f>
        <v>-18.760000000000002</v>
      </c>
      <c r="F20" s="10">
        <f>[1]!CSFB1.128</f>
        <v>1648</v>
      </c>
      <c r="G20" s="10">
        <f>[1]!CSFB1.130</f>
        <v>16329.54</v>
      </c>
      <c r="H20" s="10">
        <f>[1]!CSFB1.131</f>
        <v>16456.939999999999</v>
      </c>
      <c r="I20" s="10">
        <f>[1]!CSFB1.132</f>
        <v>16329.54</v>
      </c>
      <c r="J20" s="10">
        <f>[1]!CSFB1.133</f>
        <v>4020107</v>
      </c>
      <c r="K20" s="10" t="str">
        <f>[1]!CSFB1.135</f>
        <v xml:space="preserve"> -</v>
      </c>
      <c r="L20" s="10" t="str">
        <f>[1]!CSFB1.136</f>
        <v xml:space="preserve"> -</v>
      </c>
      <c r="M20" s="10" t="str">
        <f>[1]!CSFB1.437</f>
        <v xml:space="preserve"> -</v>
      </c>
      <c r="N20" s="10" t="str">
        <f>[1]!CSFB1.406</f>
        <v xml:space="preserve"> -</v>
      </c>
      <c r="O20" s="10" t="str">
        <f>[1]!CSFB1.407</f>
        <v xml:space="preserve"> -</v>
      </c>
      <c r="P20" s="10" t="str">
        <f>[1]!CSFB1.431</f>
        <v>-</v>
      </c>
      <c r="Q20" s="10" t="str">
        <f>[1]!CSFB1.201</f>
        <v xml:space="preserve"> -</v>
      </c>
      <c r="R20" s="10" t="str">
        <f>[1]!CSFB1.202</f>
        <v xml:space="preserve"> -</v>
      </c>
      <c r="S20" s="10" t="str">
        <f>[1]!CSFB1.203</f>
        <v xml:space="preserve"> -</v>
      </c>
      <c r="T20" s="10" t="str">
        <f>[1]!CSFB1.204</f>
        <v xml:space="preserve"> -</v>
      </c>
      <c r="U20" s="10" t="str">
        <f>[1]!CSFB1.205</f>
        <v xml:space="preserve"> -</v>
      </c>
      <c r="V20" s="10" t="str">
        <f>[1]!CSFB1.211</f>
        <v xml:space="preserve"> -</v>
      </c>
      <c r="W20" s="10" t="str">
        <f>[1]!CSFB1.212</f>
        <v xml:space="preserve"> -</v>
      </c>
      <c r="X20" s="10" t="str">
        <f>[1]!CSFB1.213</f>
        <v xml:space="preserve"> -</v>
      </c>
      <c r="Y20" s="10" t="str">
        <f>[1]!CSFB1.214</f>
        <v xml:space="preserve"> -</v>
      </c>
      <c r="Z20" s="10" t="str">
        <f>[1]!CSFB1.215</f>
        <v xml:space="preserve"> -</v>
      </c>
      <c r="AA20" s="10" t="str">
        <f>[1]!CSFB1.221</f>
        <v>-</v>
      </c>
      <c r="AB20" s="10" t="str">
        <f>[1]!CSFB1.222</f>
        <v>-</v>
      </c>
      <c r="AC20" s="10" t="str">
        <f>[1]!CSFB1.223</f>
        <v>-</v>
      </c>
      <c r="AD20" s="10" t="str">
        <f>[1]!CSFB1.224</f>
        <v>-</v>
      </c>
      <c r="AE20" s="10" t="str">
        <f>[1]!CSFB1.225</f>
        <v>-</v>
      </c>
      <c r="AF20" s="10" t="str">
        <f>[1]!CSFB1.231</f>
        <v>-</v>
      </c>
      <c r="AG20" s="10" t="str">
        <f>[1]!CSFB1.232</f>
        <v>-</v>
      </c>
      <c r="AH20" s="10" t="str">
        <f>[1]!CSFB1.233</f>
        <v>-</v>
      </c>
      <c r="AI20" s="10" t="str">
        <f>[1]!CSFB1.234</f>
        <v>-</v>
      </c>
      <c r="AJ20" s="10" t="str">
        <f>[1]!CSFB1.235</f>
        <v>-</v>
      </c>
    </row>
    <row r="21" spans="1:36" s="10" customFormat="1" x14ac:dyDescent="0.25">
      <c r="A21" s="10" t="str">
        <f>"ERFB1"</f>
        <v>ERFB1</v>
      </c>
      <c r="B21" s="10" t="e">
        <f>[1]!ERFB1.402</f>
        <v>#N/A</v>
      </c>
      <c r="C21" s="10">
        <f>[1]!ERFB1.123</f>
        <v>0</v>
      </c>
      <c r="D21" s="10">
        <f>[1]!ERFB1.124</f>
        <v>20878632</v>
      </c>
      <c r="E21" s="10" t="str">
        <f>[1]!ERFB1.125</f>
        <v xml:space="preserve"> </v>
      </c>
      <c r="F21" s="10">
        <f>[1]!ERFB1.128</f>
        <v>1212870150</v>
      </c>
      <c r="G21" s="10">
        <f>[1]!ERFB1.130</f>
        <v>20803788</v>
      </c>
      <c r="H21" s="10">
        <f>[1]!ERFB1.131</f>
        <v>20804690</v>
      </c>
      <c r="I21" s="10">
        <f>[1]!ERFB1.132</f>
        <v>10989732</v>
      </c>
      <c r="J21" s="10">
        <f>[1]!ERFB1.133</f>
        <v>2088371110</v>
      </c>
      <c r="K21" s="10" t="str">
        <f>[1]!ERFB1.135</f>
        <v xml:space="preserve"> -</v>
      </c>
      <c r="L21" s="10" t="str">
        <f>[1]!ERFB1.136</f>
        <v xml:space="preserve"> -</v>
      </c>
      <c r="M21" s="10" t="str">
        <f>[1]!ERFB1.437</f>
        <v xml:space="preserve"> -</v>
      </c>
      <c r="N21" s="10" t="str">
        <f>[1]!ERFB1.406</f>
        <v xml:space="preserve"> -</v>
      </c>
      <c r="O21" s="10" t="str">
        <f>[1]!ERFB1.407</f>
        <v xml:space="preserve"> -</v>
      </c>
      <c r="P21" s="10" t="str">
        <f>[1]!ERFB1.431</f>
        <v>-</v>
      </c>
      <c r="Q21" s="10" t="str">
        <f>[1]!ERFB1.201</f>
        <v xml:space="preserve"> -</v>
      </c>
      <c r="R21" s="10" t="str">
        <f>[1]!ERFB1.202</f>
        <v xml:space="preserve"> -</v>
      </c>
      <c r="S21" s="10" t="str">
        <f>[1]!ERFB1.203</f>
        <v xml:space="preserve"> -</v>
      </c>
      <c r="T21" s="10" t="str">
        <f>[1]!ERFB1.204</f>
        <v xml:space="preserve"> -</v>
      </c>
      <c r="U21" s="10" t="str">
        <f>[1]!ERFB1.205</f>
        <v xml:space="preserve"> -</v>
      </c>
      <c r="V21" s="10" t="str">
        <f>[1]!ERFB1.211</f>
        <v xml:space="preserve"> -</v>
      </c>
      <c r="W21" s="10" t="str">
        <f>[1]!ERFB1.212</f>
        <v xml:space="preserve"> -</v>
      </c>
      <c r="X21" s="10" t="str">
        <f>[1]!ERFB1.213</f>
        <v xml:space="preserve"> -</v>
      </c>
      <c r="Y21" s="10" t="str">
        <f>[1]!ERFB1.214</f>
        <v xml:space="preserve"> -</v>
      </c>
      <c r="Z21" s="10" t="str">
        <f>[1]!ERFB1.215</f>
        <v xml:space="preserve"> -</v>
      </c>
      <c r="AA21" s="10" t="str">
        <f>[1]!ERFB1.221</f>
        <v>-</v>
      </c>
      <c r="AB21" s="10" t="str">
        <f>[1]!ERFB1.222</f>
        <v>-</v>
      </c>
      <c r="AC21" s="10" t="str">
        <f>[1]!ERFB1.223</f>
        <v>-</v>
      </c>
      <c r="AD21" s="10" t="str">
        <f>[1]!ERFB1.224</f>
        <v>-</v>
      </c>
      <c r="AE21" s="10" t="str">
        <f>[1]!ERFB1.225</f>
        <v>-</v>
      </c>
      <c r="AF21" s="10" t="str">
        <f>[1]!ERFB1.231</f>
        <v>-</v>
      </c>
      <c r="AG21" s="10" t="str">
        <f>[1]!ERFB1.232</f>
        <v>-</v>
      </c>
      <c r="AH21" s="10" t="str">
        <f>[1]!ERFB1.233</f>
        <v>-</v>
      </c>
      <c r="AI21" s="10" t="str">
        <f>[1]!ERFB1.234</f>
        <v>-</v>
      </c>
      <c r="AJ21" s="10" t="str">
        <f>[1]!ERFB1.235</f>
        <v>-</v>
      </c>
    </row>
    <row r="22" spans="1:36" s="10" customFormat="1" x14ac:dyDescent="0.25">
      <c r="A22" s="10" t="str">
        <f>"MAFB1"</f>
        <v>MAFB1</v>
      </c>
      <c r="B22" s="10" t="str">
        <f>[1]!MAFB1.402</f>
        <v>加權指數</v>
      </c>
      <c r="C22" s="10">
        <f>[1]!MAFB1.123</f>
        <v>100150</v>
      </c>
      <c r="D22" s="10">
        <f>[1]!MAFB1.124</f>
        <v>16421.62</v>
      </c>
      <c r="E22" s="10">
        <f>[1]!MAFB1.125</f>
        <v>-21.78</v>
      </c>
      <c r="F22" s="10">
        <f>[1]!MAFB1.128</f>
        <v>2439</v>
      </c>
      <c r="G22" s="10">
        <f>[1]!MAFB1.130</f>
        <v>16329.54</v>
      </c>
      <c r="H22" s="10">
        <f>[1]!MAFB1.131</f>
        <v>16456.939999999999</v>
      </c>
      <c r="I22" s="10">
        <f>[1]!MAFB1.132</f>
        <v>16329.54</v>
      </c>
      <c r="J22" s="10">
        <f>[1]!MAFB1.133</f>
        <v>4027056</v>
      </c>
      <c r="K22" s="10" t="str">
        <f>[1]!MAFB1.135</f>
        <v xml:space="preserve"> -</v>
      </c>
      <c r="L22" s="10" t="str">
        <f>[1]!MAFB1.136</f>
        <v xml:space="preserve"> -</v>
      </c>
      <c r="M22" s="10" t="str">
        <f>[1]!MAFB1.437</f>
        <v xml:space="preserve"> -</v>
      </c>
      <c r="N22" s="10" t="str">
        <f>[1]!MAFB1.406</f>
        <v xml:space="preserve"> -</v>
      </c>
      <c r="O22" s="10" t="str">
        <f>[1]!MAFB1.407</f>
        <v xml:space="preserve"> -</v>
      </c>
      <c r="P22" s="10" t="str">
        <f>[1]!MAFB1.431</f>
        <v>-</v>
      </c>
      <c r="Q22" s="10" t="str">
        <f>[1]!MAFB1.201</f>
        <v xml:space="preserve"> -</v>
      </c>
      <c r="R22" s="10" t="str">
        <f>[1]!MAFB1.202</f>
        <v xml:space="preserve"> -</v>
      </c>
      <c r="S22" s="10" t="str">
        <f>[1]!MAFB1.203</f>
        <v xml:space="preserve"> -</v>
      </c>
      <c r="T22" s="10" t="str">
        <f>[1]!MAFB1.204</f>
        <v xml:space="preserve"> -</v>
      </c>
      <c r="U22" s="10" t="str">
        <f>[1]!MAFB1.205</f>
        <v xml:space="preserve"> -</v>
      </c>
      <c r="V22" s="10" t="str">
        <f>[1]!MAFB1.211</f>
        <v xml:space="preserve"> -</v>
      </c>
      <c r="W22" s="10" t="str">
        <f>[1]!MAFB1.212</f>
        <v xml:space="preserve"> -</v>
      </c>
      <c r="X22" s="10" t="str">
        <f>[1]!MAFB1.213</f>
        <v xml:space="preserve"> -</v>
      </c>
      <c r="Y22" s="10" t="str">
        <f>[1]!MAFB1.214</f>
        <v xml:space="preserve"> -</v>
      </c>
      <c r="Z22" s="10" t="str">
        <f>[1]!MAFB1.215</f>
        <v xml:space="preserve"> -</v>
      </c>
      <c r="AA22" s="10" t="str">
        <f>[1]!MAFB1.221</f>
        <v>-</v>
      </c>
      <c r="AB22" s="10" t="str">
        <f>[1]!MAFB1.222</f>
        <v>-</v>
      </c>
      <c r="AC22" s="10" t="str">
        <f>[1]!MAFB1.223</f>
        <v>-</v>
      </c>
      <c r="AD22" s="10" t="str">
        <f>[1]!MAFB1.224</f>
        <v>-</v>
      </c>
      <c r="AE22" s="10" t="str">
        <f>[1]!MAFB1.225</f>
        <v>-</v>
      </c>
      <c r="AF22" s="10" t="str">
        <f>[1]!MAFB1.231</f>
        <v>-</v>
      </c>
      <c r="AG22" s="10" t="str">
        <f>[1]!MAFB1.232</f>
        <v>-</v>
      </c>
      <c r="AH22" s="10" t="str">
        <f>[1]!MAFB1.233</f>
        <v>-</v>
      </c>
      <c r="AI22" s="10" t="str">
        <f>[1]!MAFB1.234</f>
        <v>-</v>
      </c>
      <c r="AJ22" s="10" t="str">
        <f>[1]!MAFB1.235</f>
        <v>-</v>
      </c>
    </row>
    <row r="23" spans="1:36" s="10" customFormat="1" x14ac:dyDescent="0.25">
      <c r="A23" s="10" t="str">
        <f>"EYFB1"</f>
        <v>EYFB1</v>
      </c>
      <c r="B23" s="10" t="str">
        <f>[1]!EYFB1.402</f>
        <v>加權指數</v>
      </c>
      <c r="C23" s="10">
        <f>[1]!EYFB1.123</f>
        <v>100150</v>
      </c>
      <c r="D23" s="10">
        <f>[1]!EYFB1.124</f>
        <v>16421.62</v>
      </c>
      <c r="E23" s="10">
        <f>[1]!EYFB1.125</f>
        <v>-21.78</v>
      </c>
      <c r="F23" s="10">
        <f>[1]!EYFB1.128</f>
        <v>2439</v>
      </c>
      <c r="G23" s="10">
        <f>[1]!EYFB1.130</f>
        <v>16329.54</v>
      </c>
      <c r="H23" s="10">
        <f>[1]!EYFB1.131</f>
        <v>16456.939999999999</v>
      </c>
      <c r="I23" s="10">
        <f>[1]!EYFB1.132</f>
        <v>16329.54</v>
      </c>
      <c r="J23" s="10">
        <f>[1]!EYFB1.133</f>
        <v>4027056</v>
      </c>
      <c r="K23" s="10" t="str">
        <f>[1]!EYFB1.135</f>
        <v xml:space="preserve"> -</v>
      </c>
      <c r="L23" s="10" t="str">
        <f>[1]!EYFB1.136</f>
        <v xml:space="preserve"> -</v>
      </c>
      <c r="M23" s="10" t="str">
        <f>[1]!EYFB1.437</f>
        <v xml:space="preserve"> -</v>
      </c>
      <c r="N23" s="10" t="str">
        <f>[1]!EYFB1.406</f>
        <v xml:space="preserve"> -</v>
      </c>
      <c r="O23" s="10" t="str">
        <f>[1]!EYFB1.407</f>
        <v xml:space="preserve"> -</v>
      </c>
      <c r="P23" s="10" t="str">
        <f>[1]!EYFB1.431</f>
        <v>-</v>
      </c>
      <c r="Q23" s="10" t="str">
        <f>[1]!EYFB1.201</f>
        <v xml:space="preserve"> -</v>
      </c>
      <c r="R23" s="10" t="str">
        <f>[1]!EYFB1.202</f>
        <v xml:space="preserve"> -</v>
      </c>
      <c r="S23" s="10" t="str">
        <f>[1]!EYFB1.203</f>
        <v xml:space="preserve"> -</v>
      </c>
      <c r="T23" s="10" t="str">
        <f>[1]!EYFB1.204</f>
        <v xml:space="preserve"> -</v>
      </c>
      <c r="U23" s="10" t="str">
        <f>[1]!EYFB1.205</f>
        <v xml:space="preserve"> -</v>
      </c>
      <c r="V23" s="10" t="str">
        <f>[1]!EYFB1.211</f>
        <v xml:space="preserve"> -</v>
      </c>
      <c r="W23" s="10" t="str">
        <f>[1]!EYFB1.212</f>
        <v xml:space="preserve"> -</v>
      </c>
      <c r="X23" s="10" t="str">
        <f>[1]!EYFB1.213</f>
        <v xml:space="preserve"> -</v>
      </c>
      <c r="Y23" s="10" t="str">
        <f>[1]!EYFB1.214</f>
        <v xml:space="preserve"> -</v>
      </c>
      <c r="Z23" s="10" t="str">
        <f>[1]!EYFB1.215</f>
        <v xml:space="preserve"> -</v>
      </c>
      <c r="AA23" s="10" t="str">
        <f>[1]!EYFB1.221</f>
        <v>-</v>
      </c>
      <c r="AB23" s="10" t="str">
        <f>[1]!EYFB1.222</f>
        <v>-</v>
      </c>
      <c r="AC23" s="10" t="str">
        <f>[1]!EYFB1.223</f>
        <v>-</v>
      </c>
      <c r="AD23" s="10" t="str">
        <f>[1]!EYFB1.224</f>
        <v>-</v>
      </c>
      <c r="AE23" s="10" t="str">
        <f>[1]!EYFB1.225</f>
        <v>-</v>
      </c>
      <c r="AF23" s="10" t="str">
        <f>[1]!EYFB1.231</f>
        <v>-</v>
      </c>
      <c r="AG23" s="10" t="str">
        <f>[1]!EYFB1.232</f>
        <v>-</v>
      </c>
      <c r="AH23" s="10" t="str">
        <f>[1]!EYFB1.233</f>
        <v>-</v>
      </c>
      <c r="AI23" s="10" t="str">
        <f>[1]!EYFB1.234</f>
        <v>-</v>
      </c>
      <c r="AJ23" s="10" t="str">
        <f>[1]!EYFB1.235</f>
        <v>-</v>
      </c>
    </row>
    <row r="24" spans="1:36" s="10" customFormat="1" x14ac:dyDescent="0.25">
      <c r="A24" s="10" t="str">
        <f>"EZFB1"</f>
        <v>EZFB1</v>
      </c>
      <c r="B24" s="10" t="str">
        <f>[1]!EZFB1.402</f>
        <v>加權指數</v>
      </c>
      <c r="C24" s="10">
        <f>[1]!EZFB1.123</f>
        <v>100150</v>
      </c>
      <c r="D24" s="10">
        <f>[1]!EZFB1.124</f>
        <v>16421.62</v>
      </c>
      <c r="E24" s="10">
        <f>[1]!EZFB1.125</f>
        <v>-21.78</v>
      </c>
      <c r="F24" s="10">
        <f>[1]!EZFB1.128</f>
        <v>2439</v>
      </c>
      <c r="G24" s="10">
        <f>[1]!EZFB1.130</f>
        <v>16329.54</v>
      </c>
      <c r="H24" s="10">
        <f>[1]!EZFB1.131</f>
        <v>16456.939999999999</v>
      </c>
      <c r="I24" s="10">
        <f>[1]!EZFB1.132</f>
        <v>16329.54</v>
      </c>
      <c r="J24" s="10">
        <f>[1]!EZFB1.133</f>
        <v>4027056</v>
      </c>
      <c r="K24" s="10" t="str">
        <f>[1]!EZFB1.135</f>
        <v xml:space="preserve"> -</v>
      </c>
      <c r="L24" s="10" t="str">
        <f>[1]!EZFB1.136</f>
        <v xml:space="preserve"> -</v>
      </c>
      <c r="M24" s="10" t="str">
        <f>[1]!EZFB1.437</f>
        <v xml:space="preserve"> -</v>
      </c>
      <c r="N24" s="10" t="str">
        <f>[1]!EZFB1.406</f>
        <v xml:space="preserve"> -</v>
      </c>
      <c r="O24" s="10" t="str">
        <f>[1]!EZFB1.407</f>
        <v xml:space="preserve"> -</v>
      </c>
      <c r="P24" s="10" t="str">
        <f>[1]!EZFB1.431</f>
        <v>-</v>
      </c>
      <c r="Q24" s="10" t="str">
        <f>[1]!EZFB1.201</f>
        <v xml:space="preserve"> -</v>
      </c>
      <c r="R24" s="10" t="str">
        <f>[1]!EZFB1.202</f>
        <v xml:space="preserve"> -</v>
      </c>
      <c r="S24" s="10" t="str">
        <f>[1]!EZFB1.203</f>
        <v xml:space="preserve"> -</v>
      </c>
      <c r="T24" s="10" t="str">
        <f>[1]!EZFB1.204</f>
        <v xml:space="preserve"> -</v>
      </c>
      <c r="U24" s="10" t="str">
        <f>[1]!EZFB1.205</f>
        <v xml:space="preserve"> -</v>
      </c>
      <c r="V24" s="10" t="str">
        <f>[1]!EZFB1.211</f>
        <v xml:space="preserve"> -</v>
      </c>
      <c r="W24" s="10" t="str">
        <f>[1]!EZFB1.212</f>
        <v xml:space="preserve"> -</v>
      </c>
      <c r="X24" s="10" t="str">
        <f>[1]!EZFB1.213</f>
        <v xml:space="preserve"> -</v>
      </c>
      <c r="Y24" s="10" t="str">
        <f>[1]!EZFB1.214</f>
        <v xml:space="preserve"> -</v>
      </c>
      <c r="Z24" s="10" t="str">
        <f>[1]!EZFB1.215</f>
        <v xml:space="preserve"> -</v>
      </c>
      <c r="AA24" s="10" t="str">
        <f>[1]!EZFB1.221</f>
        <v>-</v>
      </c>
      <c r="AB24" s="10" t="str">
        <f>[1]!EZFB1.222</f>
        <v>-</v>
      </c>
      <c r="AC24" s="10" t="str">
        <f>[1]!EZFB1.223</f>
        <v>-</v>
      </c>
      <c r="AD24" s="10" t="str">
        <f>[1]!EZFB1.224</f>
        <v>-</v>
      </c>
      <c r="AE24" s="10" t="str">
        <f>[1]!EZFB1.225</f>
        <v>-</v>
      </c>
      <c r="AF24" s="10" t="str">
        <f>[1]!EZFB1.231</f>
        <v>-</v>
      </c>
      <c r="AG24" s="10" t="str">
        <f>[1]!EZFB1.232</f>
        <v>-</v>
      </c>
      <c r="AH24" s="10" t="str">
        <f>[1]!EZFB1.233</f>
        <v>-</v>
      </c>
      <c r="AI24" s="10" t="str">
        <f>[1]!EZFB1.234</f>
        <v>-</v>
      </c>
      <c r="AJ24" s="10" t="str">
        <f>[1]!EZFB1.235</f>
        <v>-</v>
      </c>
    </row>
    <row r="25" spans="1:36" s="10" customFormat="1" x14ac:dyDescent="0.25">
      <c r="A25" s="10" t="str">
        <f>"OSFB1"</f>
        <v>OSFB1</v>
      </c>
      <c r="B25" s="10" t="str">
        <f>[1]!OSFB1.402</f>
        <v>加權指數</v>
      </c>
      <c r="C25" s="10">
        <f>[1]!OSFB1.123</f>
        <v>100150</v>
      </c>
      <c r="D25" s="10">
        <f>[1]!OSFB1.124</f>
        <v>16421.62</v>
      </c>
      <c r="E25" s="10">
        <f>[1]!OSFB1.125</f>
        <v>-21.78</v>
      </c>
      <c r="F25" s="10">
        <f>[1]!OSFB1.128</f>
        <v>2439</v>
      </c>
      <c r="G25" s="10">
        <f>[1]!OSFB1.130</f>
        <v>16329.54</v>
      </c>
      <c r="H25" s="10">
        <f>[1]!OSFB1.131</f>
        <v>16456.939999999999</v>
      </c>
      <c r="I25" s="10">
        <f>[1]!OSFB1.132</f>
        <v>16329.54</v>
      </c>
      <c r="J25" s="10">
        <f>[1]!OSFB1.133</f>
        <v>4027056</v>
      </c>
      <c r="K25" s="10" t="str">
        <f>[1]!OSFB1.135</f>
        <v xml:space="preserve"> -</v>
      </c>
      <c r="L25" s="10" t="str">
        <f>[1]!OSFB1.136</f>
        <v xml:space="preserve"> -</v>
      </c>
      <c r="M25" s="10" t="str">
        <f>[1]!OSFB1.437</f>
        <v xml:space="preserve"> -</v>
      </c>
      <c r="N25" s="10" t="str">
        <f>[1]!OSFB1.406</f>
        <v xml:space="preserve"> -</v>
      </c>
      <c r="O25" s="10" t="str">
        <f>[1]!OSFB1.407</f>
        <v xml:space="preserve"> -</v>
      </c>
      <c r="P25" s="10" t="str">
        <f>[1]!OSFB1.431</f>
        <v>-</v>
      </c>
      <c r="Q25" s="10" t="str">
        <f>[1]!OSFB1.201</f>
        <v xml:space="preserve"> -</v>
      </c>
      <c r="R25" s="10" t="str">
        <f>[1]!OSFB1.202</f>
        <v xml:space="preserve"> -</v>
      </c>
      <c r="S25" s="10" t="str">
        <f>[1]!OSFB1.203</f>
        <v xml:space="preserve"> -</v>
      </c>
      <c r="T25" s="10" t="str">
        <f>[1]!OSFB1.204</f>
        <v xml:space="preserve"> -</v>
      </c>
      <c r="U25" s="10" t="str">
        <f>[1]!OSFB1.205</f>
        <v xml:space="preserve"> -</v>
      </c>
      <c r="V25" s="10" t="str">
        <f>[1]!OSFB1.211</f>
        <v xml:space="preserve"> -</v>
      </c>
      <c r="W25" s="10" t="str">
        <f>[1]!OSFB1.212</f>
        <v xml:space="preserve"> -</v>
      </c>
      <c r="X25" s="10" t="str">
        <f>[1]!OSFB1.213</f>
        <v xml:space="preserve"> -</v>
      </c>
      <c r="Y25" s="10" t="str">
        <f>[1]!OSFB1.214</f>
        <v xml:space="preserve"> -</v>
      </c>
      <c r="Z25" s="10" t="str">
        <f>[1]!OSFB1.215</f>
        <v xml:space="preserve"> -</v>
      </c>
      <c r="AA25" s="10" t="str">
        <f>[1]!OSFB1.221</f>
        <v>-</v>
      </c>
      <c r="AB25" s="10" t="str">
        <f>[1]!OSFB1.222</f>
        <v>-</v>
      </c>
      <c r="AC25" s="10" t="str">
        <f>[1]!OSFB1.223</f>
        <v>-</v>
      </c>
      <c r="AD25" s="10" t="str">
        <f>[1]!OSFB1.224</f>
        <v>-</v>
      </c>
      <c r="AE25" s="10" t="str">
        <f>[1]!OSFB1.225</f>
        <v>-</v>
      </c>
      <c r="AF25" s="10" t="str">
        <f>[1]!OSFB1.231</f>
        <v>-</v>
      </c>
      <c r="AG25" s="10" t="str">
        <f>[1]!OSFB1.232</f>
        <v>-</v>
      </c>
      <c r="AH25" s="10" t="str">
        <f>[1]!OSFB1.233</f>
        <v>-</v>
      </c>
      <c r="AI25" s="10" t="str">
        <f>[1]!OSFB1.234</f>
        <v>-</v>
      </c>
      <c r="AJ25" s="10" t="str">
        <f>[1]!OSFB1.235</f>
        <v>-</v>
      </c>
    </row>
    <row r="26" spans="1:36" s="10" customFormat="1" x14ac:dyDescent="0.25">
      <c r="A26" s="10" t="str">
        <f>"CBFB1"</f>
        <v>CBFB1</v>
      </c>
      <c r="B26" s="10" t="str">
        <f>[1]!CBFB1.402</f>
        <v>不含金電</v>
      </c>
      <c r="C26" s="10">
        <f>[1]!CBFB1.123</f>
        <v>100125</v>
      </c>
      <c r="D26" s="10">
        <f>[1]!CBFB1.124</f>
        <v>13894.54</v>
      </c>
      <c r="E26" s="10">
        <f>[1]!CBFB1.125</f>
        <v>7.96</v>
      </c>
      <c r="F26" s="10">
        <f>[1]!CBFB1.128</f>
        <v>789</v>
      </c>
      <c r="G26" s="10">
        <f>[1]!CBFB1.130</f>
        <v>13893.03</v>
      </c>
      <c r="H26" s="10">
        <f>[1]!CBFB1.131</f>
        <v>13945.78</v>
      </c>
      <c r="I26" s="10">
        <f>[1]!CBFB1.132</f>
        <v>13875.82</v>
      </c>
      <c r="J26" s="10">
        <f>[1]!CBFB1.133</f>
        <v>870725</v>
      </c>
      <c r="K26" s="10" t="str">
        <f>[1]!CBFB1.135</f>
        <v xml:space="preserve"> -</v>
      </c>
      <c r="L26" s="10" t="str">
        <f>[1]!CBFB1.136</f>
        <v xml:space="preserve"> -</v>
      </c>
      <c r="M26" s="10" t="str">
        <f>[1]!CBFB1.437</f>
        <v xml:space="preserve"> -</v>
      </c>
      <c r="N26" s="10" t="str">
        <f>[1]!CBFB1.406</f>
        <v xml:space="preserve"> -</v>
      </c>
      <c r="O26" s="10" t="str">
        <f>[1]!CBFB1.407</f>
        <v xml:space="preserve"> -</v>
      </c>
      <c r="P26" s="10" t="str">
        <f>[1]!CBFB1.431</f>
        <v>-</v>
      </c>
      <c r="Q26" s="10" t="str">
        <f>[1]!CBFB1.201</f>
        <v xml:space="preserve"> -</v>
      </c>
      <c r="R26" s="10" t="str">
        <f>[1]!CBFB1.202</f>
        <v xml:space="preserve"> -</v>
      </c>
      <c r="S26" s="10" t="str">
        <f>[1]!CBFB1.203</f>
        <v xml:space="preserve"> -</v>
      </c>
      <c r="T26" s="10" t="str">
        <f>[1]!CBFB1.204</f>
        <v xml:space="preserve"> -</v>
      </c>
      <c r="U26" s="10" t="str">
        <f>[1]!CBFB1.205</f>
        <v xml:space="preserve"> -</v>
      </c>
      <c r="V26" s="10" t="str">
        <f>[1]!CBFB1.211</f>
        <v xml:space="preserve"> -</v>
      </c>
      <c r="W26" s="10" t="str">
        <f>[1]!CBFB1.212</f>
        <v xml:space="preserve"> -</v>
      </c>
      <c r="X26" s="10" t="str">
        <f>[1]!CBFB1.213</f>
        <v xml:space="preserve"> -</v>
      </c>
      <c r="Y26" s="10" t="str">
        <f>[1]!CBFB1.214</f>
        <v xml:space="preserve"> -</v>
      </c>
      <c r="Z26" s="10" t="str">
        <f>[1]!CBFB1.215</f>
        <v xml:space="preserve"> -</v>
      </c>
      <c r="AA26" s="10" t="str">
        <f>[1]!CBFB1.221</f>
        <v>-</v>
      </c>
      <c r="AB26" s="10" t="str">
        <f>[1]!CBFB1.222</f>
        <v>-</v>
      </c>
      <c r="AC26" s="10" t="str">
        <f>[1]!CBFB1.223</f>
        <v>-</v>
      </c>
      <c r="AD26" s="10" t="str">
        <f>[1]!CBFB1.224</f>
        <v>-</v>
      </c>
      <c r="AE26" s="10" t="str">
        <f>[1]!CBFB1.225</f>
        <v>-</v>
      </c>
      <c r="AF26" s="10" t="str">
        <f>[1]!CBFB1.231</f>
        <v>-</v>
      </c>
      <c r="AG26" s="10" t="str">
        <f>[1]!CBFB1.232</f>
        <v>-</v>
      </c>
      <c r="AH26" s="10" t="str">
        <f>[1]!CBFB1.233</f>
        <v>-</v>
      </c>
      <c r="AI26" s="10" t="str">
        <f>[1]!CBFB1.234</f>
        <v>-</v>
      </c>
      <c r="AJ26" s="10" t="str">
        <f>[1]!CBFB1.235</f>
        <v>-</v>
      </c>
    </row>
    <row r="27" spans="1:36" s="10" customFormat="1" x14ac:dyDescent="0.25">
      <c r="A27" s="10" t="str">
        <f>"FE1F1"</f>
        <v>FE1F1</v>
      </c>
      <c r="B27" s="10" t="str">
        <f>[1]!FE1F1.402</f>
        <v>大成鋼1-06</v>
      </c>
      <c r="C27" s="10">
        <f>[1]!FE1F1.123</f>
        <v>0</v>
      </c>
      <c r="D27" s="10" t="str">
        <f>[1]!FE1F1.124</f>
        <v xml:space="preserve"> </v>
      </c>
      <c r="E27" s="10">
        <f>[1]!FE1F1.125</f>
        <v>0</v>
      </c>
      <c r="F27" s="10">
        <f>[1]!FE1F1.128</f>
        <v>0</v>
      </c>
      <c r="G27" s="10" t="str">
        <f>[1]!FE1F1.130</f>
        <v xml:space="preserve"> </v>
      </c>
      <c r="H27" s="10" t="str">
        <f>[1]!FE1F1.131</f>
        <v xml:space="preserve"> </v>
      </c>
      <c r="I27" s="10" t="str">
        <f>[1]!FE1F1.132</f>
        <v xml:space="preserve"> </v>
      </c>
      <c r="J27" s="10">
        <f>[1]!FE1F1.133</f>
        <v>0</v>
      </c>
      <c r="K27" s="10">
        <f>[1]!FE1F1.135</f>
        <v>28.9</v>
      </c>
      <c r="L27" s="10">
        <f>[1]!FE1F1.136</f>
        <v>31.55</v>
      </c>
      <c r="M27" s="10">
        <f>[1]!FE1F1.437</f>
        <v>31.12</v>
      </c>
      <c r="N27" s="10">
        <f>[1]!FE1F1.406</f>
        <v>34.700000000000003</v>
      </c>
      <c r="O27" s="10">
        <f>[1]!FE1F1.407</f>
        <v>28.4</v>
      </c>
      <c r="P27" s="10">
        <f>[1]!FE1F1.431</f>
        <v>20210224</v>
      </c>
      <c r="Q27" s="10">
        <f>[1]!FE1F1.201</f>
        <v>28.9</v>
      </c>
      <c r="R27" s="10" t="str">
        <f>[1]!FE1F1.202</f>
        <v xml:space="preserve"> </v>
      </c>
      <c r="S27" s="10" t="str">
        <f>[1]!FE1F1.203</f>
        <v xml:space="preserve"> </v>
      </c>
      <c r="T27" s="10" t="str">
        <f>[1]!FE1F1.204</f>
        <v xml:space="preserve"> </v>
      </c>
      <c r="U27" s="10" t="str">
        <f>[1]!FE1F1.205</f>
        <v xml:space="preserve"> </v>
      </c>
      <c r="V27" s="10">
        <f>[1]!FE1F1.211</f>
        <v>31.55</v>
      </c>
      <c r="W27" s="10" t="str">
        <f>[1]!FE1F1.212</f>
        <v xml:space="preserve"> </v>
      </c>
      <c r="X27" s="10" t="str">
        <f>[1]!FE1F1.213</f>
        <v xml:space="preserve"> </v>
      </c>
      <c r="Y27" s="10" t="str">
        <f>[1]!FE1F1.214</f>
        <v xml:space="preserve"> </v>
      </c>
      <c r="Z27" s="10" t="str">
        <f>[1]!FE1F1.215</f>
        <v xml:space="preserve"> </v>
      </c>
      <c r="AA27" s="10">
        <f>[1]!FE1F1.221</f>
        <v>1</v>
      </c>
      <c r="AB27" s="10">
        <f>[1]!FE1F1.222</f>
        <v>0</v>
      </c>
      <c r="AC27" s="10">
        <f>[1]!FE1F1.223</f>
        <v>0</v>
      </c>
      <c r="AD27" s="10">
        <f>[1]!FE1F1.224</f>
        <v>0</v>
      </c>
      <c r="AE27" s="10">
        <f>[1]!FE1F1.225</f>
        <v>0</v>
      </c>
      <c r="AF27" s="10">
        <f>[1]!FE1F1.231</f>
        <v>1</v>
      </c>
      <c r="AG27" s="10">
        <f>[1]!FE1F1.232</f>
        <v>0</v>
      </c>
      <c r="AH27" s="10">
        <f>[1]!FE1F1.233</f>
        <v>0</v>
      </c>
      <c r="AI27" s="10">
        <f>[1]!FE1F1.234</f>
        <v>0</v>
      </c>
      <c r="AJ27" s="10">
        <f>[1]!FE1F1.235</f>
        <v>0</v>
      </c>
    </row>
    <row r="28" spans="1:36" s="10" customFormat="1" x14ac:dyDescent="0.25">
      <c r="A28" s="10" t="str">
        <f>"FEFB1"</f>
        <v>FEFB1</v>
      </c>
      <c r="B28" s="10" t="e">
        <f>[1]!FEFB1.402</f>
        <v>#N/A</v>
      </c>
      <c r="C28" s="10">
        <f>[1]!FEFB1.123</f>
        <v>0</v>
      </c>
      <c r="D28" s="10">
        <f>[1]!FEFB1.124</f>
        <v>20878632</v>
      </c>
      <c r="E28" s="10" t="str">
        <f>[1]!FEFB1.125</f>
        <v xml:space="preserve"> </v>
      </c>
      <c r="F28" s="10">
        <f>[1]!FEFB1.128</f>
        <v>1212870150</v>
      </c>
      <c r="G28" s="10">
        <f>[1]!FEFB1.130</f>
        <v>20803788</v>
      </c>
      <c r="H28" s="10">
        <f>[1]!FEFB1.131</f>
        <v>20804690</v>
      </c>
      <c r="I28" s="10">
        <f>[1]!FEFB1.132</f>
        <v>10989732</v>
      </c>
      <c r="J28" s="10">
        <f>[1]!FEFB1.133</f>
        <v>2088371110</v>
      </c>
      <c r="K28" s="10" t="str">
        <f>[1]!FEFB1.135</f>
        <v xml:space="preserve"> -</v>
      </c>
      <c r="L28" s="10" t="str">
        <f>[1]!FEFB1.136</f>
        <v xml:space="preserve"> -</v>
      </c>
      <c r="M28" s="10" t="str">
        <f>[1]!FEFB1.437</f>
        <v xml:space="preserve"> -</v>
      </c>
      <c r="N28" s="10" t="str">
        <f>[1]!FEFB1.406</f>
        <v xml:space="preserve"> -</v>
      </c>
      <c r="O28" s="10" t="str">
        <f>[1]!FEFB1.407</f>
        <v xml:space="preserve"> -</v>
      </c>
      <c r="P28" s="10" t="str">
        <f>[1]!FEFB1.431</f>
        <v>-</v>
      </c>
      <c r="Q28" s="10" t="str">
        <f>[1]!FEFB1.201</f>
        <v xml:space="preserve"> -</v>
      </c>
      <c r="R28" s="10" t="str">
        <f>[1]!FEFB1.202</f>
        <v xml:space="preserve"> -</v>
      </c>
      <c r="S28" s="10" t="str">
        <f>[1]!FEFB1.203</f>
        <v xml:space="preserve"> -</v>
      </c>
      <c r="T28" s="10" t="str">
        <f>[1]!FEFB1.204</f>
        <v xml:space="preserve"> -</v>
      </c>
      <c r="U28" s="10" t="str">
        <f>[1]!FEFB1.205</f>
        <v xml:space="preserve"> -</v>
      </c>
      <c r="V28" s="10" t="str">
        <f>[1]!FEFB1.211</f>
        <v xml:space="preserve"> -</v>
      </c>
      <c r="W28" s="10" t="str">
        <f>[1]!FEFB1.212</f>
        <v xml:space="preserve"> -</v>
      </c>
      <c r="X28" s="10" t="str">
        <f>[1]!FEFB1.213</f>
        <v xml:space="preserve"> -</v>
      </c>
      <c r="Y28" s="10" t="str">
        <f>[1]!FEFB1.214</f>
        <v xml:space="preserve"> -</v>
      </c>
      <c r="Z28" s="10" t="str">
        <f>[1]!FEFB1.215</f>
        <v xml:space="preserve"> -</v>
      </c>
      <c r="AA28" s="10" t="str">
        <f>[1]!FEFB1.221</f>
        <v>-</v>
      </c>
      <c r="AB28" s="10" t="str">
        <f>[1]!FEFB1.222</f>
        <v>-</v>
      </c>
      <c r="AC28" s="10" t="str">
        <f>[1]!FEFB1.223</f>
        <v>-</v>
      </c>
      <c r="AD28" s="10" t="str">
        <f>[1]!FEFB1.224</f>
        <v>-</v>
      </c>
      <c r="AE28" s="10" t="str">
        <f>[1]!FEFB1.225</f>
        <v>-</v>
      </c>
      <c r="AF28" s="10" t="str">
        <f>[1]!FEFB1.231</f>
        <v>-</v>
      </c>
      <c r="AG28" s="10" t="str">
        <f>[1]!FEFB1.232</f>
        <v>-</v>
      </c>
      <c r="AH28" s="10" t="str">
        <f>[1]!FEFB1.233</f>
        <v>-</v>
      </c>
      <c r="AI28" s="10" t="str">
        <f>[1]!FEFB1.234</f>
        <v>-</v>
      </c>
      <c r="AJ28" s="10" t="str">
        <f>[1]!FEFB1.235</f>
        <v>-</v>
      </c>
    </row>
    <row r="29" spans="1:36" s="10" customFormat="1" x14ac:dyDescent="0.25">
      <c r="A29" s="10" t="str">
        <f>"FF1C1"</f>
        <v>FF1C1</v>
      </c>
      <c r="B29" s="10" t="str">
        <f>[1]!FF1C1.402</f>
        <v>上銀1-03</v>
      </c>
      <c r="C29" s="10">
        <f>[1]!FF1C1.123</f>
        <v>0</v>
      </c>
      <c r="D29" s="10" t="str">
        <f>[1]!FF1C1.124</f>
        <v xml:space="preserve"> </v>
      </c>
      <c r="E29" s="10">
        <f>[1]!FF1C1.125</f>
        <v>0</v>
      </c>
      <c r="F29" s="10">
        <f>[1]!FF1C1.128</f>
        <v>0</v>
      </c>
      <c r="G29" s="10" t="str">
        <f>[1]!FF1C1.130</f>
        <v xml:space="preserve"> </v>
      </c>
      <c r="H29" s="10" t="str">
        <f>[1]!FF1C1.131</f>
        <v xml:space="preserve"> </v>
      </c>
      <c r="I29" s="10" t="str">
        <f>[1]!FF1C1.132</f>
        <v xml:space="preserve"> </v>
      </c>
      <c r="J29" s="10">
        <f>[1]!FF1C1.133</f>
        <v>0</v>
      </c>
      <c r="K29" s="10">
        <f>[1]!FF1C1.135</f>
        <v>395</v>
      </c>
      <c r="L29" s="10" t="str">
        <f>[1]!FF1C1.136</f>
        <v xml:space="preserve"> </v>
      </c>
      <c r="M29" s="10">
        <f>[1]!FF1C1.437</f>
        <v>399.42</v>
      </c>
      <c r="N29" s="10">
        <f>[1]!FF1C1.406</f>
        <v>452</v>
      </c>
      <c r="O29" s="10">
        <f>[1]!FF1C1.407</f>
        <v>370</v>
      </c>
      <c r="P29" s="10">
        <f>[1]!FF1C1.431</f>
        <v>20210224</v>
      </c>
      <c r="Q29" s="10">
        <f>[1]!FF1C1.201</f>
        <v>395</v>
      </c>
      <c r="R29" s="10" t="str">
        <f>[1]!FF1C1.202</f>
        <v xml:space="preserve"> </v>
      </c>
      <c r="S29" s="10" t="str">
        <f>[1]!FF1C1.203</f>
        <v xml:space="preserve"> </v>
      </c>
      <c r="T29" s="10" t="str">
        <f>[1]!FF1C1.204</f>
        <v xml:space="preserve"> </v>
      </c>
      <c r="U29" s="10" t="str">
        <f>[1]!FF1C1.205</f>
        <v xml:space="preserve"> </v>
      </c>
      <c r="V29" s="10" t="str">
        <f>[1]!FF1C1.211</f>
        <v xml:space="preserve"> </v>
      </c>
      <c r="W29" s="10" t="str">
        <f>[1]!FF1C1.212</f>
        <v xml:space="preserve"> </v>
      </c>
      <c r="X29" s="10" t="str">
        <f>[1]!FF1C1.213</f>
        <v xml:space="preserve"> </v>
      </c>
      <c r="Y29" s="10" t="str">
        <f>[1]!FF1C1.214</f>
        <v xml:space="preserve"> </v>
      </c>
      <c r="Z29" s="10" t="str">
        <f>[1]!FF1C1.215</f>
        <v xml:space="preserve"> </v>
      </c>
      <c r="AA29" s="10">
        <f>[1]!FF1C1.221</f>
        <v>1</v>
      </c>
      <c r="AB29" s="10">
        <f>[1]!FF1C1.222</f>
        <v>0</v>
      </c>
      <c r="AC29" s="10">
        <f>[1]!FF1C1.223</f>
        <v>0</v>
      </c>
      <c r="AD29" s="10">
        <f>[1]!FF1C1.224</f>
        <v>0</v>
      </c>
      <c r="AE29" s="10">
        <f>[1]!FF1C1.225</f>
        <v>0</v>
      </c>
      <c r="AF29" s="10">
        <f>[1]!FF1C1.231</f>
        <v>0</v>
      </c>
      <c r="AG29" s="10">
        <f>[1]!FF1C1.232</f>
        <v>0</v>
      </c>
      <c r="AH29" s="10">
        <f>[1]!FF1C1.233</f>
        <v>0</v>
      </c>
      <c r="AI29" s="10">
        <f>[1]!FF1C1.234</f>
        <v>0</v>
      </c>
      <c r="AJ29" s="10">
        <f>[1]!FF1C1.235</f>
        <v>0</v>
      </c>
    </row>
    <row r="30" spans="1:36" s="10" customFormat="1" x14ac:dyDescent="0.25">
      <c r="A30" s="10" t="str">
        <f>"FFFB1"</f>
        <v>FFFB1</v>
      </c>
      <c r="B30" s="10" t="e">
        <f>[1]!FFFB1.402</f>
        <v>#N/A</v>
      </c>
      <c r="C30" s="10">
        <f>[1]!FFFB1.123</f>
        <v>0</v>
      </c>
      <c r="D30" s="10">
        <f>[1]!FFFB1.124</f>
        <v>20878632</v>
      </c>
      <c r="E30" s="10" t="str">
        <f>[1]!FFFB1.125</f>
        <v xml:space="preserve"> </v>
      </c>
      <c r="F30" s="10">
        <f>[1]!FFFB1.128</f>
        <v>1212870150</v>
      </c>
      <c r="G30" s="10">
        <f>[1]!FFFB1.130</f>
        <v>20803788</v>
      </c>
      <c r="H30" s="10">
        <f>[1]!FFFB1.131</f>
        <v>20804690</v>
      </c>
      <c r="I30" s="10">
        <f>[1]!FFFB1.132</f>
        <v>10989732</v>
      </c>
      <c r="J30" s="10">
        <f>[1]!FFFB1.133</f>
        <v>2088371110</v>
      </c>
      <c r="K30" s="10" t="str">
        <f>[1]!FFFB1.135</f>
        <v xml:space="preserve"> -</v>
      </c>
      <c r="L30" s="10" t="str">
        <f>[1]!FFFB1.136</f>
        <v xml:space="preserve"> -</v>
      </c>
      <c r="M30" s="10" t="str">
        <f>[1]!FFFB1.437</f>
        <v xml:space="preserve"> -</v>
      </c>
      <c r="N30" s="10" t="str">
        <f>[1]!FFFB1.406</f>
        <v xml:space="preserve"> -</v>
      </c>
      <c r="O30" s="10" t="str">
        <f>[1]!FFFB1.407</f>
        <v xml:space="preserve"> -</v>
      </c>
      <c r="P30" s="10" t="str">
        <f>[1]!FFFB1.431</f>
        <v>-</v>
      </c>
      <c r="Q30" s="10" t="str">
        <f>[1]!FFFB1.201</f>
        <v xml:space="preserve"> -</v>
      </c>
      <c r="R30" s="10" t="str">
        <f>[1]!FFFB1.202</f>
        <v xml:space="preserve"> -</v>
      </c>
      <c r="S30" s="10" t="str">
        <f>[1]!FFFB1.203</f>
        <v xml:space="preserve"> -</v>
      </c>
      <c r="T30" s="10" t="str">
        <f>[1]!FFFB1.204</f>
        <v xml:space="preserve"> -</v>
      </c>
      <c r="U30" s="10" t="str">
        <f>[1]!FFFB1.205</f>
        <v xml:space="preserve"> -</v>
      </c>
      <c r="V30" s="10" t="str">
        <f>[1]!FFFB1.211</f>
        <v xml:space="preserve"> -</v>
      </c>
      <c r="W30" s="10" t="str">
        <f>[1]!FFFB1.212</f>
        <v xml:space="preserve"> -</v>
      </c>
      <c r="X30" s="10" t="str">
        <f>[1]!FFFB1.213</f>
        <v xml:space="preserve"> -</v>
      </c>
      <c r="Y30" s="10" t="str">
        <f>[1]!FFFB1.214</f>
        <v xml:space="preserve"> -</v>
      </c>
      <c r="Z30" s="10" t="str">
        <f>[1]!FFFB1.215</f>
        <v xml:space="preserve"> -</v>
      </c>
      <c r="AA30" s="10" t="str">
        <f>[1]!FFFB1.221</f>
        <v>-</v>
      </c>
      <c r="AB30" s="10" t="str">
        <f>[1]!FFFB1.222</f>
        <v>-</v>
      </c>
      <c r="AC30" s="10" t="str">
        <f>[1]!FFFB1.223</f>
        <v>-</v>
      </c>
      <c r="AD30" s="10" t="str">
        <f>[1]!FFFB1.224</f>
        <v>-</v>
      </c>
      <c r="AE30" s="10" t="str">
        <f>[1]!FFFB1.225</f>
        <v>-</v>
      </c>
      <c r="AF30" s="10" t="str">
        <f>[1]!FFFB1.231</f>
        <v>-</v>
      </c>
      <c r="AG30" s="10" t="str">
        <f>[1]!FFFB1.232</f>
        <v>-</v>
      </c>
      <c r="AH30" s="10" t="str">
        <f>[1]!FFFB1.233</f>
        <v>-</v>
      </c>
      <c r="AI30" s="10" t="str">
        <f>[1]!FFFB1.234</f>
        <v>-</v>
      </c>
      <c r="AJ30" s="10" t="str">
        <f>[1]!FFFB1.235</f>
        <v>-</v>
      </c>
    </row>
    <row r="31" spans="1:36" s="10" customFormat="1" x14ac:dyDescent="0.25">
      <c r="A31" s="10" t="str">
        <f>"FGFB1"</f>
        <v>FGFB1</v>
      </c>
      <c r="B31" s="10" t="str">
        <f>[1]!FGFB1.402</f>
        <v>加權指數</v>
      </c>
      <c r="C31" s="10">
        <f>[1]!FGFB1.123</f>
        <v>100130</v>
      </c>
      <c r="D31" s="10">
        <f>[1]!FGFB1.124</f>
        <v>16429</v>
      </c>
      <c r="E31" s="10">
        <f>[1]!FGFB1.125</f>
        <v>-14.4</v>
      </c>
      <c r="F31" s="10">
        <f>[1]!FGFB1.128</f>
        <v>3347</v>
      </c>
      <c r="G31" s="10">
        <f>[1]!FGFB1.130</f>
        <v>16329.54</v>
      </c>
      <c r="H31" s="10">
        <f>[1]!FGFB1.131</f>
        <v>16456.939999999999</v>
      </c>
      <c r="I31" s="10">
        <f>[1]!FGFB1.132</f>
        <v>16329.54</v>
      </c>
      <c r="J31" s="10">
        <f>[1]!FGFB1.133</f>
        <v>4018459</v>
      </c>
      <c r="K31" s="10" t="str">
        <f>[1]!FGFB1.135</f>
        <v xml:space="preserve"> -</v>
      </c>
      <c r="L31" s="10" t="str">
        <f>[1]!FGFB1.136</f>
        <v xml:space="preserve"> -</v>
      </c>
      <c r="M31" s="10" t="str">
        <f>[1]!FGFB1.437</f>
        <v xml:space="preserve"> -</v>
      </c>
      <c r="N31" s="10" t="str">
        <f>[1]!FGFB1.406</f>
        <v xml:space="preserve"> -</v>
      </c>
      <c r="O31" s="10" t="str">
        <f>[1]!FGFB1.407</f>
        <v xml:space="preserve"> -</v>
      </c>
      <c r="P31" s="10" t="str">
        <f>[1]!FGFB1.431</f>
        <v>-</v>
      </c>
      <c r="Q31" s="10" t="str">
        <f>[1]!FGFB1.201</f>
        <v xml:space="preserve"> -</v>
      </c>
      <c r="R31" s="10" t="str">
        <f>[1]!FGFB1.202</f>
        <v xml:space="preserve"> -</v>
      </c>
      <c r="S31" s="10" t="str">
        <f>[1]!FGFB1.203</f>
        <v xml:space="preserve"> -</v>
      </c>
      <c r="T31" s="10" t="str">
        <f>[1]!FGFB1.204</f>
        <v xml:space="preserve"> -</v>
      </c>
      <c r="U31" s="10" t="str">
        <f>[1]!FGFB1.205</f>
        <v xml:space="preserve"> -</v>
      </c>
      <c r="V31" s="10" t="str">
        <f>[1]!FGFB1.211</f>
        <v xml:space="preserve"> -</v>
      </c>
      <c r="W31" s="10" t="str">
        <f>[1]!FGFB1.212</f>
        <v xml:space="preserve"> -</v>
      </c>
      <c r="X31" s="10" t="str">
        <f>[1]!FGFB1.213</f>
        <v xml:space="preserve"> -</v>
      </c>
      <c r="Y31" s="10" t="str">
        <f>[1]!FGFB1.214</f>
        <v xml:space="preserve"> -</v>
      </c>
      <c r="Z31" s="10" t="str">
        <f>[1]!FGFB1.215</f>
        <v xml:space="preserve"> -</v>
      </c>
      <c r="AA31" s="10" t="str">
        <f>[1]!FGFB1.221</f>
        <v>-</v>
      </c>
      <c r="AB31" s="10" t="str">
        <f>[1]!FGFB1.222</f>
        <v>-</v>
      </c>
      <c r="AC31" s="10" t="str">
        <f>[1]!FGFB1.223</f>
        <v>-</v>
      </c>
      <c r="AD31" s="10" t="str">
        <f>[1]!FGFB1.224</f>
        <v>-</v>
      </c>
      <c r="AE31" s="10" t="str">
        <f>[1]!FGFB1.225</f>
        <v>-</v>
      </c>
      <c r="AF31" s="10" t="str">
        <f>[1]!FGFB1.231</f>
        <v>-</v>
      </c>
      <c r="AG31" s="10" t="str">
        <f>[1]!FGFB1.232</f>
        <v>-</v>
      </c>
      <c r="AH31" s="10" t="str">
        <f>[1]!FGFB1.233</f>
        <v>-</v>
      </c>
      <c r="AI31" s="10" t="str">
        <f>[1]!FGFB1.234</f>
        <v>-</v>
      </c>
      <c r="AJ31" s="10" t="str">
        <f>[1]!FGFB1.235</f>
        <v>-</v>
      </c>
    </row>
    <row r="32" spans="1:36" s="10" customFormat="1" x14ac:dyDescent="0.25">
      <c r="A32" s="10" t="str">
        <f>"FKFB1"</f>
        <v>FKFB1</v>
      </c>
      <c r="B32" s="10" t="str">
        <f>[1]!FKFB1.402</f>
        <v>不含金電</v>
      </c>
      <c r="C32" s="10">
        <f>[1]!FKFB1.123</f>
        <v>100150</v>
      </c>
      <c r="D32" s="10">
        <f>[1]!FKFB1.124</f>
        <v>13900.72</v>
      </c>
      <c r="E32" s="10">
        <f>[1]!FKFB1.125</f>
        <v>14.14</v>
      </c>
      <c r="F32" s="10">
        <f>[1]!FKFB1.128</f>
        <v>887</v>
      </c>
      <c r="G32" s="10">
        <f>[1]!FKFB1.130</f>
        <v>13893.03</v>
      </c>
      <c r="H32" s="10">
        <f>[1]!FKFB1.131</f>
        <v>13945.78</v>
      </c>
      <c r="I32" s="10">
        <f>[1]!FKFB1.132</f>
        <v>13875.82</v>
      </c>
      <c r="J32" s="10">
        <f>[1]!FKFB1.133</f>
        <v>873827</v>
      </c>
      <c r="K32" s="10" t="str">
        <f>[1]!FKFB1.135</f>
        <v xml:space="preserve"> -</v>
      </c>
      <c r="L32" s="10" t="str">
        <f>[1]!FKFB1.136</f>
        <v xml:space="preserve"> -</v>
      </c>
      <c r="M32" s="10" t="str">
        <f>[1]!FKFB1.437</f>
        <v xml:space="preserve"> -</v>
      </c>
      <c r="N32" s="10" t="str">
        <f>[1]!FKFB1.406</f>
        <v xml:space="preserve"> -</v>
      </c>
      <c r="O32" s="10" t="str">
        <f>[1]!FKFB1.407</f>
        <v xml:space="preserve"> -</v>
      </c>
      <c r="P32" s="10" t="str">
        <f>[1]!FKFB1.431</f>
        <v>-</v>
      </c>
      <c r="Q32" s="10" t="str">
        <f>[1]!FKFB1.201</f>
        <v xml:space="preserve"> -</v>
      </c>
      <c r="R32" s="10" t="str">
        <f>[1]!FKFB1.202</f>
        <v xml:space="preserve"> -</v>
      </c>
      <c r="S32" s="10" t="str">
        <f>[1]!FKFB1.203</f>
        <v xml:space="preserve"> -</v>
      </c>
      <c r="T32" s="10" t="str">
        <f>[1]!FKFB1.204</f>
        <v xml:space="preserve"> -</v>
      </c>
      <c r="U32" s="10" t="str">
        <f>[1]!FKFB1.205</f>
        <v xml:space="preserve"> -</v>
      </c>
      <c r="V32" s="10" t="str">
        <f>[1]!FKFB1.211</f>
        <v xml:space="preserve"> -</v>
      </c>
      <c r="W32" s="10" t="str">
        <f>[1]!FKFB1.212</f>
        <v xml:space="preserve"> -</v>
      </c>
      <c r="X32" s="10" t="str">
        <f>[1]!FKFB1.213</f>
        <v xml:space="preserve"> -</v>
      </c>
      <c r="Y32" s="10" t="str">
        <f>[1]!FKFB1.214</f>
        <v xml:space="preserve"> -</v>
      </c>
      <c r="Z32" s="10" t="str">
        <f>[1]!FKFB1.215</f>
        <v xml:space="preserve"> -</v>
      </c>
      <c r="AA32" s="10" t="str">
        <f>[1]!FKFB1.221</f>
        <v>-</v>
      </c>
      <c r="AB32" s="10" t="str">
        <f>[1]!FKFB1.222</f>
        <v>-</v>
      </c>
      <c r="AC32" s="10" t="str">
        <f>[1]!FKFB1.223</f>
        <v>-</v>
      </c>
      <c r="AD32" s="10" t="str">
        <f>[1]!FKFB1.224</f>
        <v>-</v>
      </c>
      <c r="AE32" s="10" t="str">
        <f>[1]!FKFB1.225</f>
        <v>-</v>
      </c>
      <c r="AF32" s="10" t="str">
        <f>[1]!FKFB1.231</f>
        <v>-</v>
      </c>
      <c r="AG32" s="10" t="str">
        <f>[1]!FKFB1.232</f>
        <v>-</v>
      </c>
      <c r="AH32" s="10" t="str">
        <f>[1]!FKFB1.233</f>
        <v>-</v>
      </c>
      <c r="AI32" s="10" t="str">
        <f>[1]!FKFB1.234</f>
        <v>-</v>
      </c>
      <c r="AJ32" s="10" t="str">
        <f>[1]!FKFB1.235</f>
        <v>-</v>
      </c>
    </row>
    <row r="33" spans="1:36" s="10" customFormat="1" x14ac:dyDescent="0.25">
      <c r="A33" s="10" t="str">
        <f>"FNFB1"</f>
        <v>FNFB1</v>
      </c>
      <c r="B33" s="10" t="str">
        <f>[1]!FNFB1.402</f>
        <v>不含金電</v>
      </c>
      <c r="C33" s="10">
        <f>[1]!FNFB1.123</f>
        <v>100145</v>
      </c>
      <c r="D33" s="10">
        <f>[1]!FNFB1.124</f>
        <v>13895.21</v>
      </c>
      <c r="E33" s="10">
        <f>[1]!FNFB1.125</f>
        <v>8.6300000000000008</v>
      </c>
      <c r="F33" s="10">
        <f>[1]!FNFB1.128</f>
        <v>435</v>
      </c>
      <c r="G33" s="10">
        <f>[1]!FNFB1.130</f>
        <v>13893.03</v>
      </c>
      <c r="H33" s="10">
        <f>[1]!FNFB1.131</f>
        <v>13945.78</v>
      </c>
      <c r="I33" s="10">
        <f>[1]!FNFB1.132</f>
        <v>13875.82</v>
      </c>
      <c r="J33" s="10">
        <f>[1]!FNFB1.133</f>
        <v>872940</v>
      </c>
      <c r="K33" s="10" t="str">
        <f>[1]!FNFB1.135</f>
        <v xml:space="preserve"> -</v>
      </c>
      <c r="L33" s="10" t="str">
        <f>[1]!FNFB1.136</f>
        <v xml:space="preserve"> -</v>
      </c>
      <c r="M33" s="10" t="str">
        <f>[1]!FNFB1.437</f>
        <v xml:space="preserve"> -</v>
      </c>
      <c r="N33" s="10" t="str">
        <f>[1]!FNFB1.406</f>
        <v xml:space="preserve"> -</v>
      </c>
      <c r="O33" s="10" t="str">
        <f>[1]!FNFB1.407</f>
        <v xml:space="preserve"> -</v>
      </c>
      <c r="P33" s="10" t="str">
        <f>[1]!FNFB1.431</f>
        <v>-</v>
      </c>
      <c r="Q33" s="10" t="str">
        <f>[1]!FNFB1.201</f>
        <v xml:space="preserve"> -</v>
      </c>
      <c r="R33" s="10" t="str">
        <f>[1]!FNFB1.202</f>
        <v xml:space="preserve"> -</v>
      </c>
      <c r="S33" s="10" t="str">
        <f>[1]!FNFB1.203</f>
        <v xml:space="preserve"> -</v>
      </c>
      <c r="T33" s="10" t="str">
        <f>[1]!FNFB1.204</f>
        <v xml:space="preserve"> -</v>
      </c>
      <c r="U33" s="10" t="str">
        <f>[1]!FNFB1.205</f>
        <v xml:space="preserve"> -</v>
      </c>
      <c r="V33" s="10" t="str">
        <f>[1]!FNFB1.211</f>
        <v xml:space="preserve"> -</v>
      </c>
      <c r="W33" s="10" t="str">
        <f>[1]!FNFB1.212</f>
        <v xml:space="preserve"> -</v>
      </c>
      <c r="X33" s="10" t="str">
        <f>[1]!FNFB1.213</f>
        <v xml:space="preserve"> -</v>
      </c>
      <c r="Y33" s="10" t="str">
        <f>[1]!FNFB1.214</f>
        <v xml:space="preserve"> -</v>
      </c>
      <c r="Z33" s="10" t="str">
        <f>[1]!FNFB1.215</f>
        <v xml:space="preserve"> -</v>
      </c>
      <c r="AA33" s="10" t="str">
        <f>[1]!FNFB1.221</f>
        <v>-</v>
      </c>
      <c r="AB33" s="10" t="str">
        <f>[1]!FNFB1.222</f>
        <v>-</v>
      </c>
      <c r="AC33" s="10" t="str">
        <f>[1]!FNFB1.223</f>
        <v>-</v>
      </c>
      <c r="AD33" s="10" t="str">
        <f>[1]!FNFB1.224</f>
        <v>-</v>
      </c>
      <c r="AE33" s="10" t="str">
        <f>[1]!FNFB1.225</f>
        <v>-</v>
      </c>
      <c r="AF33" s="10" t="str">
        <f>[1]!FNFB1.231</f>
        <v>-</v>
      </c>
      <c r="AG33" s="10" t="str">
        <f>[1]!FNFB1.232</f>
        <v>-</v>
      </c>
      <c r="AH33" s="10" t="str">
        <f>[1]!FNFB1.233</f>
        <v>-</v>
      </c>
      <c r="AI33" s="10" t="str">
        <f>[1]!FNFB1.234</f>
        <v>-</v>
      </c>
      <c r="AJ33" s="10" t="str">
        <f>[1]!FNFB1.235</f>
        <v>-</v>
      </c>
    </row>
    <row r="34" spans="1:36" s="10" customFormat="1" x14ac:dyDescent="0.25">
      <c r="A34" s="10" t="str">
        <f>"ODFB1"</f>
        <v>ODFB1</v>
      </c>
      <c r="B34" s="10" t="str">
        <f>[1]!ODFB1.402</f>
        <v>加權指數</v>
      </c>
      <c r="C34" s="10">
        <f>[1]!ODFB1.123</f>
        <v>100145</v>
      </c>
      <c r="D34" s="10">
        <f>[1]!ODFB1.124</f>
        <v>16422.560000000001</v>
      </c>
      <c r="E34" s="10">
        <f>[1]!ODFB1.125</f>
        <v>-20.84</v>
      </c>
      <c r="F34" s="10">
        <f>[1]!ODFB1.128</f>
        <v>1824</v>
      </c>
      <c r="G34" s="10">
        <f>[1]!ODFB1.130</f>
        <v>16329.54</v>
      </c>
      <c r="H34" s="10">
        <f>[1]!ODFB1.131</f>
        <v>16456.939999999999</v>
      </c>
      <c r="I34" s="10">
        <f>[1]!ODFB1.132</f>
        <v>16329.54</v>
      </c>
      <c r="J34" s="10">
        <f>[1]!ODFB1.133</f>
        <v>4024617</v>
      </c>
      <c r="K34" s="10" t="str">
        <f>[1]!ODFB1.135</f>
        <v xml:space="preserve"> -</v>
      </c>
      <c r="L34" s="10" t="str">
        <f>[1]!ODFB1.136</f>
        <v xml:space="preserve"> -</v>
      </c>
      <c r="M34" s="10" t="str">
        <f>[1]!ODFB1.437</f>
        <v xml:space="preserve"> -</v>
      </c>
      <c r="N34" s="10" t="str">
        <f>[1]!ODFB1.406</f>
        <v xml:space="preserve"> -</v>
      </c>
      <c r="O34" s="10" t="str">
        <f>[1]!ODFB1.407</f>
        <v xml:space="preserve"> -</v>
      </c>
      <c r="P34" s="10" t="str">
        <f>[1]!ODFB1.431</f>
        <v>-</v>
      </c>
      <c r="Q34" s="10" t="str">
        <f>[1]!ODFB1.201</f>
        <v xml:space="preserve"> -</v>
      </c>
      <c r="R34" s="10" t="str">
        <f>[1]!ODFB1.202</f>
        <v xml:space="preserve"> -</v>
      </c>
      <c r="S34" s="10" t="str">
        <f>[1]!ODFB1.203</f>
        <v xml:space="preserve"> -</v>
      </c>
      <c r="T34" s="10" t="str">
        <f>[1]!ODFB1.204</f>
        <v xml:space="preserve"> -</v>
      </c>
      <c r="U34" s="10" t="str">
        <f>[1]!ODFB1.205</f>
        <v xml:space="preserve"> -</v>
      </c>
      <c r="V34" s="10" t="str">
        <f>[1]!ODFB1.211</f>
        <v xml:space="preserve"> -</v>
      </c>
      <c r="W34" s="10" t="str">
        <f>[1]!ODFB1.212</f>
        <v xml:space="preserve"> -</v>
      </c>
      <c r="X34" s="10" t="str">
        <f>[1]!ODFB1.213</f>
        <v xml:space="preserve"> -</v>
      </c>
      <c r="Y34" s="10" t="str">
        <f>[1]!ODFB1.214</f>
        <v xml:space="preserve"> -</v>
      </c>
      <c r="Z34" s="10" t="str">
        <f>[1]!ODFB1.215</f>
        <v xml:space="preserve"> -</v>
      </c>
      <c r="AA34" s="10" t="str">
        <f>[1]!ODFB1.221</f>
        <v>-</v>
      </c>
      <c r="AB34" s="10" t="str">
        <f>[1]!ODFB1.222</f>
        <v>-</v>
      </c>
      <c r="AC34" s="10" t="str">
        <f>[1]!ODFB1.223</f>
        <v>-</v>
      </c>
      <c r="AD34" s="10" t="str">
        <f>[1]!ODFB1.224</f>
        <v>-</v>
      </c>
      <c r="AE34" s="10" t="str">
        <f>[1]!ODFB1.225</f>
        <v>-</v>
      </c>
      <c r="AF34" s="10" t="str">
        <f>[1]!ODFB1.231</f>
        <v>-</v>
      </c>
      <c r="AG34" s="10" t="str">
        <f>[1]!ODFB1.232</f>
        <v>-</v>
      </c>
      <c r="AH34" s="10" t="str">
        <f>[1]!ODFB1.233</f>
        <v>-</v>
      </c>
      <c r="AI34" s="10" t="str">
        <f>[1]!ODFB1.234</f>
        <v>-</v>
      </c>
      <c r="AJ34" s="10" t="str">
        <f>[1]!ODFB1.235</f>
        <v>-</v>
      </c>
    </row>
    <row r="35" spans="1:36" s="10" customFormat="1" x14ac:dyDescent="0.25">
      <c r="A35" s="10" t="str">
        <f>"FQFB1"</f>
        <v>FQFB1</v>
      </c>
      <c r="B35" s="10" t="str">
        <f>[1]!FQFB1.402</f>
        <v>加權指數</v>
      </c>
      <c r="C35" s="10">
        <f>[1]!FQFB1.123</f>
        <v>100140</v>
      </c>
      <c r="D35" s="10">
        <f>[1]!FQFB1.124</f>
        <v>16428.68</v>
      </c>
      <c r="E35" s="10">
        <f>[1]!FQFB1.125</f>
        <v>-14.72</v>
      </c>
      <c r="F35" s="10">
        <f>[1]!FQFB1.128</f>
        <v>2686</v>
      </c>
      <c r="G35" s="10">
        <f>[1]!FQFB1.130</f>
        <v>16329.54</v>
      </c>
      <c r="H35" s="10">
        <f>[1]!FQFB1.131</f>
        <v>16456.939999999999</v>
      </c>
      <c r="I35" s="10">
        <f>[1]!FQFB1.132</f>
        <v>16329.54</v>
      </c>
      <c r="J35" s="10">
        <f>[1]!FQFB1.133</f>
        <v>4022793</v>
      </c>
      <c r="K35" s="10" t="str">
        <f>[1]!FQFB1.135</f>
        <v xml:space="preserve"> -</v>
      </c>
      <c r="L35" s="10" t="str">
        <f>[1]!FQFB1.136</f>
        <v xml:space="preserve"> -</v>
      </c>
      <c r="M35" s="10" t="str">
        <f>[1]!FQFB1.437</f>
        <v xml:space="preserve"> -</v>
      </c>
      <c r="N35" s="10" t="str">
        <f>[1]!FQFB1.406</f>
        <v xml:space="preserve"> -</v>
      </c>
      <c r="O35" s="10" t="str">
        <f>[1]!FQFB1.407</f>
        <v xml:space="preserve"> -</v>
      </c>
      <c r="P35" s="10" t="str">
        <f>[1]!FQFB1.431</f>
        <v>-</v>
      </c>
      <c r="Q35" s="10" t="str">
        <f>[1]!FQFB1.201</f>
        <v xml:space="preserve"> -</v>
      </c>
      <c r="R35" s="10" t="str">
        <f>[1]!FQFB1.202</f>
        <v xml:space="preserve"> -</v>
      </c>
      <c r="S35" s="10" t="str">
        <f>[1]!FQFB1.203</f>
        <v xml:space="preserve"> -</v>
      </c>
      <c r="T35" s="10" t="str">
        <f>[1]!FQFB1.204</f>
        <v xml:space="preserve"> -</v>
      </c>
      <c r="U35" s="10" t="str">
        <f>[1]!FQFB1.205</f>
        <v xml:space="preserve"> -</v>
      </c>
      <c r="V35" s="10" t="str">
        <f>[1]!FQFB1.211</f>
        <v xml:space="preserve"> -</v>
      </c>
      <c r="W35" s="10" t="str">
        <f>[1]!FQFB1.212</f>
        <v xml:space="preserve"> -</v>
      </c>
      <c r="X35" s="10" t="str">
        <f>[1]!FQFB1.213</f>
        <v xml:space="preserve"> -</v>
      </c>
      <c r="Y35" s="10" t="str">
        <f>[1]!FQFB1.214</f>
        <v xml:space="preserve"> -</v>
      </c>
      <c r="Z35" s="10" t="str">
        <f>[1]!FQFB1.215</f>
        <v xml:space="preserve"> -</v>
      </c>
      <c r="AA35" s="10" t="str">
        <f>[1]!FQFB1.221</f>
        <v>-</v>
      </c>
      <c r="AB35" s="10" t="str">
        <f>[1]!FQFB1.222</f>
        <v>-</v>
      </c>
      <c r="AC35" s="10" t="str">
        <f>[1]!FQFB1.223</f>
        <v>-</v>
      </c>
      <c r="AD35" s="10" t="str">
        <f>[1]!FQFB1.224</f>
        <v>-</v>
      </c>
      <c r="AE35" s="10" t="str">
        <f>[1]!FQFB1.225</f>
        <v>-</v>
      </c>
      <c r="AF35" s="10" t="str">
        <f>[1]!FQFB1.231</f>
        <v>-</v>
      </c>
      <c r="AG35" s="10" t="str">
        <f>[1]!FQFB1.232</f>
        <v>-</v>
      </c>
      <c r="AH35" s="10" t="str">
        <f>[1]!FQFB1.233</f>
        <v>-</v>
      </c>
      <c r="AI35" s="10" t="str">
        <f>[1]!FQFB1.234</f>
        <v>-</v>
      </c>
      <c r="AJ35" s="10" t="str">
        <f>[1]!FQFB1.235</f>
        <v>-</v>
      </c>
    </row>
    <row r="36" spans="1:36" s="10" customFormat="1" x14ac:dyDescent="0.25">
      <c r="A36" s="10" t="str">
        <f>"CCFB1"</f>
        <v>CCFB1</v>
      </c>
      <c r="B36" s="10" t="str">
        <f>[1]!CCFB1.402</f>
        <v>加權指數</v>
      </c>
      <c r="C36" s="10">
        <f>[1]!CCFB1.123</f>
        <v>100135</v>
      </c>
      <c r="D36" s="10">
        <f>[1]!CCFB1.124</f>
        <v>16424.64</v>
      </c>
      <c r="E36" s="10">
        <f>[1]!CCFB1.125</f>
        <v>-18.760000000000002</v>
      </c>
      <c r="F36" s="10">
        <f>[1]!CCFB1.128</f>
        <v>1648</v>
      </c>
      <c r="G36" s="10">
        <f>[1]!CCFB1.130</f>
        <v>16329.54</v>
      </c>
      <c r="H36" s="10">
        <f>[1]!CCFB1.131</f>
        <v>16456.939999999999</v>
      </c>
      <c r="I36" s="10">
        <f>[1]!CCFB1.132</f>
        <v>16329.54</v>
      </c>
      <c r="J36" s="10">
        <f>[1]!CCFB1.133</f>
        <v>4020107</v>
      </c>
      <c r="K36" s="10" t="str">
        <f>[1]!CCFB1.135</f>
        <v xml:space="preserve"> -</v>
      </c>
      <c r="L36" s="10" t="str">
        <f>[1]!CCFB1.136</f>
        <v xml:space="preserve"> -</v>
      </c>
      <c r="M36" s="10" t="str">
        <f>[1]!CCFB1.437</f>
        <v xml:space="preserve"> -</v>
      </c>
      <c r="N36" s="10" t="str">
        <f>[1]!CCFB1.406</f>
        <v xml:space="preserve"> -</v>
      </c>
      <c r="O36" s="10" t="str">
        <f>[1]!CCFB1.407</f>
        <v xml:space="preserve"> -</v>
      </c>
      <c r="P36" s="10" t="str">
        <f>[1]!CCFB1.431</f>
        <v>-</v>
      </c>
      <c r="Q36" s="10" t="str">
        <f>[1]!CCFB1.201</f>
        <v xml:space="preserve"> -</v>
      </c>
      <c r="R36" s="10" t="str">
        <f>[1]!CCFB1.202</f>
        <v xml:space="preserve"> -</v>
      </c>
      <c r="S36" s="10" t="str">
        <f>[1]!CCFB1.203</f>
        <v xml:space="preserve"> -</v>
      </c>
      <c r="T36" s="10" t="str">
        <f>[1]!CCFB1.204</f>
        <v xml:space="preserve"> -</v>
      </c>
      <c r="U36" s="10" t="str">
        <f>[1]!CCFB1.205</f>
        <v xml:space="preserve"> -</v>
      </c>
      <c r="V36" s="10" t="str">
        <f>[1]!CCFB1.211</f>
        <v xml:space="preserve"> -</v>
      </c>
      <c r="W36" s="10" t="str">
        <f>[1]!CCFB1.212</f>
        <v xml:space="preserve"> -</v>
      </c>
      <c r="X36" s="10" t="str">
        <f>[1]!CCFB1.213</f>
        <v xml:space="preserve"> -</v>
      </c>
      <c r="Y36" s="10" t="str">
        <f>[1]!CCFB1.214</f>
        <v xml:space="preserve"> -</v>
      </c>
      <c r="Z36" s="10" t="str">
        <f>[1]!CCFB1.215</f>
        <v xml:space="preserve"> -</v>
      </c>
      <c r="AA36" s="10" t="str">
        <f>[1]!CCFB1.221</f>
        <v>-</v>
      </c>
      <c r="AB36" s="10" t="str">
        <f>[1]!CCFB1.222</f>
        <v>-</v>
      </c>
      <c r="AC36" s="10" t="str">
        <f>[1]!CCFB1.223</f>
        <v>-</v>
      </c>
      <c r="AD36" s="10" t="str">
        <f>[1]!CCFB1.224</f>
        <v>-</v>
      </c>
      <c r="AE36" s="10" t="str">
        <f>[1]!CCFB1.225</f>
        <v>-</v>
      </c>
      <c r="AF36" s="10" t="str">
        <f>[1]!CCFB1.231</f>
        <v>-</v>
      </c>
      <c r="AG36" s="10" t="str">
        <f>[1]!CCFB1.232</f>
        <v>-</v>
      </c>
      <c r="AH36" s="10" t="str">
        <f>[1]!CCFB1.233</f>
        <v>-</v>
      </c>
      <c r="AI36" s="10" t="str">
        <f>[1]!CCFB1.234</f>
        <v>-</v>
      </c>
      <c r="AJ36" s="10" t="str">
        <f>[1]!CCFB1.235</f>
        <v>-</v>
      </c>
    </row>
    <row r="37" spans="1:36" s="10" customFormat="1" x14ac:dyDescent="0.25">
      <c r="A37" s="10" t="str">
        <f>"FRFB1"</f>
        <v>FRFB1</v>
      </c>
      <c r="B37" s="10" t="e">
        <f>[1]!FRFB1.402</f>
        <v>#N/A</v>
      </c>
      <c r="C37" s="10">
        <f>[1]!FRFB1.123</f>
        <v>0</v>
      </c>
      <c r="D37" s="10">
        <f>[1]!FRFB1.124</f>
        <v>20878632</v>
      </c>
      <c r="E37" s="10" t="str">
        <f>[1]!FRFB1.125</f>
        <v xml:space="preserve"> </v>
      </c>
      <c r="F37" s="10">
        <f>[1]!FRFB1.128</f>
        <v>1212870150</v>
      </c>
      <c r="G37" s="10">
        <f>[1]!FRFB1.130</f>
        <v>20803788</v>
      </c>
      <c r="H37" s="10">
        <f>[1]!FRFB1.131</f>
        <v>20804690</v>
      </c>
      <c r="I37" s="10">
        <f>[1]!FRFB1.132</f>
        <v>10989732</v>
      </c>
      <c r="J37" s="10">
        <f>[1]!FRFB1.133</f>
        <v>2088371110</v>
      </c>
      <c r="K37" s="10" t="str">
        <f>[1]!FRFB1.135</f>
        <v xml:space="preserve"> -</v>
      </c>
      <c r="L37" s="10" t="str">
        <f>[1]!FRFB1.136</f>
        <v xml:space="preserve"> -</v>
      </c>
      <c r="M37" s="10" t="str">
        <f>[1]!FRFB1.437</f>
        <v xml:space="preserve"> -</v>
      </c>
      <c r="N37" s="10" t="str">
        <f>[1]!FRFB1.406</f>
        <v xml:space="preserve"> -</v>
      </c>
      <c r="O37" s="10" t="str">
        <f>[1]!FRFB1.407</f>
        <v xml:space="preserve"> -</v>
      </c>
      <c r="P37" s="10" t="str">
        <f>[1]!FRFB1.431</f>
        <v>-</v>
      </c>
      <c r="Q37" s="10" t="str">
        <f>[1]!FRFB1.201</f>
        <v xml:space="preserve"> -</v>
      </c>
      <c r="R37" s="10" t="str">
        <f>[1]!FRFB1.202</f>
        <v xml:space="preserve"> -</v>
      </c>
      <c r="S37" s="10" t="str">
        <f>[1]!FRFB1.203</f>
        <v xml:space="preserve"> -</v>
      </c>
      <c r="T37" s="10" t="str">
        <f>[1]!FRFB1.204</f>
        <v xml:space="preserve"> -</v>
      </c>
      <c r="U37" s="10" t="str">
        <f>[1]!FRFB1.205</f>
        <v xml:space="preserve"> -</v>
      </c>
      <c r="V37" s="10" t="str">
        <f>[1]!FRFB1.211</f>
        <v xml:space="preserve"> -</v>
      </c>
      <c r="W37" s="10" t="str">
        <f>[1]!FRFB1.212</f>
        <v xml:space="preserve"> -</v>
      </c>
      <c r="X37" s="10" t="str">
        <f>[1]!FRFB1.213</f>
        <v xml:space="preserve"> -</v>
      </c>
      <c r="Y37" s="10" t="str">
        <f>[1]!FRFB1.214</f>
        <v xml:space="preserve"> -</v>
      </c>
      <c r="Z37" s="10" t="str">
        <f>[1]!FRFB1.215</f>
        <v xml:space="preserve"> -</v>
      </c>
      <c r="AA37" s="10" t="str">
        <f>[1]!FRFB1.221</f>
        <v>-</v>
      </c>
      <c r="AB37" s="10" t="str">
        <f>[1]!FRFB1.222</f>
        <v>-</v>
      </c>
      <c r="AC37" s="10" t="str">
        <f>[1]!FRFB1.223</f>
        <v>-</v>
      </c>
      <c r="AD37" s="10" t="str">
        <f>[1]!FRFB1.224</f>
        <v>-</v>
      </c>
      <c r="AE37" s="10" t="str">
        <f>[1]!FRFB1.225</f>
        <v>-</v>
      </c>
      <c r="AF37" s="10" t="str">
        <f>[1]!FRFB1.231</f>
        <v>-</v>
      </c>
      <c r="AG37" s="10" t="str">
        <f>[1]!FRFB1.232</f>
        <v>-</v>
      </c>
      <c r="AH37" s="10" t="str">
        <f>[1]!FRFB1.233</f>
        <v>-</v>
      </c>
      <c r="AI37" s="10" t="str">
        <f>[1]!FRFB1.234</f>
        <v>-</v>
      </c>
      <c r="AJ37" s="10" t="str">
        <f>[1]!FRFB1.235</f>
        <v>-</v>
      </c>
    </row>
    <row r="38" spans="1:36" s="10" customFormat="1" x14ac:dyDescent="0.25">
      <c r="A38" s="10" t="str">
        <f>"FTFB1"</f>
        <v>FTFB1</v>
      </c>
      <c r="B38" s="10" t="str">
        <f>[1]!FTFB1.402</f>
        <v>加權指數</v>
      </c>
      <c r="C38" s="10">
        <f>[1]!FTFB1.123</f>
        <v>100135</v>
      </c>
      <c r="D38" s="10">
        <f>[1]!FTFB1.124</f>
        <v>16424.64</v>
      </c>
      <c r="E38" s="10">
        <f>[1]!FTFB1.125</f>
        <v>-18.760000000000002</v>
      </c>
      <c r="F38" s="10">
        <f>[1]!FTFB1.128</f>
        <v>1648</v>
      </c>
      <c r="G38" s="10">
        <f>[1]!FTFB1.130</f>
        <v>16329.54</v>
      </c>
      <c r="H38" s="10">
        <f>[1]!FTFB1.131</f>
        <v>16456.939999999999</v>
      </c>
      <c r="I38" s="10">
        <f>[1]!FTFB1.132</f>
        <v>16329.54</v>
      </c>
      <c r="J38" s="10">
        <f>[1]!FTFB1.133</f>
        <v>4020107</v>
      </c>
      <c r="K38" s="10" t="str">
        <f>[1]!FTFB1.135</f>
        <v xml:space="preserve"> -</v>
      </c>
      <c r="L38" s="10" t="str">
        <f>[1]!FTFB1.136</f>
        <v xml:space="preserve"> -</v>
      </c>
      <c r="M38" s="10" t="str">
        <f>[1]!FTFB1.437</f>
        <v xml:space="preserve"> -</v>
      </c>
      <c r="N38" s="10" t="str">
        <f>[1]!FTFB1.406</f>
        <v xml:space="preserve"> -</v>
      </c>
      <c r="O38" s="10" t="str">
        <f>[1]!FTFB1.407</f>
        <v xml:space="preserve"> -</v>
      </c>
      <c r="P38" s="10" t="str">
        <f>[1]!FTFB1.431</f>
        <v>-</v>
      </c>
      <c r="Q38" s="10" t="str">
        <f>[1]!FTFB1.201</f>
        <v xml:space="preserve"> -</v>
      </c>
      <c r="R38" s="10" t="str">
        <f>[1]!FTFB1.202</f>
        <v xml:space="preserve"> -</v>
      </c>
      <c r="S38" s="10" t="str">
        <f>[1]!FTFB1.203</f>
        <v xml:space="preserve"> -</v>
      </c>
      <c r="T38" s="10" t="str">
        <f>[1]!FTFB1.204</f>
        <v xml:space="preserve"> -</v>
      </c>
      <c r="U38" s="10" t="str">
        <f>[1]!FTFB1.205</f>
        <v xml:space="preserve"> -</v>
      </c>
      <c r="V38" s="10" t="str">
        <f>[1]!FTFB1.211</f>
        <v xml:space="preserve"> -</v>
      </c>
      <c r="W38" s="10" t="str">
        <f>[1]!FTFB1.212</f>
        <v xml:space="preserve"> -</v>
      </c>
      <c r="X38" s="10" t="str">
        <f>[1]!FTFB1.213</f>
        <v xml:space="preserve"> -</v>
      </c>
      <c r="Y38" s="10" t="str">
        <f>[1]!FTFB1.214</f>
        <v xml:space="preserve"> -</v>
      </c>
      <c r="Z38" s="10" t="str">
        <f>[1]!FTFB1.215</f>
        <v xml:space="preserve"> -</v>
      </c>
      <c r="AA38" s="10" t="str">
        <f>[1]!FTFB1.221</f>
        <v>-</v>
      </c>
      <c r="AB38" s="10" t="str">
        <f>[1]!FTFB1.222</f>
        <v>-</v>
      </c>
      <c r="AC38" s="10" t="str">
        <f>[1]!FTFB1.223</f>
        <v>-</v>
      </c>
      <c r="AD38" s="10" t="str">
        <f>[1]!FTFB1.224</f>
        <v>-</v>
      </c>
      <c r="AE38" s="10" t="str">
        <f>[1]!FTFB1.225</f>
        <v>-</v>
      </c>
      <c r="AF38" s="10" t="str">
        <f>[1]!FTFB1.231</f>
        <v>-</v>
      </c>
      <c r="AG38" s="10" t="str">
        <f>[1]!FTFB1.232</f>
        <v>-</v>
      </c>
      <c r="AH38" s="10" t="str">
        <f>[1]!FTFB1.233</f>
        <v>-</v>
      </c>
      <c r="AI38" s="10" t="str">
        <f>[1]!FTFB1.234</f>
        <v>-</v>
      </c>
      <c r="AJ38" s="10" t="str">
        <f>[1]!FTFB1.235</f>
        <v>-</v>
      </c>
    </row>
    <row r="39" spans="1:36" s="10" customFormat="1" x14ac:dyDescent="0.25">
      <c r="A39" s="10" t="str">
        <f>"DHFB1"</f>
        <v>DHFB1</v>
      </c>
      <c r="B39" s="10" t="str">
        <f>[1]!DHFB1.402</f>
        <v>加權指數</v>
      </c>
      <c r="C39" s="10">
        <f>[1]!DHFB1.123</f>
        <v>100150</v>
      </c>
      <c r="D39" s="10">
        <f>[1]!DHFB1.124</f>
        <v>16421.62</v>
      </c>
      <c r="E39" s="10">
        <f>[1]!DHFB1.125</f>
        <v>-21.78</v>
      </c>
      <c r="F39" s="10">
        <f>[1]!DHFB1.128</f>
        <v>2439</v>
      </c>
      <c r="G39" s="10">
        <f>[1]!DHFB1.130</f>
        <v>16329.54</v>
      </c>
      <c r="H39" s="10">
        <f>[1]!DHFB1.131</f>
        <v>16456.939999999999</v>
      </c>
      <c r="I39" s="10">
        <f>[1]!DHFB1.132</f>
        <v>16329.54</v>
      </c>
      <c r="J39" s="10">
        <f>[1]!DHFB1.133</f>
        <v>4027056</v>
      </c>
      <c r="K39" s="10" t="str">
        <f>[1]!DHFB1.135</f>
        <v xml:space="preserve"> -</v>
      </c>
      <c r="L39" s="10" t="str">
        <f>[1]!DHFB1.136</f>
        <v xml:space="preserve"> -</v>
      </c>
      <c r="M39" s="10" t="str">
        <f>[1]!DHFB1.437</f>
        <v xml:space="preserve"> -</v>
      </c>
      <c r="N39" s="10" t="str">
        <f>[1]!DHFB1.406</f>
        <v xml:space="preserve"> -</v>
      </c>
      <c r="O39" s="10" t="str">
        <f>[1]!DHFB1.407</f>
        <v xml:space="preserve"> -</v>
      </c>
      <c r="P39" s="10" t="str">
        <f>[1]!DHFB1.431</f>
        <v>-</v>
      </c>
      <c r="Q39" s="10" t="str">
        <f>[1]!DHFB1.201</f>
        <v xml:space="preserve"> -</v>
      </c>
      <c r="R39" s="10" t="str">
        <f>[1]!DHFB1.202</f>
        <v xml:space="preserve"> -</v>
      </c>
      <c r="S39" s="10" t="str">
        <f>[1]!DHFB1.203</f>
        <v xml:space="preserve"> -</v>
      </c>
      <c r="T39" s="10" t="str">
        <f>[1]!DHFB1.204</f>
        <v xml:space="preserve"> -</v>
      </c>
      <c r="U39" s="10" t="str">
        <f>[1]!DHFB1.205</f>
        <v xml:space="preserve"> -</v>
      </c>
      <c r="V39" s="10" t="str">
        <f>[1]!DHFB1.211</f>
        <v xml:space="preserve"> -</v>
      </c>
      <c r="W39" s="10" t="str">
        <f>[1]!DHFB1.212</f>
        <v xml:space="preserve"> -</v>
      </c>
      <c r="X39" s="10" t="str">
        <f>[1]!DHFB1.213</f>
        <v xml:space="preserve"> -</v>
      </c>
      <c r="Y39" s="10" t="str">
        <f>[1]!DHFB1.214</f>
        <v xml:space="preserve"> -</v>
      </c>
      <c r="Z39" s="10" t="str">
        <f>[1]!DHFB1.215</f>
        <v xml:space="preserve"> -</v>
      </c>
      <c r="AA39" s="10" t="str">
        <f>[1]!DHFB1.221</f>
        <v>-</v>
      </c>
      <c r="AB39" s="10" t="str">
        <f>[1]!DHFB1.222</f>
        <v>-</v>
      </c>
      <c r="AC39" s="10" t="str">
        <f>[1]!DHFB1.223</f>
        <v>-</v>
      </c>
      <c r="AD39" s="10" t="str">
        <f>[1]!DHFB1.224</f>
        <v>-</v>
      </c>
      <c r="AE39" s="10" t="str">
        <f>[1]!DHFB1.225</f>
        <v>-</v>
      </c>
      <c r="AF39" s="10" t="str">
        <f>[1]!DHFB1.231</f>
        <v>-</v>
      </c>
      <c r="AG39" s="10" t="str">
        <f>[1]!DHFB1.232</f>
        <v>-</v>
      </c>
      <c r="AH39" s="10" t="str">
        <f>[1]!DHFB1.233</f>
        <v>-</v>
      </c>
      <c r="AI39" s="10" t="str">
        <f>[1]!DHFB1.234</f>
        <v>-</v>
      </c>
      <c r="AJ39" s="10" t="str">
        <f>[1]!DHFB1.235</f>
        <v>-</v>
      </c>
    </row>
    <row r="40" spans="1:36" s="10" customFormat="1" x14ac:dyDescent="0.25">
      <c r="A40" s="10" t="str">
        <f>"CUFB1"</f>
        <v>CUFB1</v>
      </c>
      <c r="B40" s="10" t="str">
        <f>[1]!CUFB1.402</f>
        <v>加權指數</v>
      </c>
      <c r="C40" s="10">
        <f>[1]!CUFB1.123</f>
        <v>100130</v>
      </c>
      <c r="D40" s="10">
        <f>[1]!CUFB1.124</f>
        <v>16422.080000000002</v>
      </c>
      <c r="E40" s="10">
        <f>[1]!CUFB1.125</f>
        <v>-21.32</v>
      </c>
      <c r="F40" s="10">
        <f>[1]!CUFB1.128</f>
        <v>3347</v>
      </c>
      <c r="G40" s="10">
        <f>[1]!CUFB1.130</f>
        <v>16329.54</v>
      </c>
      <c r="H40" s="10">
        <f>[1]!CUFB1.131</f>
        <v>16456.939999999999</v>
      </c>
      <c r="I40" s="10">
        <f>[1]!CUFB1.132</f>
        <v>16329.54</v>
      </c>
      <c r="J40" s="10">
        <f>[1]!CUFB1.133</f>
        <v>4018459</v>
      </c>
      <c r="K40" s="10" t="str">
        <f>[1]!CUFB1.135</f>
        <v xml:space="preserve"> -</v>
      </c>
      <c r="L40" s="10" t="str">
        <f>[1]!CUFB1.136</f>
        <v xml:space="preserve"> -</v>
      </c>
      <c r="M40" s="10" t="str">
        <f>[1]!CUFB1.437</f>
        <v xml:space="preserve"> -</v>
      </c>
      <c r="N40" s="10" t="str">
        <f>[1]!CUFB1.406</f>
        <v xml:space="preserve"> -</v>
      </c>
      <c r="O40" s="10" t="str">
        <f>[1]!CUFB1.407</f>
        <v xml:space="preserve"> -</v>
      </c>
      <c r="P40" s="10" t="str">
        <f>[1]!CUFB1.431</f>
        <v>-</v>
      </c>
      <c r="Q40" s="10" t="str">
        <f>[1]!CUFB1.201</f>
        <v xml:space="preserve"> -</v>
      </c>
      <c r="R40" s="10" t="str">
        <f>[1]!CUFB1.202</f>
        <v xml:space="preserve"> -</v>
      </c>
      <c r="S40" s="10" t="str">
        <f>[1]!CUFB1.203</f>
        <v xml:space="preserve"> -</v>
      </c>
      <c r="T40" s="10" t="str">
        <f>[1]!CUFB1.204</f>
        <v xml:space="preserve"> -</v>
      </c>
      <c r="U40" s="10" t="str">
        <f>[1]!CUFB1.205</f>
        <v xml:space="preserve"> -</v>
      </c>
      <c r="V40" s="10" t="str">
        <f>[1]!CUFB1.211</f>
        <v xml:space="preserve"> -</v>
      </c>
      <c r="W40" s="10" t="str">
        <f>[1]!CUFB1.212</f>
        <v xml:space="preserve"> -</v>
      </c>
      <c r="X40" s="10" t="str">
        <f>[1]!CUFB1.213</f>
        <v xml:space="preserve"> -</v>
      </c>
      <c r="Y40" s="10" t="str">
        <f>[1]!CUFB1.214</f>
        <v xml:space="preserve"> -</v>
      </c>
      <c r="Z40" s="10" t="str">
        <f>[1]!CUFB1.215</f>
        <v xml:space="preserve"> -</v>
      </c>
      <c r="AA40" s="10" t="str">
        <f>[1]!CUFB1.221</f>
        <v>-</v>
      </c>
      <c r="AB40" s="10" t="str">
        <f>[1]!CUFB1.222</f>
        <v>-</v>
      </c>
      <c r="AC40" s="10" t="str">
        <f>[1]!CUFB1.223</f>
        <v>-</v>
      </c>
      <c r="AD40" s="10" t="str">
        <f>[1]!CUFB1.224</f>
        <v>-</v>
      </c>
      <c r="AE40" s="10" t="str">
        <f>[1]!CUFB1.225</f>
        <v>-</v>
      </c>
      <c r="AF40" s="10" t="str">
        <f>[1]!CUFB1.231</f>
        <v>-</v>
      </c>
      <c r="AG40" s="10" t="str">
        <f>[1]!CUFB1.232</f>
        <v>-</v>
      </c>
      <c r="AH40" s="10" t="str">
        <f>[1]!CUFB1.233</f>
        <v>-</v>
      </c>
      <c r="AI40" s="10" t="str">
        <f>[1]!CUFB1.234</f>
        <v>-</v>
      </c>
      <c r="AJ40" s="10" t="str">
        <f>[1]!CUFB1.235</f>
        <v>-</v>
      </c>
    </row>
    <row r="41" spans="1:36" s="10" customFormat="1" x14ac:dyDescent="0.25">
      <c r="A41" s="10" t="str">
        <f>"CGFB1"</f>
        <v>CGFB1</v>
      </c>
      <c r="B41" s="10" t="str">
        <f>[1]!CGFB1.402</f>
        <v>加權指數</v>
      </c>
      <c r="C41" s="10">
        <f>[1]!CGFB1.123</f>
        <v>100150</v>
      </c>
      <c r="D41" s="10">
        <f>[1]!CGFB1.124</f>
        <v>16421.62</v>
      </c>
      <c r="E41" s="10">
        <f>[1]!CGFB1.125</f>
        <v>-21.78</v>
      </c>
      <c r="F41" s="10">
        <f>[1]!CGFB1.128</f>
        <v>2439</v>
      </c>
      <c r="G41" s="10">
        <f>[1]!CGFB1.130</f>
        <v>16329.54</v>
      </c>
      <c r="H41" s="10">
        <f>[1]!CGFB1.131</f>
        <v>16456.939999999999</v>
      </c>
      <c r="I41" s="10">
        <f>[1]!CGFB1.132</f>
        <v>16329.54</v>
      </c>
      <c r="J41" s="10">
        <f>[1]!CGFB1.133</f>
        <v>4027056</v>
      </c>
      <c r="K41" s="10" t="str">
        <f>[1]!CGFB1.135</f>
        <v xml:space="preserve"> -</v>
      </c>
      <c r="L41" s="10" t="str">
        <f>[1]!CGFB1.136</f>
        <v xml:space="preserve"> -</v>
      </c>
      <c r="M41" s="10" t="str">
        <f>[1]!CGFB1.437</f>
        <v xml:space="preserve"> -</v>
      </c>
      <c r="N41" s="10" t="str">
        <f>[1]!CGFB1.406</f>
        <v xml:space="preserve"> -</v>
      </c>
      <c r="O41" s="10" t="str">
        <f>[1]!CGFB1.407</f>
        <v xml:space="preserve"> -</v>
      </c>
      <c r="P41" s="10" t="str">
        <f>[1]!CGFB1.431</f>
        <v>-</v>
      </c>
      <c r="Q41" s="10" t="str">
        <f>[1]!CGFB1.201</f>
        <v xml:space="preserve"> -</v>
      </c>
      <c r="R41" s="10" t="str">
        <f>[1]!CGFB1.202</f>
        <v xml:space="preserve"> -</v>
      </c>
      <c r="S41" s="10" t="str">
        <f>[1]!CGFB1.203</f>
        <v xml:space="preserve"> -</v>
      </c>
      <c r="T41" s="10" t="str">
        <f>[1]!CGFB1.204</f>
        <v xml:space="preserve"> -</v>
      </c>
      <c r="U41" s="10" t="str">
        <f>[1]!CGFB1.205</f>
        <v xml:space="preserve"> -</v>
      </c>
      <c r="V41" s="10" t="str">
        <f>[1]!CGFB1.211</f>
        <v xml:space="preserve"> -</v>
      </c>
      <c r="W41" s="10" t="str">
        <f>[1]!CGFB1.212</f>
        <v xml:space="preserve"> -</v>
      </c>
      <c r="X41" s="10" t="str">
        <f>[1]!CGFB1.213</f>
        <v xml:space="preserve"> -</v>
      </c>
      <c r="Y41" s="10" t="str">
        <f>[1]!CGFB1.214</f>
        <v xml:space="preserve"> -</v>
      </c>
      <c r="Z41" s="10" t="str">
        <f>[1]!CGFB1.215</f>
        <v xml:space="preserve"> -</v>
      </c>
      <c r="AA41" s="10" t="str">
        <f>[1]!CGFB1.221</f>
        <v>-</v>
      </c>
      <c r="AB41" s="10" t="str">
        <f>[1]!CGFB1.222</f>
        <v>-</v>
      </c>
      <c r="AC41" s="10" t="str">
        <f>[1]!CGFB1.223</f>
        <v>-</v>
      </c>
      <c r="AD41" s="10" t="str">
        <f>[1]!CGFB1.224</f>
        <v>-</v>
      </c>
      <c r="AE41" s="10" t="str">
        <f>[1]!CGFB1.225</f>
        <v>-</v>
      </c>
      <c r="AF41" s="10" t="str">
        <f>[1]!CGFB1.231</f>
        <v>-</v>
      </c>
      <c r="AG41" s="10" t="str">
        <f>[1]!CGFB1.232</f>
        <v>-</v>
      </c>
      <c r="AH41" s="10" t="str">
        <f>[1]!CGFB1.233</f>
        <v>-</v>
      </c>
      <c r="AI41" s="10" t="str">
        <f>[1]!CGFB1.234</f>
        <v>-</v>
      </c>
      <c r="AJ41" s="10" t="str">
        <f>[1]!CGFB1.235</f>
        <v>-</v>
      </c>
    </row>
    <row r="42" spans="1:36" s="10" customFormat="1" x14ac:dyDescent="0.25">
      <c r="A42" s="10" t="str">
        <f>"LXFB1"</f>
        <v>LXFB1</v>
      </c>
      <c r="B42" s="10" t="str">
        <f>[1]!LXFB1.402</f>
        <v>加權指數</v>
      </c>
      <c r="C42" s="10">
        <f>[1]!LXFB1.123</f>
        <v>100140</v>
      </c>
      <c r="D42" s="10">
        <f>[1]!LXFB1.124</f>
        <v>16428.68</v>
      </c>
      <c r="E42" s="10">
        <f>[1]!LXFB1.125</f>
        <v>-14.72</v>
      </c>
      <c r="F42" s="10">
        <f>[1]!LXFB1.128</f>
        <v>2686</v>
      </c>
      <c r="G42" s="10">
        <f>[1]!LXFB1.130</f>
        <v>16329.54</v>
      </c>
      <c r="H42" s="10">
        <f>[1]!LXFB1.131</f>
        <v>16456.939999999999</v>
      </c>
      <c r="I42" s="10">
        <f>[1]!LXFB1.132</f>
        <v>16329.54</v>
      </c>
      <c r="J42" s="10">
        <f>[1]!LXFB1.133</f>
        <v>4022793</v>
      </c>
      <c r="K42" s="10" t="str">
        <f>[1]!LXFB1.135</f>
        <v xml:space="preserve"> -</v>
      </c>
      <c r="L42" s="10" t="str">
        <f>[1]!LXFB1.136</f>
        <v xml:space="preserve"> -</v>
      </c>
      <c r="M42" s="10" t="str">
        <f>[1]!LXFB1.437</f>
        <v xml:space="preserve"> -</v>
      </c>
      <c r="N42" s="10" t="str">
        <f>[1]!LXFB1.406</f>
        <v xml:space="preserve"> -</v>
      </c>
      <c r="O42" s="10" t="str">
        <f>[1]!LXFB1.407</f>
        <v xml:space="preserve"> -</v>
      </c>
      <c r="P42" s="10" t="str">
        <f>[1]!LXFB1.431</f>
        <v>-</v>
      </c>
      <c r="Q42" s="10" t="str">
        <f>[1]!LXFB1.201</f>
        <v xml:space="preserve"> -</v>
      </c>
      <c r="R42" s="10" t="str">
        <f>[1]!LXFB1.202</f>
        <v xml:space="preserve"> -</v>
      </c>
      <c r="S42" s="10" t="str">
        <f>[1]!LXFB1.203</f>
        <v xml:space="preserve"> -</v>
      </c>
      <c r="T42" s="10" t="str">
        <f>[1]!LXFB1.204</f>
        <v xml:space="preserve"> -</v>
      </c>
      <c r="U42" s="10" t="str">
        <f>[1]!LXFB1.205</f>
        <v xml:space="preserve"> -</v>
      </c>
      <c r="V42" s="10" t="str">
        <f>[1]!LXFB1.211</f>
        <v xml:space="preserve"> -</v>
      </c>
      <c r="W42" s="10" t="str">
        <f>[1]!LXFB1.212</f>
        <v xml:space="preserve"> -</v>
      </c>
      <c r="X42" s="10" t="str">
        <f>[1]!LXFB1.213</f>
        <v xml:space="preserve"> -</v>
      </c>
      <c r="Y42" s="10" t="str">
        <f>[1]!LXFB1.214</f>
        <v xml:space="preserve"> -</v>
      </c>
      <c r="Z42" s="10" t="str">
        <f>[1]!LXFB1.215</f>
        <v xml:space="preserve"> -</v>
      </c>
      <c r="AA42" s="10" t="str">
        <f>[1]!LXFB1.221</f>
        <v>-</v>
      </c>
      <c r="AB42" s="10" t="str">
        <f>[1]!LXFB1.222</f>
        <v>-</v>
      </c>
      <c r="AC42" s="10" t="str">
        <f>[1]!LXFB1.223</f>
        <v>-</v>
      </c>
      <c r="AD42" s="10" t="str">
        <f>[1]!LXFB1.224</f>
        <v>-</v>
      </c>
      <c r="AE42" s="10" t="str">
        <f>[1]!LXFB1.225</f>
        <v>-</v>
      </c>
      <c r="AF42" s="10" t="str">
        <f>[1]!LXFB1.231</f>
        <v>-</v>
      </c>
      <c r="AG42" s="10" t="str">
        <f>[1]!LXFB1.232</f>
        <v>-</v>
      </c>
      <c r="AH42" s="10" t="str">
        <f>[1]!LXFB1.233</f>
        <v>-</v>
      </c>
      <c r="AI42" s="10" t="str">
        <f>[1]!LXFB1.234</f>
        <v>-</v>
      </c>
      <c r="AJ42" s="10" t="str">
        <f>[1]!LXFB1.235</f>
        <v>-</v>
      </c>
    </row>
    <row r="43" spans="1:36" s="10" customFormat="1" x14ac:dyDescent="0.25">
      <c r="A43" s="10" t="str">
        <f>"QEFB1"</f>
        <v>QEFB1</v>
      </c>
      <c r="B43" s="10" t="str">
        <f>[1]!QEFB1.402</f>
        <v>加權指數</v>
      </c>
      <c r="C43" s="10">
        <f>[1]!QEFB1.123</f>
        <v>100145</v>
      </c>
      <c r="D43" s="10">
        <f>[1]!QEFB1.124</f>
        <v>16422.560000000001</v>
      </c>
      <c r="E43" s="10">
        <f>[1]!QEFB1.125</f>
        <v>-20.84</v>
      </c>
      <c r="F43" s="10">
        <f>[1]!QEFB1.128</f>
        <v>1824</v>
      </c>
      <c r="G43" s="10">
        <f>[1]!QEFB1.130</f>
        <v>16329.54</v>
      </c>
      <c r="H43" s="10">
        <f>[1]!QEFB1.131</f>
        <v>16456.939999999999</v>
      </c>
      <c r="I43" s="10">
        <f>[1]!QEFB1.132</f>
        <v>16329.54</v>
      </c>
      <c r="J43" s="10">
        <f>[1]!QEFB1.133</f>
        <v>4024617</v>
      </c>
      <c r="K43" s="10" t="str">
        <f>[1]!QEFB1.135</f>
        <v xml:space="preserve"> -</v>
      </c>
      <c r="L43" s="10" t="str">
        <f>[1]!QEFB1.136</f>
        <v xml:space="preserve"> -</v>
      </c>
      <c r="M43" s="10" t="str">
        <f>[1]!QEFB1.437</f>
        <v xml:space="preserve"> -</v>
      </c>
      <c r="N43" s="10" t="str">
        <f>[1]!QEFB1.406</f>
        <v xml:space="preserve"> -</v>
      </c>
      <c r="O43" s="10" t="str">
        <f>[1]!QEFB1.407</f>
        <v xml:space="preserve"> -</v>
      </c>
      <c r="P43" s="10" t="str">
        <f>[1]!QEFB1.431</f>
        <v>-</v>
      </c>
      <c r="Q43" s="10" t="str">
        <f>[1]!QEFB1.201</f>
        <v xml:space="preserve"> -</v>
      </c>
      <c r="R43" s="10" t="str">
        <f>[1]!QEFB1.202</f>
        <v xml:space="preserve"> -</v>
      </c>
      <c r="S43" s="10" t="str">
        <f>[1]!QEFB1.203</f>
        <v xml:space="preserve"> -</v>
      </c>
      <c r="T43" s="10" t="str">
        <f>[1]!QEFB1.204</f>
        <v xml:space="preserve"> -</v>
      </c>
      <c r="U43" s="10" t="str">
        <f>[1]!QEFB1.205</f>
        <v xml:space="preserve"> -</v>
      </c>
      <c r="V43" s="10" t="str">
        <f>[1]!QEFB1.211</f>
        <v xml:space="preserve"> -</v>
      </c>
      <c r="W43" s="10" t="str">
        <f>[1]!QEFB1.212</f>
        <v xml:space="preserve"> -</v>
      </c>
      <c r="X43" s="10" t="str">
        <f>[1]!QEFB1.213</f>
        <v xml:space="preserve"> -</v>
      </c>
      <c r="Y43" s="10" t="str">
        <f>[1]!QEFB1.214</f>
        <v xml:space="preserve"> -</v>
      </c>
      <c r="Z43" s="10" t="str">
        <f>[1]!QEFB1.215</f>
        <v xml:space="preserve"> -</v>
      </c>
      <c r="AA43" s="10" t="str">
        <f>[1]!QEFB1.221</f>
        <v>-</v>
      </c>
      <c r="AB43" s="10" t="str">
        <f>[1]!QEFB1.222</f>
        <v>-</v>
      </c>
      <c r="AC43" s="10" t="str">
        <f>[1]!QEFB1.223</f>
        <v>-</v>
      </c>
      <c r="AD43" s="10" t="str">
        <f>[1]!QEFB1.224</f>
        <v>-</v>
      </c>
      <c r="AE43" s="10" t="str">
        <f>[1]!QEFB1.225</f>
        <v>-</v>
      </c>
      <c r="AF43" s="10" t="str">
        <f>[1]!QEFB1.231</f>
        <v>-</v>
      </c>
      <c r="AG43" s="10" t="str">
        <f>[1]!QEFB1.232</f>
        <v>-</v>
      </c>
      <c r="AH43" s="10" t="str">
        <f>[1]!QEFB1.233</f>
        <v>-</v>
      </c>
      <c r="AI43" s="10" t="str">
        <f>[1]!QEFB1.234</f>
        <v>-</v>
      </c>
      <c r="AJ43" s="10" t="str">
        <f>[1]!QEFB1.235</f>
        <v>-</v>
      </c>
    </row>
    <row r="44" spans="1:36" s="10" customFormat="1" x14ac:dyDescent="0.25">
      <c r="A44" s="10" t="str">
        <f>"KWFB1"</f>
        <v>KWFB1</v>
      </c>
      <c r="B44" s="10" t="e">
        <f>[1]!KWFB1.402</f>
        <v>#N/A</v>
      </c>
      <c r="C44" s="10">
        <f>[1]!KWFB1.123</f>
        <v>0</v>
      </c>
      <c r="D44" s="10">
        <f>[1]!KWFB1.124</f>
        <v>20878632</v>
      </c>
      <c r="E44" s="10" t="str">
        <f>[1]!KWFB1.125</f>
        <v xml:space="preserve"> </v>
      </c>
      <c r="F44" s="10">
        <f>[1]!KWFB1.128</f>
        <v>1212870150</v>
      </c>
      <c r="G44" s="10">
        <f>[1]!KWFB1.130</f>
        <v>20803788</v>
      </c>
      <c r="H44" s="10">
        <f>[1]!KWFB1.131</f>
        <v>20804690</v>
      </c>
      <c r="I44" s="10">
        <f>[1]!KWFB1.132</f>
        <v>10989732</v>
      </c>
      <c r="J44" s="10">
        <f>[1]!KWFB1.133</f>
        <v>2088371110</v>
      </c>
      <c r="K44" s="10" t="str">
        <f>[1]!KWFB1.135</f>
        <v xml:space="preserve"> -</v>
      </c>
      <c r="L44" s="10" t="str">
        <f>[1]!KWFB1.136</f>
        <v xml:space="preserve"> -</v>
      </c>
      <c r="M44" s="10" t="str">
        <f>[1]!KWFB1.437</f>
        <v xml:space="preserve"> -</v>
      </c>
      <c r="N44" s="10" t="str">
        <f>[1]!KWFB1.406</f>
        <v xml:space="preserve"> -</v>
      </c>
      <c r="O44" s="10" t="str">
        <f>[1]!KWFB1.407</f>
        <v xml:space="preserve"> -</v>
      </c>
      <c r="P44" s="10" t="str">
        <f>[1]!KWFB1.431</f>
        <v>-</v>
      </c>
      <c r="Q44" s="10" t="str">
        <f>[1]!KWFB1.201</f>
        <v xml:space="preserve"> -</v>
      </c>
      <c r="R44" s="10" t="str">
        <f>[1]!KWFB1.202</f>
        <v xml:space="preserve"> -</v>
      </c>
      <c r="S44" s="10" t="str">
        <f>[1]!KWFB1.203</f>
        <v xml:space="preserve"> -</v>
      </c>
      <c r="T44" s="10" t="str">
        <f>[1]!KWFB1.204</f>
        <v xml:space="preserve"> -</v>
      </c>
      <c r="U44" s="10" t="str">
        <f>[1]!KWFB1.205</f>
        <v xml:space="preserve"> -</v>
      </c>
      <c r="V44" s="10" t="str">
        <f>[1]!KWFB1.211</f>
        <v xml:space="preserve"> -</v>
      </c>
      <c r="W44" s="10" t="str">
        <f>[1]!KWFB1.212</f>
        <v xml:space="preserve"> -</v>
      </c>
      <c r="X44" s="10" t="str">
        <f>[1]!KWFB1.213</f>
        <v xml:space="preserve"> -</v>
      </c>
      <c r="Y44" s="10" t="str">
        <f>[1]!KWFB1.214</f>
        <v xml:space="preserve"> -</v>
      </c>
      <c r="Z44" s="10" t="str">
        <f>[1]!KWFB1.215</f>
        <v xml:space="preserve"> -</v>
      </c>
      <c r="AA44" s="10" t="str">
        <f>[1]!KWFB1.221</f>
        <v>-</v>
      </c>
      <c r="AB44" s="10" t="str">
        <f>[1]!KWFB1.222</f>
        <v>-</v>
      </c>
      <c r="AC44" s="10" t="str">
        <f>[1]!KWFB1.223</f>
        <v>-</v>
      </c>
      <c r="AD44" s="10" t="str">
        <f>[1]!KWFB1.224</f>
        <v>-</v>
      </c>
      <c r="AE44" s="10" t="str">
        <f>[1]!KWFB1.225</f>
        <v>-</v>
      </c>
      <c r="AF44" s="10" t="str">
        <f>[1]!KWFB1.231</f>
        <v>-</v>
      </c>
      <c r="AG44" s="10" t="str">
        <f>[1]!KWFB1.232</f>
        <v>-</v>
      </c>
      <c r="AH44" s="10" t="str">
        <f>[1]!KWFB1.233</f>
        <v>-</v>
      </c>
      <c r="AI44" s="10" t="str">
        <f>[1]!KWFB1.234</f>
        <v>-</v>
      </c>
      <c r="AJ44" s="10" t="str">
        <f>[1]!KWFB1.235</f>
        <v>-</v>
      </c>
    </row>
    <row r="45" spans="1:36" s="10" customFormat="1" x14ac:dyDescent="0.25">
      <c r="A45" s="10" t="str">
        <f>"CDFB1"</f>
        <v>CDFB1</v>
      </c>
      <c r="B45" s="10" t="str">
        <f>[1]!CDFB1.402</f>
        <v>加權指數</v>
      </c>
      <c r="C45" s="10">
        <f>[1]!CDFB1.123</f>
        <v>100125</v>
      </c>
      <c r="D45" s="10">
        <f>[1]!CDFB1.124</f>
        <v>16429</v>
      </c>
      <c r="E45" s="10">
        <f>[1]!CDFB1.125</f>
        <v>-14.4</v>
      </c>
      <c r="F45" s="10">
        <f>[1]!CDFB1.128</f>
        <v>2036</v>
      </c>
      <c r="G45" s="10">
        <f>[1]!CDFB1.130</f>
        <v>16329.54</v>
      </c>
      <c r="H45" s="10">
        <f>[1]!CDFB1.131</f>
        <v>16456.939999999999</v>
      </c>
      <c r="I45" s="10">
        <f>[1]!CDFB1.132</f>
        <v>16329.54</v>
      </c>
      <c r="J45" s="10">
        <f>[1]!CDFB1.133</f>
        <v>4015112</v>
      </c>
      <c r="K45" s="10" t="str">
        <f>[1]!CDFB1.135</f>
        <v xml:space="preserve"> -</v>
      </c>
      <c r="L45" s="10" t="str">
        <f>[1]!CDFB1.136</f>
        <v xml:space="preserve"> -</v>
      </c>
      <c r="M45" s="10" t="str">
        <f>[1]!CDFB1.437</f>
        <v xml:space="preserve"> -</v>
      </c>
      <c r="N45" s="10" t="str">
        <f>[1]!CDFB1.406</f>
        <v xml:space="preserve"> -</v>
      </c>
      <c r="O45" s="10" t="str">
        <f>[1]!CDFB1.407</f>
        <v xml:space="preserve"> -</v>
      </c>
      <c r="P45" s="10" t="str">
        <f>[1]!CDFB1.431</f>
        <v>-</v>
      </c>
      <c r="Q45" s="10" t="str">
        <f>[1]!CDFB1.201</f>
        <v xml:space="preserve"> -</v>
      </c>
      <c r="R45" s="10" t="str">
        <f>[1]!CDFB1.202</f>
        <v xml:space="preserve"> -</v>
      </c>
      <c r="S45" s="10" t="str">
        <f>[1]!CDFB1.203</f>
        <v xml:space="preserve"> -</v>
      </c>
      <c r="T45" s="10" t="str">
        <f>[1]!CDFB1.204</f>
        <v xml:space="preserve"> -</v>
      </c>
      <c r="U45" s="10" t="str">
        <f>[1]!CDFB1.205</f>
        <v xml:space="preserve"> -</v>
      </c>
      <c r="V45" s="10" t="str">
        <f>[1]!CDFB1.211</f>
        <v xml:space="preserve"> -</v>
      </c>
      <c r="W45" s="10" t="str">
        <f>[1]!CDFB1.212</f>
        <v xml:space="preserve"> -</v>
      </c>
      <c r="X45" s="10" t="str">
        <f>[1]!CDFB1.213</f>
        <v xml:space="preserve"> -</v>
      </c>
      <c r="Y45" s="10" t="str">
        <f>[1]!CDFB1.214</f>
        <v xml:space="preserve"> -</v>
      </c>
      <c r="Z45" s="10" t="str">
        <f>[1]!CDFB1.215</f>
        <v xml:space="preserve"> -</v>
      </c>
      <c r="AA45" s="10" t="str">
        <f>[1]!CDFB1.221</f>
        <v>-</v>
      </c>
      <c r="AB45" s="10" t="str">
        <f>[1]!CDFB1.222</f>
        <v>-</v>
      </c>
      <c r="AC45" s="10" t="str">
        <f>[1]!CDFB1.223</f>
        <v>-</v>
      </c>
      <c r="AD45" s="10" t="str">
        <f>[1]!CDFB1.224</f>
        <v>-</v>
      </c>
      <c r="AE45" s="10" t="str">
        <f>[1]!CDFB1.225</f>
        <v>-</v>
      </c>
      <c r="AF45" s="10" t="str">
        <f>[1]!CDFB1.231</f>
        <v>-</v>
      </c>
      <c r="AG45" s="10" t="str">
        <f>[1]!CDFB1.232</f>
        <v>-</v>
      </c>
      <c r="AH45" s="10" t="str">
        <f>[1]!CDFB1.233</f>
        <v>-</v>
      </c>
      <c r="AI45" s="10" t="str">
        <f>[1]!CDFB1.234</f>
        <v>-</v>
      </c>
      <c r="AJ45" s="10" t="str">
        <f>[1]!CDFB1.235</f>
        <v>-</v>
      </c>
    </row>
    <row r="46" spans="1:36" s="10" customFormat="1" x14ac:dyDescent="0.25">
      <c r="A46" s="10" t="str">
        <f>"QFFB1"</f>
        <v>QFFB1</v>
      </c>
      <c r="B46" s="10" t="str">
        <f>[1]!QFFB1.402</f>
        <v>加權指數</v>
      </c>
      <c r="C46" s="10">
        <f>[1]!QFFB1.123</f>
        <v>100145</v>
      </c>
      <c r="D46" s="10">
        <f>[1]!QFFB1.124</f>
        <v>16422.560000000001</v>
      </c>
      <c r="E46" s="10">
        <f>[1]!QFFB1.125</f>
        <v>-20.84</v>
      </c>
      <c r="F46" s="10">
        <f>[1]!QFFB1.128</f>
        <v>1824</v>
      </c>
      <c r="G46" s="10">
        <f>[1]!QFFB1.130</f>
        <v>16329.54</v>
      </c>
      <c r="H46" s="10">
        <f>[1]!QFFB1.131</f>
        <v>16456.939999999999</v>
      </c>
      <c r="I46" s="10">
        <f>[1]!QFFB1.132</f>
        <v>16329.54</v>
      </c>
      <c r="J46" s="10">
        <f>[1]!QFFB1.133</f>
        <v>4024617</v>
      </c>
      <c r="K46" s="10" t="str">
        <f>[1]!QFFB1.135</f>
        <v xml:space="preserve"> -</v>
      </c>
      <c r="L46" s="10" t="str">
        <f>[1]!QFFB1.136</f>
        <v xml:space="preserve"> -</v>
      </c>
      <c r="M46" s="10" t="str">
        <f>[1]!QFFB1.437</f>
        <v xml:space="preserve"> -</v>
      </c>
      <c r="N46" s="10" t="str">
        <f>[1]!QFFB1.406</f>
        <v xml:space="preserve"> -</v>
      </c>
      <c r="O46" s="10" t="str">
        <f>[1]!QFFB1.407</f>
        <v xml:space="preserve"> -</v>
      </c>
      <c r="P46" s="10" t="str">
        <f>[1]!QFFB1.431</f>
        <v>-</v>
      </c>
      <c r="Q46" s="10" t="str">
        <f>[1]!QFFB1.201</f>
        <v xml:space="preserve"> -</v>
      </c>
      <c r="R46" s="10" t="str">
        <f>[1]!QFFB1.202</f>
        <v xml:space="preserve"> -</v>
      </c>
      <c r="S46" s="10" t="str">
        <f>[1]!QFFB1.203</f>
        <v xml:space="preserve"> -</v>
      </c>
      <c r="T46" s="10" t="str">
        <f>[1]!QFFB1.204</f>
        <v xml:space="preserve"> -</v>
      </c>
      <c r="U46" s="10" t="str">
        <f>[1]!QFFB1.205</f>
        <v xml:space="preserve"> -</v>
      </c>
      <c r="V46" s="10" t="str">
        <f>[1]!QFFB1.211</f>
        <v xml:space="preserve"> -</v>
      </c>
      <c r="W46" s="10" t="str">
        <f>[1]!QFFB1.212</f>
        <v xml:space="preserve"> -</v>
      </c>
      <c r="X46" s="10" t="str">
        <f>[1]!QFFB1.213</f>
        <v xml:space="preserve"> -</v>
      </c>
      <c r="Y46" s="10" t="str">
        <f>[1]!QFFB1.214</f>
        <v xml:space="preserve"> -</v>
      </c>
      <c r="Z46" s="10" t="str">
        <f>[1]!QFFB1.215</f>
        <v xml:space="preserve"> -</v>
      </c>
      <c r="AA46" s="10" t="str">
        <f>[1]!QFFB1.221</f>
        <v>-</v>
      </c>
      <c r="AB46" s="10" t="str">
        <f>[1]!QFFB1.222</f>
        <v>-</v>
      </c>
      <c r="AC46" s="10" t="str">
        <f>[1]!QFFB1.223</f>
        <v>-</v>
      </c>
      <c r="AD46" s="10" t="str">
        <f>[1]!QFFB1.224</f>
        <v>-</v>
      </c>
      <c r="AE46" s="10" t="str">
        <f>[1]!QFFB1.225</f>
        <v>-</v>
      </c>
      <c r="AF46" s="10" t="str">
        <f>[1]!QFFB1.231</f>
        <v>-</v>
      </c>
      <c r="AG46" s="10" t="str">
        <f>[1]!QFFB1.232</f>
        <v>-</v>
      </c>
      <c r="AH46" s="10" t="str">
        <f>[1]!QFFB1.233</f>
        <v>-</v>
      </c>
      <c r="AI46" s="10" t="str">
        <f>[1]!QFFB1.234</f>
        <v>-</v>
      </c>
      <c r="AJ46" s="10" t="str">
        <f>[1]!QFFB1.235</f>
        <v>-</v>
      </c>
    </row>
    <row r="47" spans="1:36" s="10" customFormat="1" x14ac:dyDescent="0.25">
      <c r="A47" s="10" t="str">
        <f>"FVFB1"</f>
        <v>FVFB1</v>
      </c>
      <c r="B47" s="10" t="str">
        <f>[1]!FVFB1.402</f>
        <v>加權指數</v>
      </c>
      <c r="C47" s="10">
        <f>[1]!FVFB1.123</f>
        <v>100135</v>
      </c>
      <c r="D47" s="10">
        <f>[1]!FVFB1.124</f>
        <v>16424.64</v>
      </c>
      <c r="E47" s="10">
        <f>[1]!FVFB1.125</f>
        <v>-18.760000000000002</v>
      </c>
      <c r="F47" s="10">
        <f>[1]!FVFB1.128</f>
        <v>1648</v>
      </c>
      <c r="G47" s="10">
        <f>[1]!FVFB1.130</f>
        <v>16329.54</v>
      </c>
      <c r="H47" s="10">
        <f>[1]!FVFB1.131</f>
        <v>16456.939999999999</v>
      </c>
      <c r="I47" s="10">
        <f>[1]!FVFB1.132</f>
        <v>16329.54</v>
      </c>
      <c r="J47" s="10">
        <f>[1]!FVFB1.133</f>
        <v>4020107</v>
      </c>
      <c r="K47" s="10" t="str">
        <f>[1]!FVFB1.135</f>
        <v xml:space="preserve"> -</v>
      </c>
      <c r="L47" s="10" t="str">
        <f>[1]!FVFB1.136</f>
        <v xml:space="preserve"> -</v>
      </c>
      <c r="M47" s="10" t="str">
        <f>[1]!FVFB1.437</f>
        <v xml:space="preserve"> -</v>
      </c>
      <c r="N47" s="10" t="str">
        <f>[1]!FVFB1.406</f>
        <v xml:space="preserve"> -</v>
      </c>
      <c r="O47" s="10" t="str">
        <f>[1]!FVFB1.407</f>
        <v xml:space="preserve"> -</v>
      </c>
      <c r="P47" s="10" t="str">
        <f>[1]!FVFB1.431</f>
        <v>-</v>
      </c>
      <c r="Q47" s="10" t="str">
        <f>[1]!FVFB1.201</f>
        <v xml:space="preserve"> -</v>
      </c>
      <c r="R47" s="10" t="str">
        <f>[1]!FVFB1.202</f>
        <v xml:space="preserve"> -</v>
      </c>
      <c r="S47" s="10" t="str">
        <f>[1]!FVFB1.203</f>
        <v xml:space="preserve"> -</v>
      </c>
      <c r="T47" s="10" t="str">
        <f>[1]!FVFB1.204</f>
        <v xml:space="preserve"> -</v>
      </c>
      <c r="U47" s="10" t="str">
        <f>[1]!FVFB1.205</f>
        <v xml:space="preserve"> -</v>
      </c>
      <c r="V47" s="10" t="str">
        <f>[1]!FVFB1.211</f>
        <v xml:space="preserve"> -</v>
      </c>
      <c r="W47" s="10" t="str">
        <f>[1]!FVFB1.212</f>
        <v xml:space="preserve"> -</v>
      </c>
      <c r="X47" s="10" t="str">
        <f>[1]!FVFB1.213</f>
        <v xml:space="preserve"> -</v>
      </c>
      <c r="Y47" s="10" t="str">
        <f>[1]!FVFB1.214</f>
        <v xml:space="preserve"> -</v>
      </c>
      <c r="Z47" s="10" t="str">
        <f>[1]!FVFB1.215</f>
        <v xml:space="preserve"> -</v>
      </c>
      <c r="AA47" s="10" t="str">
        <f>[1]!FVFB1.221</f>
        <v>-</v>
      </c>
      <c r="AB47" s="10" t="str">
        <f>[1]!FVFB1.222</f>
        <v>-</v>
      </c>
      <c r="AC47" s="10" t="str">
        <f>[1]!FVFB1.223</f>
        <v>-</v>
      </c>
      <c r="AD47" s="10" t="str">
        <f>[1]!FVFB1.224</f>
        <v>-</v>
      </c>
      <c r="AE47" s="10" t="str">
        <f>[1]!FVFB1.225</f>
        <v>-</v>
      </c>
      <c r="AF47" s="10" t="str">
        <f>[1]!FVFB1.231</f>
        <v>-</v>
      </c>
      <c r="AG47" s="10" t="str">
        <f>[1]!FVFB1.232</f>
        <v>-</v>
      </c>
      <c r="AH47" s="10" t="str">
        <f>[1]!FVFB1.233</f>
        <v>-</v>
      </c>
      <c r="AI47" s="10" t="str">
        <f>[1]!FVFB1.234</f>
        <v>-</v>
      </c>
      <c r="AJ47" s="10" t="str">
        <f>[1]!FVFB1.235</f>
        <v>-</v>
      </c>
    </row>
    <row r="48" spans="1:36" s="10" customFormat="1" x14ac:dyDescent="0.25">
      <c r="A48" s="10" t="str">
        <f>"FWFB1"</f>
        <v>FWFB1</v>
      </c>
      <c r="B48" s="10" t="str">
        <f>[1]!FWFB1.402</f>
        <v>不含金電</v>
      </c>
      <c r="C48" s="10">
        <f>[1]!FWFB1.123</f>
        <v>100135</v>
      </c>
      <c r="D48" s="10">
        <f>[1]!FWFB1.124</f>
        <v>13893.65</v>
      </c>
      <c r="E48" s="10">
        <f>[1]!FWFB1.125</f>
        <v>7.07</v>
      </c>
      <c r="F48" s="10">
        <f>[1]!FWFB1.128</f>
        <v>611</v>
      </c>
      <c r="G48" s="10">
        <f>[1]!FWFB1.130</f>
        <v>13893.03</v>
      </c>
      <c r="H48" s="10">
        <f>[1]!FWFB1.131</f>
        <v>13945.78</v>
      </c>
      <c r="I48" s="10">
        <f>[1]!FWFB1.132</f>
        <v>13875.82</v>
      </c>
      <c r="J48" s="10">
        <f>[1]!FWFB1.133</f>
        <v>871785</v>
      </c>
      <c r="K48" s="10" t="str">
        <f>[1]!FWFB1.135</f>
        <v xml:space="preserve"> -</v>
      </c>
      <c r="L48" s="10" t="str">
        <f>[1]!FWFB1.136</f>
        <v xml:space="preserve"> -</v>
      </c>
      <c r="M48" s="10" t="str">
        <f>[1]!FWFB1.437</f>
        <v xml:space="preserve"> -</v>
      </c>
      <c r="N48" s="10" t="str">
        <f>[1]!FWFB1.406</f>
        <v xml:space="preserve"> -</v>
      </c>
      <c r="O48" s="10" t="str">
        <f>[1]!FWFB1.407</f>
        <v xml:space="preserve"> -</v>
      </c>
      <c r="P48" s="10" t="str">
        <f>[1]!FWFB1.431</f>
        <v>-</v>
      </c>
      <c r="Q48" s="10" t="str">
        <f>[1]!FWFB1.201</f>
        <v xml:space="preserve"> -</v>
      </c>
      <c r="R48" s="10" t="str">
        <f>[1]!FWFB1.202</f>
        <v xml:space="preserve"> -</v>
      </c>
      <c r="S48" s="10" t="str">
        <f>[1]!FWFB1.203</f>
        <v xml:space="preserve"> -</v>
      </c>
      <c r="T48" s="10" t="str">
        <f>[1]!FWFB1.204</f>
        <v xml:space="preserve"> -</v>
      </c>
      <c r="U48" s="10" t="str">
        <f>[1]!FWFB1.205</f>
        <v xml:space="preserve"> -</v>
      </c>
      <c r="V48" s="10" t="str">
        <f>[1]!FWFB1.211</f>
        <v xml:space="preserve"> -</v>
      </c>
      <c r="W48" s="10" t="str">
        <f>[1]!FWFB1.212</f>
        <v xml:space="preserve"> -</v>
      </c>
      <c r="X48" s="10" t="str">
        <f>[1]!FWFB1.213</f>
        <v xml:space="preserve"> -</v>
      </c>
      <c r="Y48" s="10" t="str">
        <f>[1]!FWFB1.214</f>
        <v xml:space="preserve"> -</v>
      </c>
      <c r="Z48" s="10" t="str">
        <f>[1]!FWFB1.215</f>
        <v xml:space="preserve"> -</v>
      </c>
      <c r="AA48" s="10" t="str">
        <f>[1]!FWFB1.221</f>
        <v>-</v>
      </c>
      <c r="AB48" s="10" t="str">
        <f>[1]!FWFB1.222</f>
        <v>-</v>
      </c>
      <c r="AC48" s="10" t="str">
        <f>[1]!FWFB1.223</f>
        <v>-</v>
      </c>
      <c r="AD48" s="10" t="str">
        <f>[1]!FWFB1.224</f>
        <v>-</v>
      </c>
      <c r="AE48" s="10" t="str">
        <f>[1]!FWFB1.225</f>
        <v>-</v>
      </c>
      <c r="AF48" s="10" t="str">
        <f>[1]!FWFB1.231</f>
        <v>-</v>
      </c>
      <c r="AG48" s="10" t="str">
        <f>[1]!FWFB1.232</f>
        <v>-</v>
      </c>
      <c r="AH48" s="10" t="str">
        <f>[1]!FWFB1.233</f>
        <v>-</v>
      </c>
      <c r="AI48" s="10" t="str">
        <f>[1]!FWFB1.234</f>
        <v>-</v>
      </c>
      <c r="AJ48" s="10" t="str">
        <f>[1]!FWFB1.235</f>
        <v>-</v>
      </c>
    </row>
    <row r="49" spans="1:36" s="10" customFormat="1" x14ac:dyDescent="0.25">
      <c r="A49" s="10" t="str">
        <f>"DIFB1"</f>
        <v>DIFB1</v>
      </c>
      <c r="B49" s="10" t="str">
        <f>[1]!DIFB1.402</f>
        <v>加權指數</v>
      </c>
      <c r="C49" s="10">
        <f>[1]!DIFB1.123</f>
        <v>100150</v>
      </c>
      <c r="D49" s="10">
        <f>[1]!DIFB1.124</f>
        <v>16421.62</v>
      </c>
      <c r="E49" s="10">
        <f>[1]!DIFB1.125</f>
        <v>-21.78</v>
      </c>
      <c r="F49" s="10">
        <f>[1]!DIFB1.128</f>
        <v>2439</v>
      </c>
      <c r="G49" s="10">
        <f>[1]!DIFB1.130</f>
        <v>16329.54</v>
      </c>
      <c r="H49" s="10">
        <f>[1]!DIFB1.131</f>
        <v>16456.939999999999</v>
      </c>
      <c r="I49" s="10">
        <f>[1]!DIFB1.132</f>
        <v>16329.54</v>
      </c>
      <c r="J49" s="10">
        <f>[1]!DIFB1.133</f>
        <v>4027056</v>
      </c>
      <c r="K49" s="10" t="str">
        <f>[1]!DIFB1.135</f>
        <v xml:space="preserve"> -</v>
      </c>
      <c r="L49" s="10" t="str">
        <f>[1]!DIFB1.136</f>
        <v xml:space="preserve"> -</v>
      </c>
      <c r="M49" s="10" t="str">
        <f>[1]!DIFB1.437</f>
        <v xml:space="preserve"> -</v>
      </c>
      <c r="N49" s="10" t="str">
        <f>[1]!DIFB1.406</f>
        <v xml:space="preserve"> -</v>
      </c>
      <c r="O49" s="10" t="str">
        <f>[1]!DIFB1.407</f>
        <v xml:space="preserve"> -</v>
      </c>
      <c r="P49" s="10" t="str">
        <f>[1]!DIFB1.431</f>
        <v>-</v>
      </c>
      <c r="Q49" s="10" t="str">
        <f>[1]!DIFB1.201</f>
        <v xml:space="preserve"> -</v>
      </c>
      <c r="R49" s="10" t="str">
        <f>[1]!DIFB1.202</f>
        <v xml:space="preserve"> -</v>
      </c>
      <c r="S49" s="10" t="str">
        <f>[1]!DIFB1.203</f>
        <v xml:space="preserve"> -</v>
      </c>
      <c r="T49" s="10" t="str">
        <f>[1]!DIFB1.204</f>
        <v xml:space="preserve"> -</v>
      </c>
      <c r="U49" s="10" t="str">
        <f>[1]!DIFB1.205</f>
        <v xml:space="preserve"> -</v>
      </c>
      <c r="V49" s="10" t="str">
        <f>[1]!DIFB1.211</f>
        <v xml:space="preserve"> -</v>
      </c>
      <c r="W49" s="10" t="str">
        <f>[1]!DIFB1.212</f>
        <v xml:space="preserve"> -</v>
      </c>
      <c r="X49" s="10" t="str">
        <f>[1]!DIFB1.213</f>
        <v xml:space="preserve"> -</v>
      </c>
      <c r="Y49" s="10" t="str">
        <f>[1]!DIFB1.214</f>
        <v xml:space="preserve"> -</v>
      </c>
      <c r="Z49" s="10" t="str">
        <f>[1]!DIFB1.215</f>
        <v xml:space="preserve"> -</v>
      </c>
      <c r="AA49" s="10" t="str">
        <f>[1]!DIFB1.221</f>
        <v>-</v>
      </c>
      <c r="AB49" s="10" t="str">
        <f>[1]!DIFB1.222</f>
        <v>-</v>
      </c>
      <c r="AC49" s="10" t="str">
        <f>[1]!DIFB1.223</f>
        <v>-</v>
      </c>
      <c r="AD49" s="10" t="str">
        <f>[1]!DIFB1.224</f>
        <v>-</v>
      </c>
      <c r="AE49" s="10" t="str">
        <f>[1]!DIFB1.225</f>
        <v>-</v>
      </c>
      <c r="AF49" s="10" t="str">
        <f>[1]!DIFB1.231</f>
        <v>-</v>
      </c>
      <c r="AG49" s="10" t="str">
        <f>[1]!DIFB1.232</f>
        <v>-</v>
      </c>
      <c r="AH49" s="10" t="str">
        <f>[1]!DIFB1.233</f>
        <v>-</v>
      </c>
      <c r="AI49" s="10" t="str">
        <f>[1]!DIFB1.234</f>
        <v>-</v>
      </c>
      <c r="AJ49" s="10" t="str">
        <f>[1]!DIFB1.235</f>
        <v>-</v>
      </c>
    </row>
    <row r="50" spans="1:36" s="10" customFormat="1" x14ac:dyDescent="0.25">
      <c r="A50" s="10" t="str">
        <f>"FYFB1"</f>
        <v>FYFB1</v>
      </c>
      <c r="B50" s="10" t="str">
        <f>[1]!FYFB1.402</f>
        <v>不含金電</v>
      </c>
      <c r="C50" s="10">
        <f>[1]!FYFB1.123</f>
        <v>100130</v>
      </c>
      <c r="D50" s="10">
        <f>[1]!FYFB1.124</f>
        <v>13895.08</v>
      </c>
      <c r="E50" s="10">
        <f>[1]!FYFB1.125</f>
        <v>8.5</v>
      </c>
      <c r="F50" s="10">
        <f>[1]!FYFB1.128</f>
        <v>449</v>
      </c>
      <c r="G50" s="10">
        <f>[1]!FYFB1.130</f>
        <v>13893.03</v>
      </c>
      <c r="H50" s="10">
        <f>[1]!FYFB1.131</f>
        <v>13945.78</v>
      </c>
      <c r="I50" s="10">
        <f>[1]!FYFB1.132</f>
        <v>13875.82</v>
      </c>
      <c r="J50" s="10">
        <f>[1]!FYFB1.133</f>
        <v>871174</v>
      </c>
      <c r="K50" s="10" t="str">
        <f>[1]!FYFB1.135</f>
        <v xml:space="preserve"> -</v>
      </c>
      <c r="L50" s="10" t="str">
        <f>[1]!FYFB1.136</f>
        <v xml:space="preserve"> -</v>
      </c>
      <c r="M50" s="10" t="str">
        <f>[1]!FYFB1.437</f>
        <v xml:space="preserve"> -</v>
      </c>
      <c r="N50" s="10" t="str">
        <f>[1]!FYFB1.406</f>
        <v xml:space="preserve"> -</v>
      </c>
      <c r="O50" s="10" t="str">
        <f>[1]!FYFB1.407</f>
        <v xml:space="preserve"> -</v>
      </c>
      <c r="P50" s="10" t="str">
        <f>[1]!FYFB1.431</f>
        <v>-</v>
      </c>
      <c r="Q50" s="10" t="str">
        <f>[1]!FYFB1.201</f>
        <v xml:space="preserve"> -</v>
      </c>
      <c r="R50" s="10" t="str">
        <f>[1]!FYFB1.202</f>
        <v xml:space="preserve"> -</v>
      </c>
      <c r="S50" s="10" t="str">
        <f>[1]!FYFB1.203</f>
        <v xml:space="preserve"> -</v>
      </c>
      <c r="T50" s="10" t="str">
        <f>[1]!FYFB1.204</f>
        <v xml:space="preserve"> -</v>
      </c>
      <c r="U50" s="10" t="str">
        <f>[1]!FYFB1.205</f>
        <v xml:space="preserve"> -</v>
      </c>
      <c r="V50" s="10" t="str">
        <f>[1]!FYFB1.211</f>
        <v xml:space="preserve"> -</v>
      </c>
      <c r="W50" s="10" t="str">
        <f>[1]!FYFB1.212</f>
        <v xml:space="preserve"> -</v>
      </c>
      <c r="X50" s="10" t="str">
        <f>[1]!FYFB1.213</f>
        <v xml:space="preserve"> -</v>
      </c>
      <c r="Y50" s="10" t="str">
        <f>[1]!FYFB1.214</f>
        <v xml:space="preserve"> -</v>
      </c>
      <c r="Z50" s="10" t="str">
        <f>[1]!FYFB1.215</f>
        <v xml:space="preserve"> -</v>
      </c>
      <c r="AA50" s="10" t="str">
        <f>[1]!FYFB1.221</f>
        <v>-</v>
      </c>
      <c r="AB50" s="10" t="str">
        <f>[1]!FYFB1.222</f>
        <v>-</v>
      </c>
      <c r="AC50" s="10" t="str">
        <f>[1]!FYFB1.223</f>
        <v>-</v>
      </c>
      <c r="AD50" s="10" t="str">
        <f>[1]!FYFB1.224</f>
        <v>-</v>
      </c>
      <c r="AE50" s="10" t="str">
        <f>[1]!FYFB1.225</f>
        <v>-</v>
      </c>
      <c r="AF50" s="10" t="str">
        <f>[1]!FYFB1.231</f>
        <v>-</v>
      </c>
      <c r="AG50" s="10" t="str">
        <f>[1]!FYFB1.232</f>
        <v>-</v>
      </c>
      <c r="AH50" s="10" t="str">
        <f>[1]!FYFB1.233</f>
        <v>-</v>
      </c>
      <c r="AI50" s="10" t="str">
        <f>[1]!FYFB1.234</f>
        <v>-</v>
      </c>
      <c r="AJ50" s="10" t="str">
        <f>[1]!FYFB1.235</f>
        <v>-</v>
      </c>
    </row>
    <row r="51" spans="1:36" s="10" customFormat="1" x14ac:dyDescent="0.25">
      <c r="A51" s="10" t="str">
        <f>"FZFB1"</f>
        <v>FZFB1</v>
      </c>
      <c r="B51" s="10" t="str">
        <f>[1]!FZFB1.402</f>
        <v>加權指數</v>
      </c>
      <c r="C51" s="10">
        <f>[1]!FZFB1.123</f>
        <v>100150</v>
      </c>
      <c r="D51" s="10">
        <f>[1]!FZFB1.124</f>
        <v>16421.62</v>
      </c>
      <c r="E51" s="10">
        <f>[1]!FZFB1.125</f>
        <v>-21.78</v>
      </c>
      <c r="F51" s="10">
        <f>[1]!FZFB1.128</f>
        <v>2439</v>
      </c>
      <c r="G51" s="10">
        <f>[1]!FZFB1.130</f>
        <v>16329.54</v>
      </c>
      <c r="H51" s="10">
        <f>[1]!FZFB1.131</f>
        <v>16456.939999999999</v>
      </c>
      <c r="I51" s="10">
        <f>[1]!FZFB1.132</f>
        <v>16329.54</v>
      </c>
      <c r="J51" s="10">
        <f>[1]!FZFB1.133</f>
        <v>4027056</v>
      </c>
      <c r="K51" s="10" t="str">
        <f>[1]!FZFB1.135</f>
        <v xml:space="preserve"> -</v>
      </c>
      <c r="L51" s="10" t="str">
        <f>[1]!FZFB1.136</f>
        <v xml:space="preserve"> -</v>
      </c>
      <c r="M51" s="10" t="str">
        <f>[1]!FZFB1.437</f>
        <v xml:space="preserve"> -</v>
      </c>
      <c r="N51" s="10" t="str">
        <f>[1]!FZFB1.406</f>
        <v xml:space="preserve"> -</v>
      </c>
      <c r="O51" s="10" t="str">
        <f>[1]!FZFB1.407</f>
        <v xml:space="preserve"> -</v>
      </c>
      <c r="P51" s="10" t="str">
        <f>[1]!FZFB1.431</f>
        <v>-</v>
      </c>
      <c r="Q51" s="10" t="str">
        <f>[1]!FZFB1.201</f>
        <v xml:space="preserve"> -</v>
      </c>
      <c r="R51" s="10" t="str">
        <f>[1]!FZFB1.202</f>
        <v xml:space="preserve"> -</v>
      </c>
      <c r="S51" s="10" t="str">
        <f>[1]!FZFB1.203</f>
        <v xml:space="preserve"> -</v>
      </c>
      <c r="T51" s="10" t="str">
        <f>[1]!FZFB1.204</f>
        <v xml:space="preserve"> -</v>
      </c>
      <c r="U51" s="10" t="str">
        <f>[1]!FZFB1.205</f>
        <v xml:space="preserve"> -</v>
      </c>
      <c r="V51" s="10" t="str">
        <f>[1]!FZFB1.211</f>
        <v xml:space="preserve"> -</v>
      </c>
      <c r="W51" s="10" t="str">
        <f>[1]!FZFB1.212</f>
        <v xml:space="preserve"> -</v>
      </c>
      <c r="X51" s="10" t="str">
        <f>[1]!FZFB1.213</f>
        <v xml:space="preserve"> -</v>
      </c>
      <c r="Y51" s="10" t="str">
        <f>[1]!FZFB1.214</f>
        <v xml:space="preserve"> -</v>
      </c>
      <c r="Z51" s="10" t="str">
        <f>[1]!FZFB1.215</f>
        <v xml:space="preserve"> -</v>
      </c>
      <c r="AA51" s="10" t="str">
        <f>[1]!FZFB1.221</f>
        <v>-</v>
      </c>
      <c r="AB51" s="10" t="str">
        <f>[1]!FZFB1.222</f>
        <v>-</v>
      </c>
      <c r="AC51" s="10" t="str">
        <f>[1]!FZFB1.223</f>
        <v>-</v>
      </c>
      <c r="AD51" s="10" t="str">
        <f>[1]!FZFB1.224</f>
        <v>-</v>
      </c>
      <c r="AE51" s="10" t="str">
        <f>[1]!FZFB1.225</f>
        <v>-</v>
      </c>
      <c r="AF51" s="10" t="str">
        <f>[1]!FZFB1.231</f>
        <v>-</v>
      </c>
      <c r="AG51" s="10" t="str">
        <f>[1]!FZFB1.232</f>
        <v>-</v>
      </c>
      <c r="AH51" s="10" t="str">
        <f>[1]!FZFB1.233</f>
        <v>-</v>
      </c>
      <c r="AI51" s="10" t="str">
        <f>[1]!FZFB1.234</f>
        <v>-</v>
      </c>
      <c r="AJ51" s="10" t="str">
        <f>[1]!FZFB1.235</f>
        <v>-</v>
      </c>
    </row>
    <row r="52" spans="1:36" s="10" customFormat="1" x14ac:dyDescent="0.25">
      <c r="A52" s="10" t="str">
        <f>"OPFB1"</f>
        <v>OPFB1</v>
      </c>
      <c r="B52" s="10" t="str">
        <f>[1]!OPFB1.402</f>
        <v>加權指數</v>
      </c>
      <c r="C52" s="10">
        <f>[1]!OPFB1.123</f>
        <v>100130</v>
      </c>
      <c r="D52" s="10">
        <f>[1]!OPFB1.124</f>
        <v>16422.080000000002</v>
      </c>
      <c r="E52" s="10">
        <f>[1]!OPFB1.125</f>
        <v>-21.32</v>
      </c>
      <c r="F52" s="10">
        <f>[1]!OPFB1.128</f>
        <v>3347</v>
      </c>
      <c r="G52" s="10">
        <f>[1]!OPFB1.130</f>
        <v>16329.54</v>
      </c>
      <c r="H52" s="10">
        <f>[1]!OPFB1.131</f>
        <v>16456.939999999999</v>
      </c>
      <c r="I52" s="10">
        <f>[1]!OPFB1.132</f>
        <v>16329.54</v>
      </c>
      <c r="J52" s="10">
        <f>[1]!OPFB1.133</f>
        <v>4018459</v>
      </c>
      <c r="K52" s="10" t="str">
        <f>[1]!OPFB1.135</f>
        <v xml:space="preserve"> -</v>
      </c>
      <c r="L52" s="10" t="str">
        <f>[1]!OPFB1.136</f>
        <v xml:space="preserve"> -</v>
      </c>
      <c r="M52" s="10" t="str">
        <f>[1]!OPFB1.437</f>
        <v xml:space="preserve"> -</v>
      </c>
      <c r="N52" s="10" t="str">
        <f>[1]!OPFB1.406</f>
        <v xml:space="preserve"> -</v>
      </c>
      <c r="O52" s="10" t="str">
        <f>[1]!OPFB1.407</f>
        <v xml:space="preserve"> -</v>
      </c>
      <c r="P52" s="10" t="str">
        <f>[1]!OPFB1.431</f>
        <v>-</v>
      </c>
      <c r="Q52" s="10" t="str">
        <f>[1]!OPFB1.201</f>
        <v xml:space="preserve"> -</v>
      </c>
      <c r="R52" s="10" t="str">
        <f>[1]!OPFB1.202</f>
        <v xml:space="preserve"> -</v>
      </c>
      <c r="S52" s="10" t="str">
        <f>[1]!OPFB1.203</f>
        <v xml:space="preserve"> -</v>
      </c>
      <c r="T52" s="10" t="str">
        <f>[1]!OPFB1.204</f>
        <v xml:space="preserve"> -</v>
      </c>
      <c r="U52" s="10" t="str">
        <f>[1]!OPFB1.205</f>
        <v xml:space="preserve"> -</v>
      </c>
      <c r="V52" s="10" t="str">
        <f>[1]!OPFB1.211</f>
        <v xml:space="preserve"> -</v>
      </c>
      <c r="W52" s="10" t="str">
        <f>[1]!OPFB1.212</f>
        <v xml:space="preserve"> -</v>
      </c>
      <c r="X52" s="10" t="str">
        <f>[1]!OPFB1.213</f>
        <v xml:space="preserve"> -</v>
      </c>
      <c r="Y52" s="10" t="str">
        <f>[1]!OPFB1.214</f>
        <v xml:space="preserve"> -</v>
      </c>
      <c r="Z52" s="10" t="str">
        <f>[1]!OPFB1.215</f>
        <v xml:space="preserve"> -</v>
      </c>
      <c r="AA52" s="10" t="str">
        <f>[1]!OPFB1.221</f>
        <v>-</v>
      </c>
      <c r="AB52" s="10" t="str">
        <f>[1]!OPFB1.222</f>
        <v>-</v>
      </c>
      <c r="AC52" s="10" t="str">
        <f>[1]!OPFB1.223</f>
        <v>-</v>
      </c>
      <c r="AD52" s="10" t="str">
        <f>[1]!OPFB1.224</f>
        <v>-</v>
      </c>
      <c r="AE52" s="10" t="str">
        <f>[1]!OPFB1.225</f>
        <v>-</v>
      </c>
      <c r="AF52" s="10" t="str">
        <f>[1]!OPFB1.231</f>
        <v>-</v>
      </c>
      <c r="AG52" s="10" t="str">
        <f>[1]!OPFB1.232</f>
        <v>-</v>
      </c>
      <c r="AH52" s="10" t="str">
        <f>[1]!OPFB1.233</f>
        <v>-</v>
      </c>
      <c r="AI52" s="10" t="str">
        <f>[1]!OPFB1.234</f>
        <v>-</v>
      </c>
      <c r="AJ52" s="10" t="str">
        <f>[1]!OPFB1.235</f>
        <v>-</v>
      </c>
    </row>
    <row r="53" spans="1:36" s="10" customFormat="1" x14ac:dyDescent="0.25">
      <c r="A53" s="10" t="str">
        <f>"GAFB1"</f>
        <v>GAFB1</v>
      </c>
      <c r="B53" s="10" t="str">
        <f>[1]!GAFB1.402</f>
        <v>加權指數</v>
      </c>
      <c r="C53" s="10">
        <f>[1]!GAFB1.123</f>
        <v>100140</v>
      </c>
      <c r="D53" s="10">
        <f>[1]!GAFB1.124</f>
        <v>16428.68</v>
      </c>
      <c r="E53" s="10">
        <f>[1]!GAFB1.125</f>
        <v>-14.72</v>
      </c>
      <c r="F53" s="10">
        <f>[1]!GAFB1.128</f>
        <v>2686</v>
      </c>
      <c r="G53" s="10">
        <f>[1]!GAFB1.130</f>
        <v>16329.54</v>
      </c>
      <c r="H53" s="10">
        <f>[1]!GAFB1.131</f>
        <v>16456.939999999999</v>
      </c>
      <c r="I53" s="10">
        <f>[1]!GAFB1.132</f>
        <v>16329.54</v>
      </c>
      <c r="J53" s="10">
        <f>[1]!GAFB1.133</f>
        <v>4022793</v>
      </c>
      <c r="K53" s="10" t="str">
        <f>[1]!GAFB1.135</f>
        <v xml:space="preserve"> -</v>
      </c>
      <c r="L53" s="10" t="str">
        <f>[1]!GAFB1.136</f>
        <v xml:space="preserve"> -</v>
      </c>
      <c r="M53" s="10" t="str">
        <f>[1]!GAFB1.437</f>
        <v xml:space="preserve"> -</v>
      </c>
      <c r="N53" s="10" t="str">
        <f>[1]!GAFB1.406</f>
        <v xml:space="preserve"> -</v>
      </c>
      <c r="O53" s="10" t="str">
        <f>[1]!GAFB1.407</f>
        <v xml:space="preserve"> -</v>
      </c>
      <c r="P53" s="10" t="str">
        <f>[1]!GAFB1.431</f>
        <v>-</v>
      </c>
      <c r="Q53" s="10" t="str">
        <f>[1]!GAFB1.201</f>
        <v xml:space="preserve"> -</v>
      </c>
      <c r="R53" s="10" t="str">
        <f>[1]!GAFB1.202</f>
        <v xml:space="preserve"> -</v>
      </c>
      <c r="S53" s="10" t="str">
        <f>[1]!GAFB1.203</f>
        <v xml:space="preserve"> -</v>
      </c>
      <c r="T53" s="10" t="str">
        <f>[1]!GAFB1.204</f>
        <v xml:space="preserve"> -</v>
      </c>
      <c r="U53" s="10" t="str">
        <f>[1]!GAFB1.205</f>
        <v xml:space="preserve"> -</v>
      </c>
      <c r="V53" s="10" t="str">
        <f>[1]!GAFB1.211</f>
        <v xml:space="preserve"> -</v>
      </c>
      <c r="W53" s="10" t="str">
        <f>[1]!GAFB1.212</f>
        <v xml:space="preserve"> -</v>
      </c>
      <c r="X53" s="10" t="str">
        <f>[1]!GAFB1.213</f>
        <v xml:space="preserve"> -</v>
      </c>
      <c r="Y53" s="10" t="str">
        <f>[1]!GAFB1.214</f>
        <v xml:space="preserve"> -</v>
      </c>
      <c r="Z53" s="10" t="str">
        <f>[1]!GAFB1.215</f>
        <v xml:space="preserve"> -</v>
      </c>
      <c r="AA53" s="10" t="str">
        <f>[1]!GAFB1.221</f>
        <v>-</v>
      </c>
      <c r="AB53" s="10" t="str">
        <f>[1]!GAFB1.222</f>
        <v>-</v>
      </c>
      <c r="AC53" s="10" t="str">
        <f>[1]!GAFB1.223</f>
        <v>-</v>
      </c>
      <c r="AD53" s="10" t="str">
        <f>[1]!GAFB1.224</f>
        <v>-</v>
      </c>
      <c r="AE53" s="10" t="str">
        <f>[1]!GAFB1.225</f>
        <v>-</v>
      </c>
      <c r="AF53" s="10" t="str">
        <f>[1]!GAFB1.231</f>
        <v>-</v>
      </c>
      <c r="AG53" s="10" t="str">
        <f>[1]!GAFB1.232</f>
        <v>-</v>
      </c>
      <c r="AH53" s="10" t="str">
        <f>[1]!GAFB1.233</f>
        <v>-</v>
      </c>
      <c r="AI53" s="10" t="str">
        <f>[1]!GAFB1.234</f>
        <v>-</v>
      </c>
      <c r="AJ53" s="10" t="str">
        <f>[1]!GAFB1.235</f>
        <v>-</v>
      </c>
    </row>
    <row r="54" spans="1:36" s="10" customFormat="1" x14ac:dyDescent="0.25">
      <c r="A54" s="10" t="str">
        <f>"CWFB1"</f>
        <v>CWFB1</v>
      </c>
      <c r="B54" s="10" t="e">
        <f>[1]!CWFB1.402</f>
        <v>#N/A</v>
      </c>
      <c r="C54" s="10">
        <f>[1]!CWFB1.123</f>
        <v>0</v>
      </c>
      <c r="D54" s="10">
        <f>[1]!CWFB1.124</f>
        <v>20878632</v>
      </c>
      <c r="E54" s="10" t="str">
        <f>[1]!CWFB1.125</f>
        <v xml:space="preserve"> </v>
      </c>
      <c r="F54" s="10">
        <f>[1]!CWFB1.128</f>
        <v>1212870150</v>
      </c>
      <c r="G54" s="10">
        <f>[1]!CWFB1.130</f>
        <v>20803788</v>
      </c>
      <c r="H54" s="10">
        <f>[1]!CWFB1.131</f>
        <v>20804690</v>
      </c>
      <c r="I54" s="10">
        <f>[1]!CWFB1.132</f>
        <v>10989732</v>
      </c>
      <c r="J54" s="10">
        <f>[1]!CWFB1.133</f>
        <v>2088371110</v>
      </c>
      <c r="K54" s="10" t="str">
        <f>[1]!CWFB1.135</f>
        <v xml:space="preserve"> -</v>
      </c>
      <c r="L54" s="10" t="str">
        <f>[1]!CWFB1.136</f>
        <v xml:space="preserve"> -</v>
      </c>
      <c r="M54" s="10" t="str">
        <f>[1]!CWFB1.437</f>
        <v xml:space="preserve"> -</v>
      </c>
      <c r="N54" s="10" t="str">
        <f>[1]!CWFB1.406</f>
        <v xml:space="preserve"> -</v>
      </c>
      <c r="O54" s="10" t="str">
        <f>[1]!CWFB1.407</f>
        <v xml:space="preserve"> -</v>
      </c>
      <c r="P54" s="10" t="str">
        <f>[1]!CWFB1.431</f>
        <v>-</v>
      </c>
      <c r="Q54" s="10" t="str">
        <f>[1]!CWFB1.201</f>
        <v xml:space="preserve"> -</v>
      </c>
      <c r="R54" s="10" t="str">
        <f>[1]!CWFB1.202</f>
        <v xml:space="preserve"> -</v>
      </c>
      <c r="S54" s="10" t="str">
        <f>[1]!CWFB1.203</f>
        <v xml:space="preserve"> -</v>
      </c>
      <c r="T54" s="10" t="str">
        <f>[1]!CWFB1.204</f>
        <v xml:space="preserve"> -</v>
      </c>
      <c r="U54" s="10" t="str">
        <f>[1]!CWFB1.205</f>
        <v xml:space="preserve"> -</v>
      </c>
      <c r="V54" s="10" t="str">
        <f>[1]!CWFB1.211</f>
        <v xml:space="preserve"> -</v>
      </c>
      <c r="W54" s="10" t="str">
        <f>[1]!CWFB1.212</f>
        <v xml:space="preserve"> -</v>
      </c>
      <c r="X54" s="10" t="str">
        <f>[1]!CWFB1.213</f>
        <v xml:space="preserve"> -</v>
      </c>
      <c r="Y54" s="10" t="str">
        <f>[1]!CWFB1.214</f>
        <v xml:space="preserve"> -</v>
      </c>
      <c r="Z54" s="10" t="str">
        <f>[1]!CWFB1.215</f>
        <v xml:space="preserve"> -</v>
      </c>
      <c r="AA54" s="10" t="str">
        <f>[1]!CWFB1.221</f>
        <v>-</v>
      </c>
      <c r="AB54" s="10" t="str">
        <f>[1]!CWFB1.222</f>
        <v>-</v>
      </c>
      <c r="AC54" s="10" t="str">
        <f>[1]!CWFB1.223</f>
        <v>-</v>
      </c>
      <c r="AD54" s="10" t="str">
        <f>[1]!CWFB1.224</f>
        <v>-</v>
      </c>
      <c r="AE54" s="10" t="str">
        <f>[1]!CWFB1.225</f>
        <v>-</v>
      </c>
      <c r="AF54" s="10" t="str">
        <f>[1]!CWFB1.231</f>
        <v>-</v>
      </c>
      <c r="AG54" s="10" t="str">
        <f>[1]!CWFB1.232</f>
        <v>-</v>
      </c>
      <c r="AH54" s="10" t="str">
        <f>[1]!CWFB1.233</f>
        <v>-</v>
      </c>
      <c r="AI54" s="10" t="str">
        <f>[1]!CWFB1.234</f>
        <v>-</v>
      </c>
      <c r="AJ54" s="10" t="str">
        <f>[1]!CWFB1.235</f>
        <v>-</v>
      </c>
    </row>
    <row r="55" spans="1:36" s="10" customFormat="1" x14ac:dyDescent="0.25">
      <c r="A55" s="10" t="str">
        <f>"DSFB1"</f>
        <v>DSFB1</v>
      </c>
      <c r="B55" s="10" t="str">
        <f>[1]!DSFB1.402</f>
        <v>不含金電</v>
      </c>
      <c r="C55" s="10">
        <f>[1]!DSFB1.123</f>
        <v>100135</v>
      </c>
      <c r="D55" s="10">
        <f>[1]!DSFB1.124</f>
        <v>13893.65</v>
      </c>
      <c r="E55" s="10">
        <f>[1]!DSFB1.125</f>
        <v>7.07</v>
      </c>
      <c r="F55" s="10">
        <f>[1]!DSFB1.128</f>
        <v>611</v>
      </c>
      <c r="G55" s="10">
        <f>[1]!DSFB1.130</f>
        <v>13893.03</v>
      </c>
      <c r="H55" s="10">
        <f>[1]!DSFB1.131</f>
        <v>13945.78</v>
      </c>
      <c r="I55" s="10">
        <f>[1]!DSFB1.132</f>
        <v>13875.82</v>
      </c>
      <c r="J55" s="10">
        <f>[1]!DSFB1.133</f>
        <v>871785</v>
      </c>
      <c r="K55" s="10" t="str">
        <f>[1]!DSFB1.135</f>
        <v xml:space="preserve"> -</v>
      </c>
      <c r="L55" s="10" t="str">
        <f>[1]!DSFB1.136</f>
        <v xml:space="preserve"> -</v>
      </c>
      <c r="M55" s="10" t="str">
        <f>[1]!DSFB1.437</f>
        <v xml:space="preserve"> -</v>
      </c>
      <c r="N55" s="10" t="str">
        <f>[1]!DSFB1.406</f>
        <v xml:space="preserve"> -</v>
      </c>
      <c r="O55" s="10" t="str">
        <f>[1]!DSFB1.407</f>
        <v xml:space="preserve"> -</v>
      </c>
      <c r="P55" s="10" t="str">
        <f>[1]!DSFB1.431</f>
        <v>-</v>
      </c>
      <c r="Q55" s="10" t="str">
        <f>[1]!DSFB1.201</f>
        <v xml:space="preserve"> -</v>
      </c>
      <c r="R55" s="10" t="str">
        <f>[1]!DSFB1.202</f>
        <v xml:space="preserve"> -</v>
      </c>
      <c r="S55" s="10" t="str">
        <f>[1]!DSFB1.203</f>
        <v xml:space="preserve"> -</v>
      </c>
      <c r="T55" s="10" t="str">
        <f>[1]!DSFB1.204</f>
        <v xml:space="preserve"> -</v>
      </c>
      <c r="U55" s="10" t="str">
        <f>[1]!DSFB1.205</f>
        <v xml:space="preserve"> -</v>
      </c>
      <c r="V55" s="10" t="str">
        <f>[1]!DSFB1.211</f>
        <v xml:space="preserve"> -</v>
      </c>
      <c r="W55" s="10" t="str">
        <f>[1]!DSFB1.212</f>
        <v xml:space="preserve"> -</v>
      </c>
      <c r="X55" s="10" t="str">
        <f>[1]!DSFB1.213</f>
        <v xml:space="preserve"> -</v>
      </c>
      <c r="Y55" s="10" t="str">
        <f>[1]!DSFB1.214</f>
        <v xml:space="preserve"> -</v>
      </c>
      <c r="Z55" s="10" t="str">
        <f>[1]!DSFB1.215</f>
        <v xml:space="preserve"> -</v>
      </c>
      <c r="AA55" s="10" t="str">
        <f>[1]!DSFB1.221</f>
        <v>-</v>
      </c>
      <c r="AB55" s="10" t="str">
        <f>[1]!DSFB1.222</f>
        <v>-</v>
      </c>
      <c r="AC55" s="10" t="str">
        <f>[1]!DSFB1.223</f>
        <v>-</v>
      </c>
      <c r="AD55" s="10" t="str">
        <f>[1]!DSFB1.224</f>
        <v>-</v>
      </c>
      <c r="AE55" s="10" t="str">
        <f>[1]!DSFB1.225</f>
        <v>-</v>
      </c>
      <c r="AF55" s="10" t="str">
        <f>[1]!DSFB1.231</f>
        <v>-</v>
      </c>
      <c r="AG55" s="10" t="str">
        <f>[1]!DSFB1.232</f>
        <v>-</v>
      </c>
      <c r="AH55" s="10" t="str">
        <f>[1]!DSFB1.233</f>
        <v>-</v>
      </c>
      <c r="AI55" s="10" t="str">
        <f>[1]!DSFB1.234</f>
        <v>-</v>
      </c>
      <c r="AJ55" s="10" t="str">
        <f>[1]!DSFB1.235</f>
        <v>-</v>
      </c>
    </row>
    <row r="56" spans="1:36" s="10" customFormat="1" x14ac:dyDescent="0.25">
      <c r="A56" s="10" t="str">
        <f>"GCFB1"</f>
        <v>GCFB1</v>
      </c>
      <c r="B56" s="10" t="str">
        <f>[1]!GCFB1.402</f>
        <v>不含金電</v>
      </c>
      <c r="C56" s="10">
        <f>[1]!GCFB1.123</f>
        <v>100135</v>
      </c>
      <c r="D56" s="10">
        <f>[1]!GCFB1.124</f>
        <v>13893.65</v>
      </c>
      <c r="E56" s="10">
        <f>[1]!GCFB1.125</f>
        <v>7.07</v>
      </c>
      <c r="F56" s="10">
        <f>[1]!GCFB1.128</f>
        <v>611</v>
      </c>
      <c r="G56" s="10">
        <f>[1]!GCFB1.130</f>
        <v>13893.03</v>
      </c>
      <c r="H56" s="10">
        <f>[1]!GCFB1.131</f>
        <v>13945.78</v>
      </c>
      <c r="I56" s="10">
        <f>[1]!GCFB1.132</f>
        <v>13875.82</v>
      </c>
      <c r="J56" s="10">
        <f>[1]!GCFB1.133</f>
        <v>871785</v>
      </c>
      <c r="K56" s="10" t="str">
        <f>[1]!GCFB1.135</f>
        <v xml:space="preserve"> -</v>
      </c>
      <c r="L56" s="10" t="str">
        <f>[1]!GCFB1.136</f>
        <v xml:space="preserve"> -</v>
      </c>
      <c r="M56" s="10" t="str">
        <f>[1]!GCFB1.437</f>
        <v xml:space="preserve"> -</v>
      </c>
      <c r="N56" s="10" t="str">
        <f>[1]!GCFB1.406</f>
        <v xml:space="preserve"> -</v>
      </c>
      <c r="O56" s="10" t="str">
        <f>[1]!GCFB1.407</f>
        <v xml:space="preserve"> -</v>
      </c>
      <c r="P56" s="10" t="str">
        <f>[1]!GCFB1.431</f>
        <v>-</v>
      </c>
      <c r="Q56" s="10" t="str">
        <f>[1]!GCFB1.201</f>
        <v xml:space="preserve"> -</v>
      </c>
      <c r="R56" s="10" t="str">
        <f>[1]!GCFB1.202</f>
        <v xml:space="preserve"> -</v>
      </c>
      <c r="S56" s="10" t="str">
        <f>[1]!GCFB1.203</f>
        <v xml:space="preserve"> -</v>
      </c>
      <c r="T56" s="10" t="str">
        <f>[1]!GCFB1.204</f>
        <v xml:space="preserve"> -</v>
      </c>
      <c r="U56" s="10" t="str">
        <f>[1]!GCFB1.205</f>
        <v xml:space="preserve"> -</v>
      </c>
      <c r="V56" s="10" t="str">
        <f>[1]!GCFB1.211</f>
        <v xml:space="preserve"> -</v>
      </c>
      <c r="W56" s="10" t="str">
        <f>[1]!GCFB1.212</f>
        <v xml:space="preserve"> -</v>
      </c>
      <c r="X56" s="10" t="str">
        <f>[1]!GCFB1.213</f>
        <v xml:space="preserve"> -</v>
      </c>
      <c r="Y56" s="10" t="str">
        <f>[1]!GCFB1.214</f>
        <v xml:space="preserve"> -</v>
      </c>
      <c r="Z56" s="10" t="str">
        <f>[1]!GCFB1.215</f>
        <v xml:space="preserve"> -</v>
      </c>
      <c r="AA56" s="10" t="str">
        <f>[1]!GCFB1.221</f>
        <v>-</v>
      </c>
      <c r="AB56" s="10" t="str">
        <f>[1]!GCFB1.222</f>
        <v>-</v>
      </c>
      <c r="AC56" s="10" t="str">
        <f>[1]!GCFB1.223</f>
        <v>-</v>
      </c>
      <c r="AD56" s="10" t="str">
        <f>[1]!GCFB1.224</f>
        <v>-</v>
      </c>
      <c r="AE56" s="10" t="str">
        <f>[1]!GCFB1.225</f>
        <v>-</v>
      </c>
      <c r="AF56" s="10" t="str">
        <f>[1]!GCFB1.231</f>
        <v>-</v>
      </c>
      <c r="AG56" s="10" t="str">
        <f>[1]!GCFB1.232</f>
        <v>-</v>
      </c>
      <c r="AH56" s="10" t="str">
        <f>[1]!GCFB1.233</f>
        <v>-</v>
      </c>
      <c r="AI56" s="10" t="str">
        <f>[1]!GCFB1.234</f>
        <v>-</v>
      </c>
      <c r="AJ56" s="10" t="str">
        <f>[1]!GCFB1.235</f>
        <v>-</v>
      </c>
    </row>
    <row r="57" spans="1:36" s="10" customFormat="1" x14ac:dyDescent="0.25">
      <c r="A57" s="10" t="str">
        <f>"MBFB1"</f>
        <v>MBFB1</v>
      </c>
      <c r="B57" s="10" t="e">
        <f>[1]!MBFB1.402</f>
        <v>#N/A</v>
      </c>
      <c r="C57" s="10">
        <f>[1]!MBFB1.123</f>
        <v>0</v>
      </c>
      <c r="D57" s="10">
        <f>[1]!MBFB1.124</f>
        <v>20878632</v>
      </c>
      <c r="E57" s="10" t="str">
        <f>[1]!MBFB1.125</f>
        <v xml:space="preserve"> </v>
      </c>
      <c r="F57" s="10">
        <f>[1]!MBFB1.128</f>
        <v>1212870150</v>
      </c>
      <c r="G57" s="10">
        <f>[1]!MBFB1.130</f>
        <v>20803788</v>
      </c>
      <c r="H57" s="10">
        <f>[1]!MBFB1.131</f>
        <v>20804690</v>
      </c>
      <c r="I57" s="10">
        <f>[1]!MBFB1.132</f>
        <v>10989732</v>
      </c>
      <c r="J57" s="10">
        <f>[1]!MBFB1.133</f>
        <v>2088371110</v>
      </c>
      <c r="K57" s="10" t="str">
        <f>[1]!MBFB1.135</f>
        <v xml:space="preserve"> -</v>
      </c>
      <c r="L57" s="10" t="str">
        <f>[1]!MBFB1.136</f>
        <v xml:space="preserve"> -</v>
      </c>
      <c r="M57" s="10" t="str">
        <f>[1]!MBFB1.437</f>
        <v xml:space="preserve"> -</v>
      </c>
      <c r="N57" s="10" t="str">
        <f>[1]!MBFB1.406</f>
        <v xml:space="preserve"> -</v>
      </c>
      <c r="O57" s="10" t="str">
        <f>[1]!MBFB1.407</f>
        <v xml:space="preserve"> -</v>
      </c>
      <c r="P57" s="10" t="str">
        <f>[1]!MBFB1.431</f>
        <v>-</v>
      </c>
      <c r="Q57" s="10" t="str">
        <f>[1]!MBFB1.201</f>
        <v xml:space="preserve"> -</v>
      </c>
      <c r="R57" s="10" t="str">
        <f>[1]!MBFB1.202</f>
        <v xml:space="preserve"> -</v>
      </c>
      <c r="S57" s="10" t="str">
        <f>[1]!MBFB1.203</f>
        <v xml:space="preserve"> -</v>
      </c>
      <c r="T57" s="10" t="str">
        <f>[1]!MBFB1.204</f>
        <v xml:space="preserve"> -</v>
      </c>
      <c r="U57" s="10" t="str">
        <f>[1]!MBFB1.205</f>
        <v xml:space="preserve"> -</v>
      </c>
      <c r="V57" s="10" t="str">
        <f>[1]!MBFB1.211</f>
        <v xml:space="preserve"> -</v>
      </c>
      <c r="W57" s="10" t="str">
        <f>[1]!MBFB1.212</f>
        <v xml:space="preserve"> -</v>
      </c>
      <c r="X57" s="10" t="str">
        <f>[1]!MBFB1.213</f>
        <v xml:space="preserve"> -</v>
      </c>
      <c r="Y57" s="10" t="str">
        <f>[1]!MBFB1.214</f>
        <v xml:space="preserve"> -</v>
      </c>
      <c r="Z57" s="10" t="str">
        <f>[1]!MBFB1.215</f>
        <v xml:space="preserve"> -</v>
      </c>
      <c r="AA57" s="10" t="str">
        <f>[1]!MBFB1.221</f>
        <v>-</v>
      </c>
      <c r="AB57" s="10" t="str">
        <f>[1]!MBFB1.222</f>
        <v>-</v>
      </c>
      <c r="AC57" s="10" t="str">
        <f>[1]!MBFB1.223</f>
        <v>-</v>
      </c>
      <c r="AD57" s="10" t="str">
        <f>[1]!MBFB1.224</f>
        <v>-</v>
      </c>
      <c r="AE57" s="10" t="str">
        <f>[1]!MBFB1.225</f>
        <v>-</v>
      </c>
      <c r="AF57" s="10" t="str">
        <f>[1]!MBFB1.231</f>
        <v>-</v>
      </c>
      <c r="AG57" s="10" t="str">
        <f>[1]!MBFB1.232</f>
        <v>-</v>
      </c>
      <c r="AH57" s="10" t="str">
        <f>[1]!MBFB1.233</f>
        <v>-</v>
      </c>
      <c r="AI57" s="10" t="str">
        <f>[1]!MBFB1.234</f>
        <v>-</v>
      </c>
      <c r="AJ57" s="10" t="str">
        <f>[1]!MBFB1.235</f>
        <v>-</v>
      </c>
    </row>
    <row r="58" spans="1:36" s="10" customFormat="1" x14ac:dyDescent="0.25">
      <c r="A58" s="10" t="str">
        <f>"LQFB1"</f>
        <v>LQFB1</v>
      </c>
      <c r="B58" s="10" t="str">
        <f>[1]!LQFB1.402</f>
        <v>不含金電</v>
      </c>
      <c r="C58" s="10">
        <f>[1]!LQFB1.123</f>
        <v>100150</v>
      </c>
      <c r="D58" s="10">
        <f>[1]!LQFB1.124</f>
        <v>13900.72</v>
      </c>
      <c r="E58" s="10">
        <f>[1]!LQFB1.125</f>
        <v>14.14</v>
      </c>
      <c r="F58" s="10">
        <f>[1]!LQFB1.128</f>
        <v>887</v>
      </c>
      <c r="G58" s="10">
        <f>[1]!LQFB1.130</f>
        <v>13893.03</v>
      </c>
      <c r="H58" s="10">
        <f>[1]!LQFB1.131</f>
        <v>13945.78</v>
      </c>
      <c r="I58" s="10">
        <f>[1]!LQFB1.132</f>
        <v>13875.82</v>
      </c>
      <c r="J58" s="10">
        <f>[1]!LQFB1.133</f>
        <v>873827</v>
      </c>
      <c r="K58" s="10" t="str">
        <f>[1]!LQFB1.135</f>
        <v xml:space="preserve"> -</v>
      </c>
      <c r="L58" s="10" t="str">
        <f>[1]!LQFB1.136</f>
        <v xml:space="preserve"> -</v>
      </c>
      <c r="M58" s="10" t="str">
        <f>[1]!LQFB1.437</f>
        <v xml:space="preserve"> -</v>
      </c>
      <c r="N58" s="10" t="str">
        <f>[1]!LQFB1.406</f>
        <v xml:space="preserve"> -</v>
      </c>
      <c r="O58" s="10" t="str">
        <f>[1]!LQFB1.407</f>
        <v xml:space="preserve"> -</v>
      </c>
      <c r="P58" s="10" t="str">
        <f>[1]!LQFB1.431</f>
        <v>-</v>
      </c>
      <c r="Q58" s="10" t="str">
        <f>[1]!LQFB1.201</f>
        <v xml:space="preserve"> -</v>
      </c>
      <c r="R58" s="10" t="str">
        <f>[1]!LQFB1.202</f>
        <v xml:space="preserve"> -</v>
      </c>
      <c r="S58" s="10" t="str">
        <f>[1]!LQFB1.203</f>
        <v xml:space="preserve"> -</v>
      </c>
      <c r="T58" s="10" t="str">
        <f>[1]!LQFB1.204</f>
        <v xml:space="preserve"> -</v>
      </c>
      <c r="U58" s="10" t="str">
        <f>[1]!LQFB1.205</f>
        <v xml:space="preserve"> -</v>
      </c>
      <c r="V58" s="10" t="str">
        <f>[1]!LQFB1.211</f>
        <v xml:space="preserve"> -</v>
      </c>
      <c r="W58" s="10" t="str">
        <f>[1]!LQFB1.212</f>
        <v xml:space="preserve"> -</v>
      </c>
      <c r="X58" s="10" t="str">
        <f>[1]!LQFB1.213</f>
        <v xml:space="preserve"> -</v>
      </c>
      <c r="Y58" s="10" t="str">
        <f>[1]!LQFB1.214</f>
        <v xml:space="preserve"> -</v>
      </c>
      <c r="Z58" s="10" t="str">
        <f>[1]!LQFB1.215</f>
        <v xml:space="preserve"> -</v>
      </c>
      <c r="AA58" s="10" t="str">
        <f>[1]!LQFB1.221</f>
        <v>-</v>
      </c>
      <c r="AB58" s="10" t="str">
        <f>[1]!LQFB1.222</f>
        <v>-</v>
      </c>
      <c r="AC58" s="10" t="str">
        <f>[1]!LQFB1.223</f>
        <v>-</v>
      </c>
      <c r="AD58" s="10" t="str">
        <f>[1]!LQFB1.224</f>
        <v>-</v>
      </c>
      <c r="AE58" s="10" t="str">
        <f>[1]!LQFB1.225</f>
        <v>-</v>
      </c>
      <c r="AF58" s="10" t="str">
        <f>[1]!LQFB1.231</f>
        <v>-</v>
      </c>
      <c r="AG58" s="10" t="str">
        <f>[1]!LQFB1.232</f>
        <v>-</v>
      </c>
      <c r="AH58" s="10" t="str">
        <f>[1]!LQFB1.233</f>
        <v>-</v>
      </c>
      <c r="AI58" s="10" t="str">
        <f>[1]!LQFB1.234</f>
        <v>-</v>
      </c>
      <c r="AJ58" s="10" t="str">
        <f>[1]!LQFB1.235</f>
        <v>-</v>
      </c>
    </row>
    <row r="59" spans="1:36" s="10" customFormat="1" x14ac:dyDescent="0.25">
      <c r="A59" s="10" t="str">
        <f>"DJFB1"</f>
        <v>DJFB1</v>
      </c>
      <c r="B59" s="10" t="str">
        <f>[1]!DJFB1.402</f>
        <v>加權指數</v>
      </c>
      <c r="C59" s="10">
        <f>[1]!DJFB1.123</f>
        <v>100145</v>
      </c>
      <c r="D59" s="10">
        <f>[1]!DJFB1.124</f>
        <v>16422.560000000001</v>
      </c>
      <c r="E59" s="10">
        <f>[1]!DJFB1.125</f>
        <v>-20.84</v>
      </c>
      <c r="F59" s="10">
        <f>[1]!DJFB1.128</f>
        <v>1824</v>
      </c>
      <c r="G59" s="10">
        <f>[1]!DJFB1.130</f>
        <v>16329.54</v>
      </c>
      <c r="H59" s="10">
        <f>[1]!DJFB1.131</f>
        <v>16456.939999999999</v>
      </c>
      <c r="I59" s="10">
        <f>[1]!DJFB1.132</f>
        <v>16329.54</v>
      </c>
      <c r="J59" s="10">
        <f>[1]!DJFB1.133</f>
        <v>4024617</v>
      </c>
      <c r="K59" s="10" t="str">
        <f>[1]!DJFB1.135</f>
        <v xml:space="preserve"> -</v>
      </c>
      <c r="L59" s="10" t="str">
        <f>[1]!DJFB1.136</f>
        <v xml:space="preserve"> -</v>
      </c>
      <c r="M59" s="10" t="str">
        <f>[1]!DJFB1.437</f>
        <v xml:space="preserve"> -</v>
      </c>
      <c r="N59" s="10" t="str">
        <f>[1]!DJFB1.406</f>
        <v xml:space="preserve"> -</v>
      </c>
      <c r="O59" s="10" t="str">
        <f>[1]!DJFB1.407</f>
        <v xml:space="preserve"> -</v>
      </c>
      <c r="P59" s="10" t="str">
        <f>[1]!DJFB1.431</f>
        <v>-</v>
      </c>
      <c r="Q59" s="10" t="str">
        <f>[1]!DJFB1.201</f>
        <v xml:space="preserve"> -</v>
      </c>
      <c r="R59" s="10" t="str">
        <f>[1]!DJFB1.202</f>
        <v xml:space="preserve"> -</v>
      </c>
      <c r="S59" s="10" t="str">
        <f>[1]!DJFB1.203</f>
        <v xml:space="preserve"> -</v>
      </c>
      <c r="T59" s="10" t="str">
        <f>[1]!DJFB1.204</f>
        <v xml:space="preserve"> -</v>
      </c>
      <c r="U59" s="10" t="str">
        <f>[1]!DJFB1.205</f>
        <v xml:space="preserve"> -</v>
      </c>
      <c r="V59" s="10" t="str">
        <f>[1]!DJFB1.211</f>
        <v xml:space="preserve"> -</v>
      </c>
      <c r="W59" s="10" t="str">
        <f>[1]!DJFB1.212</f>
        <v xml:space="preserve"> -</v>
      </c>
      <c r="X59" s="10" t="str">
        <f>[1]!DJFB1.213</f>
        <v xml:space="preserve"> -</v>
      </c>
      <c r="Y59" s="10" t="str">
        <f>[1]!DJFB1.214</f>
        <v xml:space="preserve"> -</v>
      </c>
      <c r="Z59" s="10" t="str">
        <f>[1]!DJFB1.215</f>
        <v xml:space="preserve"> -</v>
      </c>
      <c r="AA59" s="10" t="str">
        <f>[1]!DJFB1.221</f>
        <v>-</v>
      </c>
      <c r="AB59" s="10" t="str">
        <f>[1]!DJFB1.222</f>
        <v>-</v>
      </c>
      <c r="AC59" s="10" t="str">
        <f>[1]!DJFB1.223</f>
        <v>-</v>
      </c>
      <c r="AD59" s="10" t="str">
        <f>[1]!DJFB1.224</f>
        <v>-</v>
      </c>
      <c r="AE59" s="10" t="str">
        <f>[1]!DJFB1.225</f>
        <v>-</v>
      </c>
      <c r="AF59" s="10" t="str">
        <f>[1]!DJFB1.231</f>
        <v>-</v>
      </c>
      <c r="AG59" s="10" t="str">
        <f>[1]!DJFB1.232</f>
        <v>-</v>
      </c>
      <c r="AH59" s="10" t="str">
        <f>[1]!DJFB1.233</f>
        <v>-</v>
      </c>
      <c r="AI59" s="10" t="str">
        <f>[1]!DJFB1.234</f>
        <v>-</v>
      </c>
      <c r="AJ59" s="10" t="str">
        <f>[1]!DJFB1.235</f>
        <v>-</v>
      </c>
    </row>
    <row r="60" spans="1:36" s="10" customFormat="1" x14ac:dyDescent="0.25">
      <c r="A60" s="10" t="str">
        <f>"MJFB1"</f>
        <v>MJFB1</v>
      </c>
      <c r="B60" s="10" t="str">
        <f>[1]!MJFB1.402</f>
        <v>加權指數</v>
      </c>
      <c r="C60" s="10">
        <f>[1]!MJFB1.123</f>
        <v>100135</v>
      </c>
      <c r="D60" s="10">
        <f>[1]!MJFB1.124</f>
        <v>16424.64</v>
      </c>
      <c r="E60" s="10">
        <f>[1]!MJFB1.125</f>
        <v>-18.760000000000002</v>
      </c>
      <c r="F60" s="10">
        <f>[1]!MJFB1.128</f>
        <v>1648</v>
      </c>
      <c r="G60" s="10">
        <f>[1]!MJFB1.130</f>
        <v>16329.54</v>
      </c>
      <c r="H60" s="10">
        <f>[1]!MJFB1.131</f>
        <v>16456.939999999999</v>
      </c>
      <c r="I60" s="10">
        <f>[1]!MJFB1.132</f>
        <v>16329.54</v>
      </c>
      <c r="J60" s="10">
        <f>[1]!MJFB1.133</f>
        <v>4020107</v>
      </c>
      <c r="K60" s="10" t="str">
        <f>[1]!MJFB1.135</f>
        <v xml:space="preserve"> -</v>
      </c>
      <c r="L60" s="10" t="str">
        <f>[1]!MJFB1.136</f>
        <v xml:space="preserve"> -</v>
      </c>
      <c r="M60" s="10" t="str">
        <f>[1]!MJFB1.437</f>
        <v xml:space="preserve"> -</v>
      </c>
      <c r="N60" s="10" t="str">
        <f>[1]!MJFB1.406</f>
        <v xml:space="preserve"> -</v>
      </c>
      <c r="O60" s="10" t="str">
        <f>[1]!MJFB1.407</f>
        <v xml:space="preserve"> -</v>
      </c>
      <c r="P60" s="10" t="str">
        <f>[1]!MJFB1.431</f>
        <v>-</v>
      </c>
      <c r="Q60" s="10" t="str">
        <f>[1]!MJFB1.201</f>
        <v xml:space="preserve"> -</v>
      </c>
      <c r="R60" s="10" t="str">
        <f>[1]!MJFB1.202</f>
        <v xml:space="preserve"> -</v>
      </c>
      <c r="S60" s="10" t="str">
        <f>[1]!MJFB1.203</f>
        <v xml:space="preserve"> -</v>
      </c>
      <c r="T60" s="10" t="str">
        <f>[1]!MJFB1.204</f>
        <v xml:space="preserve"> -</v>
      </c>
      <c r="U60" s="10" t="str">
        <f>[1]!MJFB1.205</f>
        <v xml:space="preserve"> -</v>
      </c>
      <c r="V60" s="10" t="str">
        <f>[1]!MJFB1.211</f>
        <v xml:space="preserve"> -</v>
      </c>
      <c r="W60" s="10" t="str">
        <f>[1]!MJFB1.212</f>
        <v xml:space="preserve"> -</v>
      </c>
      <c r="X60" s="10" t="str">
        <f>[1]!MJFB1.213</f>
        <v xml:space="preserve"> -</v>
      </c>
      <c r="Y60" s="10" t="str">
        <f>[1]!MJFB1.214</f>
        <v xml:space="preserve"> -</v>
      </c>
      <c r="Z60" s="10" t="str">
        <f>[1]!MJFB1.215</f>
        <v xml:space="preserve"> -</v>
      </c>
      <c r="AA60" s="10" t="str">
        <f>[1]!MJFB1.221</f>
        <v>-</v>
      </c>
      <c r="AB60" s="10" t="str">
        <f>[1]!MJFB1.222</f>
        <v>-</v>
      </c>
      <c r="AC60" s="10" t="str">
        <f>[1]!MJFB1.223</f>
        <v>-</v>
      </c>
      <c r="AD60" s="10" t="str">
        <f>[1]!MJFB1.224</f>
        <v>-</v>
      </c>
      <c r="AE60" s="10" t="str">
        <f>[1]!MJFB1.225</f>
        <v>-</v>
      </c>
      <c r="AF60" s="10" t="str">
        <f>[1]!MJFB1.231</f>
        <v>-</v>
      </c>
      <c r="AG60" s="10" t="str">
        <f>[1]!MJFB1.232</f>
        <v>-</v>
      </c>
      <c r="AH60" s="10" t="str">
        <f>[1]!MJFB1.233</f>
        <v>-</v>
      </c>
      <c r="AI60" s="10" t="str">
        <f>[1]!MJFB1.234</f>
        <v>-</v>
      </c>
      <c r="AJ60" s="10" t="str">
        <f>[1]!MJFB1.235</f>
        <v>-</v>
      </c>
    </row>
    <row r="61" spans="1:36" s="10" customFormat="1" x14ac:dyDescent="0.25">
      <c r="A61" s="10" t="str">
        <f>"CXFC1"</f>
        <v>CXFC1</v>
      </c>
      <c r="B61" s="10" t="str">
        <f>[1]!CXFC1.402</f>
        <v>大同03</v>
      </c>
      <c r="C61" s="10">
        <f>[1]!CXFC1.123</f>
        <v>133429</v>
      </c>
      <c r="D61" s="10">
        <f>[1]!CXFC1.124</f>
        <v>27.25</v>
      </c>
      <c r="E61" s="10">
        <f>[1]!CXFC1.125</f>
        <v>0.1</v>
      </c>
      <c r="F61" s="10">
        <f>[1]!CXFC1.128</f>
        <v>1</v>
      </c>
      <c r="G61" s="10">
        <f>[1]!CXFC1.130</f>
        <v>27.1</v>
      </c>
      <c r="H61" s="10">
        <f>[1]!CXFC1.131</f>
        <v>27.9</v>
      </c>
      <c r="I61" s="10">
        <f>[1]!CXFC1.132</f>
        <v>26.85</v>
      </c>
      <c r="J61" s="10">
        <f>[1]!CXFC1.133</f>
        <v>1211</v>
      </c>
      <c r="K61" s="10">
        <f>[1]!CXFC1.135</f>
        <v>27.25</v>
      </c>
      <c r="L61" s="10">
        <f>[1]!CXFC1.136</f>
        <v>27.3</v>
      </c>
      <c r="M61" s="10">
        <f>[1]!CXFC1.437</f>
        <v>27.23</v>
      </c>
      <c r="N61" s="10">
        <f>[1]!CXFC1.406</f>
        <v>29.85</v>
      </c>
      <c r="O61" s="10">
        <f>[1]!CXFC1.407</f>
        <v>24.45</v>
      </c>
      <c r="P61" s="10">
        <f>[1]!CXFC1.431</f>
        <v>20210224</v>
      </c>
      <c r="Q61" s="10">
        <f>[1]!CXFC1.201</f>
        <v>27.25</v>
      </c>
      <c r="R61" s="10">
        <f>[1]!CXFC1.202</f>
        <v>27.2</v>
      </c>
      <c r="S61" s="10">
        <f>[1]!CXFC1.203</f>
        <v>27.15</v>
      </c>
      <c r="T61" s="10">
        <f>[1]!CXFC1.204</f>
        <v>27.1</v>
      </c>
      <c r="U61" s="10">
        <f>[1]!CXFC1.205</f>
        <v>27.05</v>
      </c>
      <c r="V61" s="10">
        <f>[1]!CXFC1.211</f>
        <v>27.3</v>
      </c>
      <c r="W61" s="10">
        <f>[1]!CXFC1.212</f>
        <v>27.35</v>
      </c>
      <c r="X61" s="10">
        <f>[1]!CXFC1.213</f>
        <v>27.4</v>
      </c>
      <c r="Y61" s="10">
        <f>[1]!CXFC1.214</f>
        <v>27.45</v>
      </c>
      <c r="Z61" s="10">
        <f>[1]!CXFC1.215</f>
        <v>27.5</v>
      </c>
      <c r="AA61" s="10">
        <f>[1]!CXFC1.221</f>
        <v>2</v>
      </c>
      <c r="AB61" s="10">
        <f>[1]!CXFC1.222</f>
        <v>8</v>
      </c>
      <c r="AC61" s="10">
        <f>[1]!CXFC1.223</f>
        <v>6</v>
      </c>
      <c r="AD61" s="10">
        <f>[1]!CXFC1.224</f>
        <v>49</v>
      </c>
      <c r="AE61" s="10">
        <f>[1]!CXFC1.225</f>
        <v>6</v>
      </c>
      <c r="AF61" s="10">
        <f>[1]!CXFC1.231</f>
        <v>1</v>
      </c>
      <c r="AG61" s="10">
        <f>[1]!CXFC1.232</f>
        <v>2</v>
      </c>
      <c r="AH61" s="10">
        <f>[1]!CXFC1.233</f>
        <v>9</v>
      </c>
      <c r="AI61" s="10">
        <f>[1]!CXFC1.234</f>
        <v>4</v>
      </c>
      <c r="AJ61" s="10">
        <f>[1]!CXFC1.235</f>
        <v>2</v>
      </c>
    </row>
    <row r="62" spans="1:36" s="10" customFormat="1" x14ac:dyDescent="0.25">
      <c r="A62" s="10" t="str">
        <f>"GHFB1"</f>
        <v>GHFB1</v>
      </c>
      <c r="B62" s="10" t="str">
        <f>[1]!GHFB1.402</f>
        <v>加權指數</v>
      </c>
      <c r="C62" s="10">
        <f>[1]!GHFB1.123</f>
        <v>100130</v>
      </c>
      <c r="D62" s="10">
        <f>[1]!GHFB1.124</f>
        <v>16429</v>
      </c>
      <c r="E62" s="10">
        <f>[1]!GHFB1.125</f>
        <v>-14.4</v>
      </c>
      <c r="F62" s="10">
        <f>[1]!GHFB1.128</f>
        <v>3347</v>
      </c>
      <c r="G62" s="10">
        <f>[1]!GHFB1.130</f>
        <v>16329.54</v>
      </c>
      <c r="H62" s="10">
        <f>[1]!GHFB1.131</f>
        <v>16456.939999999999</v>
      </c>
      <c r="I62" s="10">
        <f>[1]!GHFB1.132</f>
        <v>16329.54</v>
      </c>
      <c r="J62" s="10">
        <f>[1]!GHFB1.133</f>
        <v>4018459</v>
      </c>
      <c r="K62" s="10" t="str">
        <f>[1]!GHFB1.135</f>
        <v xml:space="preserve"> -</v>
      </c>
      <c r="L62" s="10" t="str">
        <f>[1]!GHFB1.136</f>
        <v xml:space="preserve"> -</v>
      </c>
      <c r="M62" s="10" t="str">
        <f>[1]!GHFB1.437</f>
        <v xml:space="preserve"> -</v>
      </c>
      <c r="N62" s="10" t="str">
        <f>[1]!GHFB1.406</f>
        <v xml:space="preserve"> -</v>
      </c>
      <c r="O62" s="10" t="str">
        <f>[1]!GHFB1.407</f>
        <v xml:space="preserve"> -</v>
      </c>
      <c r="P62" s="10" t="str">
        <f>[1]!GHFB1.431</f>
        <v>-</v>
      </c>
      <c r="Q62" s="10" t="str">
        <f>[1]!GHFB1.201</f>
        <v xml:space="preserve"> -</v>
      </c>
      <c r="R62" s="10" t="str">
        <f>[1]!GHFB1.202</f>
        <v xml:space="preserve"> -</v>
      </c>
      <c r="S62" s="10" t="str">
        <f>[1]!GHFB1.203</f>
        <v xml:space="preserve"> -</v>
      </c>
      <c r="T62" s="10" t="str">
        <f>[1]!GHFB1.204</f>
        <v xml:space="preserve"> -</v>
      </c>
      <c r="U62" s="10" t="str">
        <f>[1]!GHFB1.205</f>
        <v xml:space="preserve"> -</v>
      </c>
      <c r="V62" s="10" t="str">
        <f>[1]!GHFB1.211</f>
        <v xml:space="preserve"> -</v>
      </c>
      <c r="W62" s="10" t="str">
        <f>[1]!GHFB1.212</f>
        <v xml:space="preserve"> -</v>
      </c>
      <c r="X62" s="10" t="str">
        <f>[1]!GHFB1.213</f>
        <v xml:space="preserve"> -</v>
      </c>
      <c r="Y62" s="10" t="str">
        <f>[1]!GHFB1.214</f>
        <v xml:space="preserve"> -</v>
      </c>
      <c r="Z62" s="10" t="str">
        <f>[1]!GHFB1.215</f>
        <v xml:space="preserve"> -</v>
      </c>
      <c r="AA62" s="10" t="str">
        <f>[1]!GHFB1.221</f>
        <v>-</v>
      </c>
      <c r="AB62" s="10" t="str">
        <f>[1]!GHFB1.222</f>
        <v>-</v>
      </c>
      <c r="AC62" s="10" t="str">
        <f>[1]!GHFB1.223</f>
        <v>-</v>
      </c>
      <c r="AD62" s="10" t="str">
        <f>[1]!GHFB1.224</f>
        <v>-</v>
      </c>
      <c r="AE62" s="10" t="str">
        <f>[1]!GHFB1.225</f>
        <v>-</v>
      </c>
      <c r="AF62" s="10" t="str">
        <f>[1]!GHFB1.231</f>
        <v>-</v>
      </c>
      <c r="AG62" s="10" t="str">
        <f>[1]!GHFB1.232</f>
        <v>-</v>
      </c>
      <c r="AH62" s="10" t="str">
        <f>[1]!GHFB1.233</f>
        <v>-</v>
      </c>
      <c r="AI62" s="10" t="str">
        <f>[1]!GHFB1.234</f>
        <v>-</v>
      </c>
      <c r="AJ62" s="10" t="str">
        <f>[1]!GHFB1.235</f>
        <v>-</v>
      </c>
    </row>
    <row r="63" spans="1:36" s="10" customFormat="1" x14ac:dyDescent="0.25">
      <c r="A63" s="10" t="str">
        <f>"GIFB1"</f>
        <v>GIFB1</v>
      </c>
      <c r="B63" s="10" t="str">
        <f>[1]!GIFB1.402</f>
        <v>不含金電</v>
      </c>
      <c r="C63" s="10">
        <f>[1]!GIFB1.123</f>
        <v>100125</v>
      </c>
      <c r="D63" s="10">
        <f>[1]!GIFB1.124</f>
        <v>13894.54</v>
      </c>
      <c r="E63" s="10">
        <f>[1]!GIFB1.125</f>
        <v>7.96</v>
      </c>
      <c r="F63" s="10">
        <f>[1]!GIFB1.128</f>
        <v>789</v>
      </c>
      <c r="G63" s="10">
        <f>[1]!GIFB1.130</f>
        <v>13893.03</v>
      </c>
      <c r="H63" s="10">
        <f>[1]!GIFB1.131</f>
        <v>13945.78</v>
      </c>
      <c r="I63" s="10">
        <f>[1]!GIFB1.132</f>
        <v>13875.82</v>
      </c>
      <c r="J63" s="10">
        <f>[1]!GIFB1.133</f>
        <v>870725</v>
      </c>
      <c r="K63" s="10" t="str">
        <f>[1]!GIFB1.135</f>
        <v xml:space="preserve"> -</v>
      </c>
      <c r="L63" s="10" t="str">
        <f>[1]!GIFB1.136</f>
        <v xml:space="preserve"> -</v>
      </c>
      <c r="M63" s="10" t="str">
        <f>[1]!GIFB1.437</f>
        <v xml:space="preserve"> -</v>
      </c>
      <c r="N63" s="10" t="str">
        <f>[1]!GIFB1.406</f>
        <v xml:space="preserve"> -</v>
      </c>
      <c r="O63" s="10" t="str">
        <f>[1]!GIFB1.407</f>
        <v xml:space="preserve"> -</v>
      </c>
      <c r="P63" s="10" t="str">
        <f>[1]!GIFB1.431</f>
        <v>-</v>
      </c>
      <c r="Q63" s="10" t="str">
        <f>[1]!GIFB1.201</f>
        <v xml:space="preserve"> -</v>
      </c>
      <c r="R63" s="10" t="str">
        <f>[1]!GIFB1.202</f>
        <v xml:space="preserve"> -</v>
      </c>
      <c r="S63" s="10" t="str">
        <f>[1]!GIFB1.203</f>
        <v xml:space="preserve"> -</v>
      </c>
      <c r="T63" s="10" t="str">
        <f>[1]!GIFB1.204</f>
        <v xml:space="preserve"> -</v>
      </c>
      <c r="U63" s="10" t="str">
        <f>[1]!GIFB1.205</f>
        <v xml:space="preserve"> -</v>
      </c>
      <c r="V63" s="10" t="str">
        <f>[1]!GIFB1.211</f>
        <v xml:space="preserve"> -</v>
      </c>
      <c r="W63" s="10" t="str">
        <f>[1]!GIFB1.212</f>
        <v xml:space="preserve"> -</v>
      </c>
      <c r="X63" s="10" t="str">
        <f>[1]!GIFB1.213</f>
        <v xml:space="preserve"> -</v>
      </c>
      <c r="Y63" s="10" t="str">
        <f>[1]!GIFB1.214</f>
        <v xml:space="preserve"> -</v>
      </c>
      <c r="Z63" s="10" t="str">
        <f>[1]!GIFB1.215</f>
        <v xml:space="preserve"> -</v>
      </c>
      <c r="AA63" s="10" t="str">
        <f>[1]!GIFB1.221</f>
        <v>-</v>
      </c>
      <c r="AB63" s="10" t="str">
        <f>[1]!GIFB1.222</f>
        <v>-</v>
      </c>
      <c r="AC63" s="10" t="str">
        <f>[1]!GIFB1.223</f>
        <v>-</v>
      </c>
      <c r="AD63" s="10" t="str">
        <f>[1]!GIFB1.224</f>
        <v>-</v>
      </c>
      <c r="AE63" s="10" t="str">
        <f>[1]!GIFB1.225</f>
        <v>-</v>
      </c>
      <c r="AF63" s="10" t="str">
        <f>[1]!GIFB1.231</f>
        <v>-</v>
      </c>
      <c r="AG63" s="10" t="str">
        <f>[1]!GIFB1.232</f>
        <v>-</v>
      </c>
      <c r="AH63" s="10" t="str">
        <f>[1]!GIFB1.233</f>
        <v>-</v>
      </c>
      <c r="AI63" s="10" t="str">
        <f>[1]!GIFB1.234</f>
        <v>-</v>
      </c>
      <c r="AJ63" s="10" t="str">
        <f>[1]!GIFB1.235</f>
        <v>-</v>
      </c>
    </row>
    <row r="64" spans="1:36" s="10" customFormat="1" x14ac:dyDescent="0.25">
      <c r="A64" s="10" t="str">
        <f>"GJFB1"</f>
        <v>GJFB1</v>
      </c>
      <c r="B64" s="10" t="str">
        <f>[1]!GJFB1.402</f>
        <v>不含金電</v>
      </c>
      <c r="C64" s="10">
        <f>[1]!GJFB1.123</f>
        <v>100150</v>
      </c>
      <c r="D64" s="10">
        <f>[1]!GJFB1.124</f>
        <v>13900.72</v>
      </c>
      <c r="E64" s="10">
        <f>[1]!GJFB1.125</f>
        <v>14.14</v>
      </c>
      <c r="F64" s="10">
        <f>[1]!GJFB1.128</f>
        <v>887</v>
      </c>
      <c r="G64" s="10">
        <f>[1]!GJFB1.130</f>
        <v>13893.03</v>
      </c>
      <c r="H64" s="10">
        <f>[1]!GJFB1.131</f>
        <v>13945.78</v>
      </c>
      <c r="I64" s="10">
        <f>[1]!GJFB1.132</f>
        <v>13875.82</v>
      </c>
      <c r="J64" s="10">
        <f>[1]!GJFB1.133</f>
        <v>873827</v>
      </c>
      <c r="K64" s="10" t="str">
        <f>[1]!GJFB1.135</f>
        <v xml:space="preserve"> -</v>
      </c>
      <c r="L64" s="10" t="str">
        <f>[1]!GJFB1.136</f>
        <v xml:space="preserve"> -</v>
      </c>
      <c r="M64" s="10" t="str">
        <f>[1]!GJFB1.437</f>
        <v xml:space="preserve"> -</v>
      </c>
      <c r="N64" s="10" t="str">
        <f>[1]!GJFB1.406</f>
        <v xml:space="preserve"> -</v>
      </c>
      <c r="O64" s="10" t="str">
        <f>[1]!GJFB1.407</f>
        <v xml:space="preserve"> -</v>
      </c>
      <c r="P64" s="10" t="str">
        <f>[1]!GJFB1.431</f>
        <v>-</v>
      </c>
      <c r="Q64" s="10" t="str">
        <f>[1]!GJFB1.201</f>
        <v xml:space="preserve"> -</v>
      </c>
      <c r="R64" s="10" t="str">
        <f>[1]!GJFB1.202</f>
        <v xml:space="preserve"> -</v>
      </c>
      <c r="S64" s="10" t="str">
        <f>[1]!GJFB1.203</f>
        <v xml:space="preserve"> -</v>
      </c>
      <c r="T64" s="10" t="str">
        <f>[1]!GJFB1.204</f>
        <v xml:space="preserve"> -</v>
      </c>
      <c r="U64" s="10" t="str">
        <f>[1]!GJFB1.205</f>
        <v xml:space="preserve"> -</v>
      </c>
      <c r="V64" s="10" t="str">
        <f>[1]!GJFB1.211</f>
        <v xml:space="preserve"> -</v>
      </c>
      <c r="W64" s="10" t="str">
        <f>[1]!GJFB1.212</f>
        <v xml:space="preserve"> -</v>
      </c>
      <c r="X64" s="10" t="str">
        <f>[1]!GJFB1.213</f>
        <v xml:space="preserve"> -</v>
      </c>
      <c r="Y64" s="10" t="str">
        <f>[1]!GJFB1.214</f>
        <v xml:space="preserve"> -</v>
      </c>
      <c r="Z64" s="10" t="str">
        <f>[1]!GJFB1.215</f>
        <v xml:space="preserve"> -</v>
      </c>
      <c r="AA64" s="10" t="str">
        <f>[1]!GJFB1.221</f>
        <v>-</v>
      </c>
      <c r="AB64" s="10" t="str">
        <f>[1]!GJFB1.222</f>
        <v>-</v>
      </c>
      <c r="AC64" s="10" t="str">
        <f>[1]!GJFB1.223</f>
        <v>-</v>
      </c>
      <c r="AD64" s="10" t="str">
        <f>[1]!GJFB1.224</f>
        <v>-</v>
      </c>
      <c r="AE64" s="10" t="str">
        <f>[1]!GJFB1.225</f>
        <v>-</v>
      </c>
      <c r="AF64" s="10" t="str">
        <f>[1]!GJFB1.231</f>
        <v>-</v>
      </c>
      <c r="AG64" s="10" t="str">
        <f>[1]!GJFB1.232</f>
        <v>-</v>
      </c>
      <c r="AH64" s="10" t="str">
        <f>[1]!GJFB1.233</f>
        <v>-</v>
      </c>
      <c r="AI64" s="10" t="str">
        <f>[1]!GJFB1.234</f>
        <v>-</v>
      </c>
      <c r="AJ64" s="10" t="str">
        <f>[1]!GJFB1.235</f>
        <v>-</v>
      </c>
    </row>
    <row r="65" spans="1:36" s="10" customFormat="1" x14ac:dyDescent="0.25">
      <c r="A65" s="10" t="str">
        <f>"QGFB1"</f>
        <v>QGFB1</v>
      </c>
      <c r="B65" s="10" t="str">
        <f>[1]!QGFB1.402</f>
        <v>加權指數</v>
      </c>
      <c r="C65" s="10">
        <f>[1]!QGFB1.123</f>
        <v>100145</v>
      </c>
      <c r="D65" s="10">
        <f>[1]!QGFB1.124</f>
        <v>16422.560000000001</v>
      </c>
      <c r="E65" s="10">
        <f>[1]!QGFB1.125</f>
        <v>-20.84</v>
      </c>
      <c r="F65" s="10">
        <f>[1]!QGFB1.128</f>
        <v>1824</v>
      </c>
      <c r="G65" s="10">
        <f>[1]!QGFB1.130</f>
        <v>16329.54</v>
      </c>
      <c r="H65" s="10">
        <f>[1]!QGFB1.131</f>
        <v>16456.939999999999</v>
      </c>
      <c r="I65" s="10">
        <f>[1]!QGFB1.132</f>
        <v>16329.54</v>
      </c>
      <c r="J65" s="10">
        <f>[1]!QGFB1.133</f>
        <v>4024617</v>
      </c>
      <c r="K65" s="10" t="str">
        <f>[1]!QGFB1.135</f>
        <v xml:space="preserve"> -</v>
      </c>
      <c r="L65" s="10" t="str">
        <f>[1]!QGFB1.136</f>
        <v xml:space="preserve"> -</v>
      </c>
      <c r="M65" s="10" t="str">
        <f>[1]!QGFB1.437</f>
        <v xml:space="preserve"> -</v>
      </c>
      <c r="N65" s="10" t="str">
        <f>[1]!QGFB1.406</f>
        <v xml:space="preserve"> -</v>
      </c>
      <c r="O65" s="10" t="str">
        <f>[1]!QGFB1.407</f>
        <v xml:space="preserve"> -</v>
      </c>
      <c r="P65" s="10" t="str">
        <f>[1]!QGFB1.431</f>
        <v>-</v>
      </c>
      <c r="Q65" s="10" t="str">
        <f>[1]!QGFB1.201</f>
        <v xml:space="preserve"> -</v>
      </c>
      <c r="R65" s="10" t="str">
        <f>[1]!QGFB1.202</f>
        <v xml:space="preserve"> -</v>
      </c>
      <c r="S65" s="10" t="str">
        <f>[1]!QGFB1.203</f>
        <v xml:space="preserve"> -</v>
      </c>
      <c r="T65" s="10" t="str">
        <f>[1]!QGFB1.204</f>
        <v xml:space="preserve"> -</v>
      </c>
      <c r="U65" s="10" t="str">
        <f>[1]!QGFB1.205</f>
        <v xml:space="preserve"> -</v>
      </c>
      <c r="V65" s="10" t="str">
        <f>[1]!QGFB1.211</f>
        <v xml:space="preserve"> -</v>
      </c>
      <c r="W65" s="10" t="str">
        <f>[1]!QGFB1.212</f>
        <v xml:space="preserve"> -</v>
      </c>
      <c r="X65" s="10" t="str">
        <f>[1]!QGFB1.213</f>
        <v xml:space="preserve"> -</v>
      </c>
      <c r="Y65" s="10" t="str">
        <f>[1]!QGFB1.214</f>
        <v xml:space="preserve"> -</v>
      </c>
      <c r="Z65" s="10" t="str">
        <f>[1]!QGFB1.215</f>
        <v xml:space="preserve"> -</v>
      </c>
      <c r="AA65" s="10" t="str">
        <f>[1]!QGFB1.221</f>
        <v>-</v>
      </c>
      <c r="AB65" s="10" t="str">
        <f>[1]!QGFB1.222</f>
        <v>-</v>
      </c>
      <c r="AC65" s="10" t="str">
        <f>[1]!QGFB1.223</f>
        <v>-</v>
      </c>
      <c r="AD65" s="10" t="str">
        <f>[1]!QGFB1.224</f>
        <v>-</v>
      </c>
      <c r="AE65" s="10" t="str">
        <f>[1]!QGFB1.225</f>
        <v>-</v>
      </c>
      <c r="AF65" s="10" t="str">
        <f>[1]!QGFB1.231</f>
        <v>-</v>
      </c>
      <c r="AG65" s="10" t="str">
        <f>[1]!QGFB1.232</f>
        <v>-</v>
      </c>
      <c r="AH65" s="10" t="str">
        <f>[1]!QGFB1.233</f>
        <v>-</v>
      </c>
      <c r="AI65" s="10" t="str">
        <f>[1]!QGFB1.234</f>
        <v>-</v>
      </c>
      <c r="AJ65" s="10" t="str">
        <f>[1]!QGFB1.235</f>
        <v>-</v>
      </c>
    </row>
    <row r="66" spans="1:36" s="10" customFormat="1" x14ac:dyDescent="0.25">
      <c r="A66" s="10" t="str">
        <f>"DKFB1"</f>
        <v>DKFB1</v>
      </c>
      <c r="B66" s="10" t="str">
        <f>[1]!DKFB1.402</f>
        <v>加權指數</v>
      </c>
      <c r="C66" s="10">
        <f>[1]!DKFB1.123</f>
        <v>100145</v>
      </c>
      <c r="D66" s="10">
        <f>[1]!DKFB1.124</f>
        <v>16422.560000000001</v>
      </c>
      <c r="E66" s="10">
        <f>[1]!DKFB1.125</f>
        <v>-20.84</v>
      </c>
      <c r="F66" s="10">
        <f>[1]!DKFB1.128</f>
        <v>1824</v>
      </c>
      <c r="G66" s="10">
        <f>[1]!DKFB1.130</f>
        <v>16329.54</v>
      </c>
      <c r="H66" s="10">
        <f>[1]!DKFB1.131</f>
        <v>16456.939999999999</v>
      </c>
      <c r="I66" s="10">
        <f>[1]!DKFB1.132</f>
        <v>16329.54</v>
      </c>
      <c r="J66" s="10">
        <f>[1]!DKFB1.133</f>
        <v>4024617</v>
      </c>
      <c r="K66" s="10" t="str">
        <f>[1]!DKFB1.135</f>
        <v xml:space="preserve"> -</v>
      </c>
      <c r="L66" s="10" t="str">
        <f>[1]!DKFB1.136</f>
        <v xml:space="preserve"> -</v>
      </c>
      <c r="M66" s="10" t="str">
        <f>[1]!DKFB1.437</f>
        <v xml:space="preserve"> -</v>
      </c>
      <c r="N66" s="10" t="str">
        <f>[1]!DKFB1.406</f>
        <v xml:space="preserve"> -</v>
      </c>
      <c r="O66" s="10" t="str">
        <f>[1]!DKFB1.407</f>
        <v xml:space="preserve"> -</v>
      </c>
      <c r="P66" s="10" t="str">
        <f>[1]!DKFB1.431</f>
        <v>-</v>
      </c>
      <c r="Q66" s="10" t="str">
        <f>[1]!DKFB1.201</f>
        <v xml:space="preserve"> -</v>
      </c>
      <c r="R66" s="10" t="str">
        <f>[1]!DKFB1.202</f>
        <v xml:space="preserve"> -</v>
      </c>
      <c r="S66" s="10" t="str">
        <f>[1]!DKFB1.203</f>
        <v xml:space="preserve"> -</v>
      </c>
      <c r="T66" s="10" t="str">
        <f>[1]!DKFB1.204</f>
        <v xml:space="preserve"> -</v>
      </c>
      <c r="U66" s="10" t="str">
        <f>[1]!DKFB1.205</f>
        <v xml:space="preserve"> -</v>
      </c>
      <c r="V66" s="10" t="str">
        <f>[1]!DKFB1.211</f>
        <v xml:space="preserve"> -</v>
      </c>
      <c r="W66" s="10" t="str">
        <f>[1]!DKFB1.212</f>
        <v xml:space="preserve"> -</v>
      </c>
      <c r="X66" s="10" t="str">
        <f>[1]!DKFB1.213</f>
        <v xml:space="preserve"> -</v>
      </c>
      <c r="Y66" s="10" t="str">
        <f>[1]!DKFB1.214</f>
        <v xml:space="preserve"> -</v>
      </c>
      <c r="Z66" s="10" t="str">
        <f>[1]!DKFB1.215</f>
        <v xml:space="preserve"> -</v>
      </c>
      <c r="AA66" s="10" t="str">
        <f>[1]!DKFB1.221</f>
        <v>-</v>
      </c>
      <c r="AB66" s="10" t="str">
        <f>[1]!DKFB1.222</f>
        <v>-</v>
      </c>
      <c r="AC66" s="10" t="str">
        <f>[1]!DKFB1.223</f>
        <v>-</v>
      </c>
      <c r="AD66" s="10" t="str">
        <f>[1]!DKFB1.224</f>
        <v>-</v>
      </c>
      <c r="AE66" s="10" t="str">
        <f>[1]!DKFB1.225</f>
        <v>-</v>
      </c>
      <c r="AF66" s="10" t="str">
        <f>[1]!DKFB1.231</f>
        <v>-</v>
      </c>
      <c r="AG66" s="10" t="str">
        <f>[1]!DKFB1.232</f>
        <v>-</v>
      </c>
      <c r="AH66" s="10" t="str">
        <f>[1]!DKFB1.233</f>
        <v>-</v>
      </c>
      <c r="AI66" s="10" t="str">
        <f>[1]!DKFB1.234</f>
        <v>-</v>
      </c>
      <c r="AJ66" s="10" t="str">
        <f>[1]!DKFB1.235</f>
        <v>-</v>
      </c>
    </row>
    <row r="67" spans="1:36" s="10" customFormat="1" x14ac:dyDescent="0.25">
      <c r="A67" s="10" t="str">
        <f>"PJFB1"</f>
        <v>PJFB1</v>
      </c>
      <c r="B67" s="10" t="str">
        <f>[1]!PJFB1.402</f>
        <v>加權指數</v>
      </c>
      <c r="C67" s="10">
        <f>[1]!PJFB1.123</f>
        <v>100140</v>
      </c>
      <c r="D67" s="10">
        <f>[1]!PJFB1.124</f>
        <v>16428.68</v>
      </c>
      <c r="E67" s="10">
        <f>[1]!PJFB1.125</f>
        <v>-14.72</v>
      </c>
      <c r="F67" s="10">
        <f>[1]!PJFB1.128</f>
        <v>2686</v>
      </c>
      <c r="G67" s="10">
        <f>[1]!PJFB1.130</f>
        <v>16329.54</v>
      </c>
      <c r="H67" s="10">
        <f>[1]!PJFB1.131</f>
        <v>16456.939999999999</v>
      </c>
      <c r="I67" s="10">
        <f>[1]!PJFB1.132</f>
        <v>16329.54</v>
      </c>
      <c r="J67" s="10">
        <f>[1]!PJFB1.133</f>
        <v>4022793</v>
      </c>
      <c r="K67" s="10" t="str">
        <f>[1]!PJFB1.135</f>
        <v xml:space="preserve"> -</v>
      </c>
      <c r="L67" s="10" t="str">
        <f>[1]!PJFB1.136</f>
        <v xml:space="preserve"> -</v>
      </c>
      <c r="M67" s="10" t="str">
        <f>[1]!PJFB1.437</f>
        <v xml:space="preserve"> -</v>
      </c>
      <c r="N67" s="10" t="str">
        <f>[1]!PJFB1.406</f>
        <v xml:space="preserve"> -</v>
      </c>
      <c r="O67" s="10" t="str">
        <f>[1]!PJFB1.407</f>
        <v xml:space="preserve"> -</v>
      </c>
      <c r="P67" s="10" t="str">
        <f>[1]!PJFB1.431</f>
        <v>-</v>
      </c>
      <c r="Q67" s="10" t="str">
        <f>[1]!PJFB1.201</f>
        <v xml:space="preserve"> -</v>
      </c>
      <c r="R67" s="10" t="str">
        <f>[1]!PJFB1.202</f>
        <v xml:space="preserve"> -</v>
      </c>
      <c r="S67" s="10" t="str">
        <f>[1]!PJFB1.203</f>
        <v xml:space="preserve"> -</v>
      </c>
      <c r="T67" s="10" t="str">
        <f>[1]!PJFB1.204</f>
        <v xml:space="preserve"> -</v>
      </c>
      <c r="U67" s="10" t="str">
        <f>[1]!PJFB1.205</f>
        <v xml:space="preserve"> -</v>
      </c>
      <c r="V67" s="10" t="str">
        <f>[1]!PJFB1.211</f>
        <v xml:space="preserve"> -</v>
      </c>
      <c r="W67" s="10" t="str">
        <f>[1]!PJFB1.212</f>
        <v xml:space="preserve"> -</v>
      </c>
      <c r="X67" s="10" t="str">
        <f>[1]!PJFB1.213</f>
        <v xml:space="preserve"> -</v>
      </c>
      <c r="Y67" s="10" t="str">
        <f>[1]!PJFB1.214</f>
        <v xml:space="preserve"> -</v>
      </c>
      <c r="Z67" s="10" t="str">
        <f>[1]!PJFB1.215</f>
        <v xml:space="preserve"> -</v>
      </c>
      <c r="AA67" s="10" t="str">
        <f>[1]!PJFB1.221</f>
        <v>-</v>
      </c>
      <c r="AB67" s="10" t="str">
        <f>[1]!PJFB1.222</f>
        <v>-</v>
      </c>
      <c r="AC67" s="10" t="str">
        <f>[1]!PJFB1.223</f>
        <v>-</v>
      </c>
      <c r="AD67" s="10" t="str">
        <f>[1]!PJFB1.224</f>
        <v>-</v>
      </c>
      <c r="AE67" s="10" t="str">
        <f>[1]!PJFB1.225</f>
        <v>-</v>
      </c>
      <c r="AF67" s="10" t="str">
        <f>[1]!PJFB1.231</f>
        <v>-</v>
      </c>
      <c r="AG67" s="10" t="str">
        <f>[1]!PJFB1.232</f>
        <v>-</v>
      </c>
      <c r="AH67" s="10" t="str">
        <f>[1]!PJFB1.233</f>
        <v>-</v>
      </c>
      <c r="AI67" s="10" t="str">
        <f>[1]!PJFB1.234</f>
        <v>-</v>
      </c>
      <c r="AJ67" s="10" t="str">
        <f>[1]!PJFB1.235</f>
        <v>-</v>
      </c>
    </row>
    <row r="68" spans="1:36" s="10" customFormat="1" x14ac:dyDescent="0.25">
      <c r="A68" s="10" t="str">
        <f>"GLFB1"</f>
        <v>GLFB1</v>
      </c>
      <c r="B68" s="10" t="e">
        <f>[1]!GLFB1.402</f>
        <v>#N/A</v>
      </c>
      <c r="C68" s="10">
        <f>[1]!GLFB1.123</f>
        <v>0</v>
      </c>
      <c r="D68" s="10">
        <f>[1]!GLFB1.124</f>
        <v>20878632</v>
      </c>
      <c r="E68" s="10" t="str">
        <f>[1]!GLFB1.125</f>
        <v xml:space="preserve"> </v>
      </c>
      <c r="F68" s="10">
        <f>[1]!GLFB1.128</f>
        <v>1212870150</v>
      </c>
      <c r="G68" s="10">
        <f>[1]!GLFB1.130</f>
        <v>20803788</v>
      </c>
      <c r="H68" s="10">
        <f>[1]!GLFB1.131</f>
        <v>20804690</v>
      </c>
      <c r="I68" s="10">
        <f>[1]!GLFB1.132</f>
        <v>10989732</v>
      </c>
      <c r="J68" s="10">
        <f>[1]!GLFB1.133</f>
        <v>2088371110</v>
      </c>
      <c r="K68" s="10" t="str">
        <f>[1]!GLFB1.135</f>
        <v xml:space="preserve"> -</v>
      </c>
      <c r="L68" s="10" t="str">
        <f>[1]!GLFB1.136</f>
        <v xml:space="preserve"> -</v>
      </c>
      <c r="M68" s="10" t="str">
        <f>[1]!GLFB1.437</f>
        <v xml:space="preserve"> -</v>
      </c>
      <c r="N68" s="10" t="str">
        <f>[1]!GLFB1.406</f>
        <v xml:space="preserve"> -</v>
      </c>
      <c r="O68" s="10" t="str">
        <f>[1]!GLFB1.407</f>
        <v xml:space="preserve"> -</v>
      </c>
      <c r="P68" s="10" t="str">
        <f>[1]!GLFB1.431</f>
        <v>-</v>
      </c>
      <c r="Q68" s="10" t="str">
        <f>[1]!GLFB1.201</f>
        <v xml:space="preserve"> -</v>
      </c>
      <c r="R68" s="10" t="str">
        <f>[1]!GLFB1.202</f>
        <v xml:space="preserve"> -</v>
      </c>
      <c r="S68" s="10" t="str">
        <f>[1]!GLFB1.203</f>
        <v xml:space="preserve"> -</v>
      </c>
      <c r="T68" s="10" t="str">
        <f>[1]!GLFB1.204</f>
        <v xml:space="preserve"> -</v>
      </c>
      <c r="U68" s="10" t="str">
        <f>[1]!GLFB1.205</f>
        <v xml:space="preserve"> -</v>
      </c>
      <c r="V68" s="10" t="str">
        <f>[1]!GLFB1.211</f>
        <v xml:space="preserve"> -</v>
      </c>
      <c r="W68" s="10" t="str">
        <f>[1]!GLFB1.212</f>
        <v xml:space="preserve"> -</v>
      </c>
      <c r="X68" s="10" t="str">
        <f>[1]!GLFB1.213</f>
        <v xml:space="preserve"> -</v>
      </c>
      <c r="Y68" s="10" t="str">
        <f>[1]!GLFB1.214</f>
        <v xml:space="preserve"> -</v>
      </c>
      <c r="Z68" s="10" t="str">
        <f>[1]!GLFB1.215</f>
        <v xml:space="preserve"> -</v>
      </c>
      <c r="AA68" s="10" t="str">
        <f>[1]!GLFB1.221</f>
        <v>-</v>
      </c>
      <c r="AB68" s="10" t="str">
        <f>[1]!GLFB1.222</f>
        <v>-</v>
      </c>
      <c r="AC68" s="10" t="str">
        <f>[1]!GLFB1.223</f>
        <v>-</v>
      </c>
      <c r="AD68" s="10" t="str">
        <f>[1]!GLFB1.224</f>
        <v>-</v>
      </c>
      <c r="AE68" s="10" t="str">
        <f>[1]!GLFB1.225</f>
        <v>-</v>
      </c>
      <c r="AF68" s="10" t="str">
        <f>[1]!GLFB1.231</f>
        <v>-</v>
      </c>
      <c r="AG68" s="10" t="str">
        <f>[1]!GLFB1.232</f>
        <v>-</v>
      </c>
      <c r="AH68" s="10" t="str">
        <f>[1]!GLFB1.233</f>
        <v>-</v>
      </c>
      <c r="AI68" s="10" t="str">
        <f>[1]!GLFB1.234</f>
        <v>-</v>
      </c>
      <c r="AJ68" s="10" t="str">
        <f>[1]!GLFB1.235</f>
        <v>-</v>
      </c>
    </row>
    <row r="69" spans="1:36" s="10" customFormat="1" x14ac:dyDescent="0.25">
      <c r="A69" s="10" t="str">
        <f>"GMFB1"</f>
        <v>GMFB1</v>
      </c>
      <c r="B69" s="10" t="str">
        <f>[1]!GMFB1.402</f>
        <v>加權指數</v>
      </c>
      <c r="C69" s="10">
        <f>[1]!GMFB1.123</f>
        <v>100145</v>
      </c>
      <c r="D69" s="10">
        <f>[1]!GMFB1.124</f>
        <v>16422.560000000001</v>
      </c>
      <c r="E69" s="10">
        <f>[1]!GMFB1.125</f>
        <v>-20.84</v>
      </c>
      <c r="F69" s="10">
        <f>[1]!GMFB1.128</f>
        <v>1824</v>
      </c>
      <c r="G69" s="10">
        <f>[1]!GMFB1.130</f>
        <v>16329.54</v>
      </c>
      <c r="H69" s="10">
        <f>[1]!GMFB1.131</f>
        <v>16456.939999999999</v>
      </c>
      <c r="I69" s="10">
        <f>[1]!GMFB1.132</f>
        <v>16329.54</v>
      </c>
      <c r="J69" s="10">
        <f>[1]!GMFB1.133</f>
        <v>4024617</v>
      </c>
      <c r="K69" s="10" t="str">
        <f>[1]!GMFB1.135</f>
        <v xml:space="preserve"> -</v>
      </c>
      <c r="L69" s="10" t="str">
        <f>[1]!GMFB1.136</f>
        <v xml:space="preserve"> -</v>
      </c>
      <c r="M69" s="10" t="str">
        <f>[1]!GMFB1.437</f>
        <v xml:space="preserve"> -</v>
      </c>
      <c r="N69" s="10" t="str">
        <f>[1]!GMFB1.406</f>
        <v xml:space="preserve"> -</v>
      </c>
      <c r="O69" s="10" t="str">
        <f>[1]!GMFB1.407</f>
        <v xml:space="preserve"> -</v>
      </c>
      <c r="P69" s="10" t="str">
        <f>[1]!GMFB1.431</f>
        <v>-</v>
      </c>
      <c r="Q69" s="10" t="str">
        <f>[1]!GMFB1.201</f>
        <v xml:space="preserve"> -</v>
      </c>
      <c r="R69" s="10" t="str">
        <f>[1]!GMFB1.202</f>
        <v xml:space="preserve"> -</v>
      </c>
      <c r="S69" s="10" t="str">
        <f>[1]!GMFB1.203</f>
        <v xml:space="preserve"> -</v>
      </c>
      <c r="T69" s="10" t="str">
        <f>[1]!GMFB1.204</f>
        <v xml:space="preserve"> -</v>
      </c>
      <c r="U69" s="10" t="str">
        <f>[1]!GMFB1.205</f>
        <v xml:space="preserve"> -</v>
      </c>
      <c r="V69" s="10" t="str">
        <f>[1]!GMFB1.211</f>
        <v xml:space="preserve"> -</v>
      </c>
      <c r="W69" s="10" t="str">
        <f>[1]!GMFB1.212</f>
        <v xml:space="preserve"> -</v>
      </c>
      <c r="X69" s="10" t="str">
        <f>[1]!GMFB1.213</f>
        <v xml:space="preserve"> -</v>
      </c>
      <c r="Y69" s="10" t="str">
        <f>[1]!GMFB1.214</f>
        <v xml:space="preserve"> -</v>
      </c>
      <c r="Z69" s="10" t="str">
        <f>[1]!GMFB1.215</f>
        <v xml:space="preserve"> -</v>
      </c>
      <c r="AA69" s="10" t="str">
        <f>[1]!GMFB1.221</f>
        <v>-</v>
      </c>
      <c r="AB69" s="10" t="str">
        <f>[1]!GMFB1.222</f>
        <v>-</v>
      </c>
      <c r="AC69" s="10" t="str">
        <f>[1]!GMFB1.223</f>
        <v>-</v>
      </c>
      <c r="AD69" s="10" t="str">
        <f>[1]!GMFB1.224</f>
        <v>-</v>
      </c>
      <c r="AE69" s="10" t="str">
        <f>[1]!GMFB1.225</f>
        <v>-</v>
      </c>
      <c r="AF69" s="10" t="str">
        <f>[1]!GMFB1.231</f>
        <v>-</v>
      </c>
      <c r="AG69" s="10" t="str">
        <f>[1]!GMFB1.232</f>
        <v>-</v>
      </c>
      <c r="AH69" s="10" t="str">
        <f>[1]!GMFB1.233</f>
        <v>-</v>
      </c>
      <c r="AI69" s="10" t="str">
        <f>[1]!GMFB1.234</f>
        <v>-</v>
      </c>
      <c r="AJ69" s="10" t="str">
        <f>[1]!GMFB1.235</f>
        <v>-</v>
      </c>
    </row>
    <row r="70" spans="1:36" s="10" customFormat="1" x14ac:dyDescent="0.25">
      <c r="A70" s="10" t="str">
        <f>"GNFB1"</f>
        <v>GNFB1</v>
      </c>
      <c r="B70" s="10" t="e">
        <f>[1]!GNFB1.402</f>
        <v>#N/A</v>
      </c>
      <c r="C70" s="10">
        <f>[1]!GNFB1.123</f>
        <v>0</v>
      </c>
      <c r="D70" s="10">
        <f>[1]!GNFB1.124</f>
        <v>20878632</v>
      </c>
      <c r="E70" s="10" t="str">
        <f>[1]!GNFB1.125</f>
        <v xml:space="preserve"> </v>
      </c>
      <c r="F70" s="10">
        <f>[1]!GNFB1.128</f>
        <v>1212870150</v>
      </c>
      <c r="G70" s="10">
        <f>[1]!GNFB1.130</f>
        <v>20803788</v>
      </c>
      <c r="H70" s="10">
        <f>[1]!GNFB1.131</f>
        <v>20804690</v>
      </c>
      <c r="I70" s="10">
        <f>[1]!GNFB1.132</f>
        <v>10989732</v>
      </c>
      <c r="J70" s="10">
        <f>[1]!GNFB1.133</f>
        <v>2088371110</v>
      </c>
      <c r="K70" s="10" t="str">
        <f>[1]!GNFB1.135</f>
        <v xml:space="preserve"> -</v>
      </c>
      <c r="L70" s="10" t="str">
        <f>[1]!GNFB1.136</f>
        <v xml:space="preserve"> -</v>
      </c>
      <c r="M70" s="10" t="str">
        <f>[1]!GNFB1.437</f>
        <v xml:space="preserve"> -</v>
      </c>
      <c r="N70" s="10" t="str">
        <f>[1]!GNFB1.406</f>
        <v xml:space="preserve"> -</v>
      </c>
      <c r="O70" s="10" t="str">
        <f>[1]!GNFB1.407</f>
        <v xml:space="preserve"> -</v>
      </c>
      <c r="P70" s="10" t="str">
        <f>[1]!GNFB1.431</f>
        <v>-</v>
      </c>
      <c r="Q70" s="10" t="str">
        <f>[1]!GNFB1.201</f>
        <v xml:space="preserve"> -</v>
      </c>
      <c r="R70" s="10" t="str">
        <f>[1]!GNFB1.202</f>
        <v xml:space="preserve"> -</v>
      </c>
      <c r="S70" s="10" t="str">
        <f>[1]!GNFB1.203</f>
        <v xml:space="preserve"> -</v>
      </c>
      <c r="T70" s="10" t="str">
        <f>[1]!GNFB1.204</f>
        <v xml:space="preserve"> -</v>
      </c>
      <c r="U70" s="10" t="str">
        <f>[1]!GNFB1.205</f>
        <v xml:space="preserve"> -</v>
      </c>
      <c r="V70" s="10" t="str">
        <f>[1]!GNFB1.211</f>
        <v xml:space="preserve"> -</v>
      </c>
      <c r="W70" s="10" t="str">
        <f>[1]!GNFB1.212</f>
        <v xml:space="preserve"> -</v>
      </c>
      <c r="X70" s="10" t="str">
        <f>[1]!GNFB1.213</f>
        <v xml:space="preserve"> -</v>
      </c>
      <c r="Y70" s="10" t="str">
        <f>[1]!GNFB1.214</f>
        <v xml:space="preserve"> -</v>
      </c>
      <c r="Z70" s="10" t="str">
        <f>[1]!GNFB1.215</f>
        <v xml:space="preserve"> -</v>
      </c>
      <c r="AA70" s="10" t="str">
        <f>[1]!GNFB1.221</f>
        <v>-</v>
      </c>
      <c r="AB70" s="10" t="str">
        <f>[1]!GNFB1.222</f>
        <v>-</v>
      </c>
      <c r="AC70" s="10" t="str">
        <f>[1]!GNFB1.223</f>
        <v>-</v>
      </c>
      <c r="AD70" s="10" t="str">
        <f>[1]!GNFB1.224</f>
        <v>-</v>
      </c>
      <c r="AE70" s="10" t="str">
        <f>[1]!GNFB1.225</f>
        <v>-</v>
      </c>
      <c r="AF70" s="10" t="str">
        <f>[1]!GNFB1.231</f>
        <v>-</v>
      </c>
      <c r="AG70" s="10" t="str">
        <f>[1]!GNFB1.232</f>
        <v>-</v>
      </c>
      <c r="AH70" s="10" t="str">
        <f>[1]!GNFB1.233</f>
        <v>-</v>
      </c>
      <c r="AI70" s="10" t="str">
        <f>[1]!GNFB1.234</f>
        <v>-</v>
      </c>
      <c r="AJ70" s="10" t="str">
        <f>[1]!GNFB1.235</f>
        <v>-</v>
      </c>
    </row>
    <row r="71" spans="1:36" s="10" customFormat="1" x14ac:dyDescent="0.25">
      <c r="A71" s="10" t="str">
        <f>"GOFB1"</f>
        <v>GOFB1</v>
      </c>
      <c r="B71" s="10" t="str">
        <f>[1]!GOFB1.402</f>
        <v>不含金電</v>
      </c>
      <c r="C71" s="10">
        <f>[1]!GOFB1.123</f>
        <v>100145</v>
      </c>
      <c r="D71" s="10">
        <f>[1]!GOFB1.124</f>
        <v>13895.21</v>
      </c>
      <c r="E71" s="10">
        <f>[1]!GOFB1.125</f>
        <v>8.6300000000000008</v>
      </c>
      <c r="F71" s="10">
        <f>[1]!GOFB1.128</f>
        <v>435</v>
      </c>
      <c r="G71" s="10">
        <f>[1]!GOFB1.130</f>
        <v>13893.03</v>
      </c>
      <c r="H71" s="10">
        <f>[1]!GOFB1.131</f>
        <v>13945.78</v>
      </c>
      <c r="I71" s="10">
        <f>[1]!GOFB1.132</f>
        <v>13875.82</v>
      </c>
      <c r="J71" s="10">
        <f>[1]!GOFB1.133</f>
        <v>872940</v>
      </c>
      <c r="K71" s="10" t="str">
        <f>[1]!GOFB1.135</f>
        <v xml:space="preserve"> -</v>
      </c>
      <c r="L71" s="10" t="str">
        <f>[1]!GOFB1.136</f>
        <v xml:space="preserve"> -</v>
      </c>
      <c r="M71" s="10" t="str">
        <f>[1]!GOFB1.437</f>
        <v xml:space="preserve"> -</v>
      </c>
      <c r="N71" s="10" t="str">
        <f>[1]!GOFB1.406</f>
        <v xml:space="preserve"> -</v>
      </c>
      <c r="O71" s="10" t="str">
        <f>[1]!GOFB1.407</f>
        <v xml:space="preserve"> -</v>
      </c>
      <c r="P71" s="10" t="str">
        <f>[1]!GOFB1.431</f>
        <v>-</v>
      </c>
      <c r="Q71" s="10" t="str">
        <f>[1]!GOFB1.201</f>
        <v xml:space="preserve"> -</v>
      </c>
      <c r="R71" s="10" t="str">
        <f>[1]!GOFB1.202</f>
        <v xml:space="preserve"> -</v>
      </c>
      <c r="S71" s="10" t="str">
        <f>[1]!GOFB1.203</f>
        <v xml:space="preserve"> -</v>
      </c>
      <c r="T71" s="10" t="str">
        <f>[1]!GOFB1.204</f>
        <v xml:space="preserve"> -</v>
      </c>
      <c r="U71" s="10" t="str">
        <f>[1]!GOFB1.205</f>
        <v xml:space="preserve"> -</v>
      </c>
      <c r="V71" s="10" t="str">
        <f>[1]!GOFB1.211</f>
        <v xml:space="preserve"> -</v>
      </c>
      <c r="W71" s="10" t="str">
        <f>[1]!GOFB1.212</f>
        <v xml:space="preserve"> -</v>
      </c>
      <c r="X71" s="10" t="str">
        <f>[1]!GOFB1.213</f>
        <v xml:space="preserve"> -</v>
      </c>
      <c r="Y71" s="10" t="str">
        <f>[1]!GOFB1.214</f>
        <v xml:space="preserve"> -</v>
      </c>
      <c r="Z71" s="10" t="str">
        <f>[1]!GOFB1.215</f>
        <v xml:space="preserve"> -</v>
      </c>
      <c r="AA71" s="10" t="str">
        <f>[1]!GOFB1.221</f>
        <v>-</v>
      </c>
      <c r="AB71" s="10" t="str">
        <f>[1]!GOFB1.222</f>
        <v>-</v>
      </c>
      <c r="AC71" s="10" t="str">
        <f>[1]!GOFB1.223</f>
        <v>-</v>
      </c>
      <c r="AD71" s="10" t="str">
        <f>[1]!GOFB1.224</f>
        <v>-</v>
      </c>
      <c r="AE71" s="10" t="str">
        <f>[1]!GOFB1.225</f>
        <v>-</v>
      </c>
      <c r="AF71" s="10" t="str">
        <f>[1]!GOFB1.231</f>
        <v>-</v>
      </c>
      <c r="AG71" s="10" t="str">
        <f>[1]!GOFB1.232</f>
        <v>-</v>
      </c>
      <c r="AH71" s="10" t="str">
        <f>[1]!GOFB1.233</f>
        <v>-</v>
      </c>
      <c r="AI71" s="10" t="str">
        <f>[1]!GOFB1.234</f>
        <v>-</v>
      </c>
      <c r="AJ71" s="10" t="str">
        <f>[1]!GOFB1.235</f>
        <v>-</v>
      </c>
    </row>
    <row r="72" spans="1:36" s="10" customFormat="1" x14ac:dyDescent="0.25">
      <c r="A72" s="10" t="str">
        <f>"CYFB1"</f>
        <v>CYFB1</v>
      </c>
      <c r="B72" s="10" t="str">
        <f>[1]!CYFB1.402</f>
        <v>加權指數</v>
      </c>
      <c r="C72" s="10">
        <f>[1]!CYFB1.123</f>
        <v>100150</v>
      </c>
      <c r="D72" s="10">
        <f>[1]!CYFB1.124</f>
        <v>16421.62</v>
      </c>
      <c r="E72" s="10">
        <f>[1]!CYFB1.125</f>
        <v>-21.78</v>
      </c>
      <c r="F72" s="10">
        <f>[1]!CYFB1.128</f>
        <v>2439</v>
      </c>
      <c r="G72" s="10">
        <f>[1]!CYFB1.130</f>
        <v>16329.54</v>
      </c>
      <c r="H72" s="10">
        <f>[1]!CYFB1.131</f>
        <v>16456.939999999999</v>
      </c>
      <c r="I72" s="10">
        <f>[1]!CYFB1.132</f>
        <v>16329.54</v>
      </c>
      <c r="J72" s="10">
        <f>[1]!CYFB1.133</f>
        <v>4027056</v>
      </c>
      <c r="K72" s="10" t="str">
        <f>[1]!CYFB1.135</f>
        <v xml:space="preserve"> -</v>
      </c>
      <c r="L72" s="10" t="str">
        <f>[1]!CYFB1.136</f>
        <v xml:space="preserve"> -</v>
      </c>
      <c r="M72" s="10" t="str">
        <f>[1]!CYFB1.437</f>
        <v xml:space="preserve"> -</v>
      </c>
      <c r="N72" s="10" t="str">
        <f>[1]!CYFB1.406</f>
        <v xml:space="preserve"> -</v>
      </c>
      <c r="O72" s="10" t="str">
        <f>[1]!CYFB1.407</f>
        <v xml:space="preserve"> -</v>
      </c>
      <c r="P72" s="10" t="str">
        <f>[1]!CYFB1.431</f>
        <v>-</v>
      </c>
      <c r="Q72" s="10" t="str">
        <f>[1]!CYFB1.201</f>
        <v xml:space="preserve"> -</v>
      </c>
      <c r="R72" s="10" t="str">
        <f>[1]!CYFB1.202</f>
        <v xml:space="preserve"> -</v>
      </c>
      <c r="S72" s="10" t="str">
        <f>[1]!CYFB1.203</f>
        <v xml:space="preserve"> -</v>
      </c>
      <c r="T72" s="10" t="str">
        <f>[1]!CYFB1.204</f>
        <v xml:space="preserve"> -</v>
      </c>
      <c r="U72" s="10" t="str">
        <f>[1]!CYFB1.205</f>
        <v xml:space="preserve"> -</v>
      </c>
      <c r="V72" s="10" t="str">
        <f>[1]!CYFB1.211</f>
        <v xml:space="preserve"> -</v>
      </c>
      <c r="W72" s="10" t="str">
        <f>[1]!CYFB1.212</f>
        <v xml:space="preserve"> -</v>
      </c>
      <c r="X72" s="10" t="str">
        <f>[1]!CYFB1.213</f>
        <v xml:space="preserve"> -</v>
      </c>
      <c r="Y72" s="10" t="str">
        <f>[1]!CYFB1.214</f>
        <v xml:space="preserve"> -</v>
      </c>
      <c r="Z72" s="10" t="str">
        <f>[1]!CYFB1.215</f>
        <v xml:space="preserve"> -</v>
      </c>
      <c r="AA72" s="10" t="str">
        <f>[1]!CYFB1.221</f>
        <v>-</v>
      </c>
      <c r="AB72" s="10" t="str">
        <f>[1]!CYFB1.222</f>
        <v>-</v>
      </c>
      <c r="AC72" s="10" t="str">
        <f>[1]!CYFB1.223</f>
        <v>-</v>
      </c>
      <c r="AD72" s="10" t="str">
        <f>[1]!CYFB1.224</f>
        <v>-</v>
      </c>
      <c r="AE72" s="10" t="str">
        <f>[1]!CYFB1.225</f>
        <v>-</v>
      </c>
      <c r="AF72" s="10" t="str">
        <f>[1]!CYFB1.231</f>
        <v>-</v>
      </c>
      <c r="AG72" s="10" t="str">
        <f>[1]!CYFB1.232</f>
        <v>-</v>
      </c>
      <c r="AH72" s="10" t="str">
        <f>[1]!CYFB1.233</f>
        <v>-</v>
      </c>
      <c r="AI72" s="10" t="str">
        <f>[1]!CYFB1.234</f>
        <v>-</v>
      </c>
      <c r="AJ72" s="10" t="str">
        <f>[1]!CYFB1.235</f>
        <v>-</v>
      </c>
    </row>
    <row r="73" spans="1:36" s="10" customFormat="1" x14ac:dyDescent="0.25">
      <c r="A73" s="10" t="str">
        <f>"CHFB1"</f>
        <v>CHFB1</v>
      </c>
      <c r="B73" s="10" t="e">
        <f>[1]!CHFB1.402</f>
        <v>#N/A</v>
      </c>
      <c r="C73" s="10">
        <f>[1]!CHFB1.123</f>
        <v>0</v>
      </c>
      <c r="D73" s="10">
        <f>[1]!CHFB1.124</f>
        <v>20878632</v>
      </c>
      <c r="E73" s="10" t="str">
        <f>[1]!CHFB1.125</f>
        <v xml:space="preserve"> </v>
      </c>
      <c r="F73" s="10">
        <f>[1]!CHFB1.128</f>
        <v>1212870150</v>
      </c>
      <c r="G73" s="10">
        <f>[1]!CHFB1.130</f>
        <v>20803788</v>
      </c>
      <c r="H73" s="10">
        <f>[1]!CHFB1.131</f>
        <v>20804690</v>
      </c>
      <c r="I73" s="10">
        <f>[1]!CHFB1.132</f>
        <v>10989732</v>
      </c>
      <c r="J73" s="10">
        <f>[1]!CHFB1.133</f>
        <v>2088371110</v>
      </c>
      <c r="K73" s="10" t="str">
        <f>[1]!CHFB1.135</f>
        <v xml:space="preserve"> -</v>
      </c>
      <c r="L73" s="10" t="str">
        <f>[1]!CHFB1.136</f>
        <v xml:space="preserve"> -</v>
      </c>
      <c r="M73" s="10" t="str">
        <f>[1]!CHFB1.437</f>
        <v xml:space="preserve"> -</v>
      </c>
      <c r="N73" s="10" t="str">
        <f>[1]!CHFB1.406</f>
        <v xml:space="preserve"> -</v>
      </c>
      <c r="O73" s="10" t="str">
        <f>[1]!CHFB1.407</f>
        <v xml:space="preserve"> -</v>
      </c>
      <c r="P73" s="10" t="str">
        <f>[1]!CHFB1.431</f>
        <v>-</v>
      </c>
      <c r="Q73" s="10" t="str">
        <f>[1]!CHFB1.201</f>
        <v xml:space="preserve"> -</v>
      </c>
      <c r="R73" s="10" t="str">
        <f>[1]!CHFB1.202</f>
        <v xml:space="preserve"> -</v>
      </c>
      <c r="S73" s="10" t="str">
        <f>[1]!CHFB1.203</f>
        <v xml:space="preserve"> -</v>
      </c>
      <c r="T73" s="10" t="str">
        <f>[1]!CHFB1.204</f>
        <v xml:space="preserve"> -</v>
      </c>
      <c r="U73" s="10" t="str">
        <f>[1]!CHFB1.205</f>
        <v xml:space="preserve"> -</v>
      </c>
      <c r="V73" s="10" t="str">
        <f>[1]!CHFB1.211</f>
        <v xml:space="preserve"> -</v>
      </c>
      <c r="W73" s="10" t="str">
        <f>[1]!CHFB1.212</f>
        <v xml:space="preserve"> -</v>
      </c>
      <c r="X73" s="10" t="str">
        <f>[1]!CHFB1.213</f>
        <v xml:space="preserve"> -</v>
      </c>
      <c r="Y73" s="10" t="str">
        <f>[1]!CHFB1.214</f>
        <v xml:space="preserve"> -</v>
      </c>
      <c r="Z73" s="10" t="str">
        <f>[1]!CHFB1.215</f>
        <v xml:space="preserve"> -</v>
      </c>
      <c r="AA73" s="10" t="str">
        <f>[1]!CHFB1.221</f>
        <v>-</v>
      </c>
      <c r="AB73" s="10" t="str">
        <f>[1]!CHFB1.222</f>
        <v>-</v>
      </c>
      <c r="AC73" s="10" t="str">
        <f>[1]!CHFB1.223</f>
        <v>-</v>
      </c>
      <c r="AD73" s="10" t="str">
        <f>[1]!CHFB1.224</f>
        <v>-</v>
      </c>
      <c r="AE73" s="10" t="str">
        <f>[1]!CHFB1.225</f>
        <v>-</v>
      </c>
      <c r="AF73" s="10" t="str">
        <f>[1]!CHFB1.231</f>
        <v>-</v>
      </c>
      <c r="AG73" s="10" t="str">
        <f>[1]!CHFB1.232</f>
        <v>-</v>
      </c>
      <c r="AH73" s="10" t="str">
        <f>[1]!CHFB1.233</f>
        <v>-</v>
      </c>
      <c r="AI73" s="10" t="str">
        <f>[1]!CHFB1.234</f>
        <v>-</v>
      </c>
      <c r="AJ73" s="10" t="str">
        <f>[1]!CHFB1.235</f>
        <v>-</v>
      </c>
    </row>
    <row r="74" spans="1:36" s="10" customFormat="1" x14ac:dyDescent="0.25">
      <c r="A74" s="10" t="str">
        <f>"DLFB1"</f>
        <v>DLFB1</v>
      </c>
      <c r="B74" s="10" t="str">
        <f>[1]!DLFB1.402</f>
        <v>加權指數</v>
      </c>
      <c r="C74" s="10">
        <f>[1]!DLFB1.123</f>
        <v>100145</v>
      </c>
      <c r="D74" s="10">
        <f>[1]!DLFB1.124</f>
        <v>16422.560000000001</v>
      </c>
      <c r="E74" s="10">
        <f>[1]!DLFB1.125</f>
        <v>-20.84</v>
      </c>
      <c r="F74" s="10">
        <f>[1]!DLFB1.128</f>
        <v>1824</v>
      </c>
      <c r="G74" s="10">
        <f>[1]!DLFB1.130</f>
        <v>16329.54</v>
      </c>
      <c r="H74" s="10">
        <f>[1]!DLFB1.131</f>
        <v>16456.939999999999</v>
      </c>
      <c r="I74" s="10">
        <f>[1]!DLFB1.132</f>
        <v>16329.54</v>
      </c>
      <c r="J74" s="10">
        <f>[1]!DLFB1.133</f>
        <v>4024617</v>
      </c>
      <c r="K74" s="10" t="str">
        <f>[1]!DLFB1.135</f>
        <v xml:space="preserve"> -</v>
      </c>
      <c r="L74" s="10" t="str">
        <f>[1]!DLFB1.136</f>
        <v xml:space="preserve"> -</v>
      </c>
      <c r="M74" s="10" t="str">
        <f>[1]!DLFB1.437</f>
        <v xml:space="preserve"> -</v>
      </c>
      <c r="N74" s="10" t="str">
        <f>[1]!DLFB1.406</f>
        <v xml:space="preserve"> -</v>
      </c>
      <c r="O74" s="10" t="str">
        <f>[1]!DLFB1.407</f>
        <v xml:space="preserve"> -</v>
      </c>
      <c r="P74" s="10" t="str">
        <f>[1]!DLFB1.431</f>
        <v>-</v>
      </c>
      <c r="Q74" s="10" t="str">
        <f>[1]!DLFB1.201</f>
        <v xml:space="preserve"> -</v>
      </c>
      <c r="R74" s="10" t="str">
        <f>[1]!DLFB1.202</f>
        <v xml:space="preserve"> -</v>
      </c>
      <c r="S74" s="10" t="str">
        <f>[1]!DLFB1.203</f>
        <v xml:space="preserve"> -</v>
      </c>
      <c r="T74" s="10" t="str">
        <f>[1]!DLFB1.204</f>
        <v xml:space="preserve"> -</v>
      </c>
      <c r="U74" s="10" t="str">
        <f>[1]!DLFB1.205</f>
        <v xml:space="preserve"> -</v>
      </c>
      <c r="V74" s="10" t="str">
        <f>[1]!DLFB1.211</f>
        <v xml:space="preserve"> -</v>
      </c>
      <c r="W74" s="10" t="str">
        <f>[1]!DLFB1.212</f>
        <v xml:space="preserve"> -</v>
      </c>
      <c r="X74" s="10" t="str">
        <f>[1]!DLFB1.213</f>
        <v xml:space="preserve"> -</v>
      </c>
      <c r="Y74" s="10" t="str">
        <f>[1]!DLFB1.214</f>
        <v xml:space="preserve"> -</v>
      </c>
      <c r="Z74" s="10" t="str">
        <f>[1]!DLFB1.215</f>
        <v xml:space="preserve"> -</v>
      </c>
      <c r="AA74" s="10" t="str">
        <f>[1]!DLFB1.221</f>
        <v>-</v>
      </c>
      <c r="AB74" s="10" t="str">
        <f>[1]!DLFB1.222</f>
        <v>-</v>
      </c>
      <c r="AC74" s="10" t="str">
        <f>[1]!DLFB1.223</f>
        <v>-</v>
      </c>
      <c r="AD74" s="10" t="str">
        <f>[1]!DLFB1.224</f>
        <v>-</v>
      </c>
      <c r="AE74" s="10" t="str">
        <f>[1]!DLFB1.225</f>
        <v>-</v>
      </c>
      <c r="AF74" s="10" t="str">
        <f>[1]!DLFB1.231</f>
        <v>-</v>
      </c>
      <c r="AG74" s="10" t="str">
        <f>[1]!DLFB1.232</f>
        <v>-</v>
      </c>
      <c r="AH74" s="10" t="str">
        <f>[1]!DLFB1.233</f>
        <v>-</v>
      </c>
      <c r="AI74" s="10" t="str">
        <f>[1]!DLFB1.234</f>
        <v>-</v>
      </c>
      <c r="AJ74" s="10" t="str">
        <f>[1]!DLFB1.235</f>
        <v>-</v>
      </c>
    </row>
    <row r="75" spans="1:36" s="10" customFormat="1" x14ac:dyDescent="0.25">
      <c r="A75" s="10" t="str">
        <f>"MKFB1"</f>
        <v>MKFB1</v>
      </c>
      <c r="B75" s="10" t="str">
        <f>[1]!MKFB1.402</f>
        <v>加權指數</v>
      </c>
      <c r="C75" s="10">
        <f>[1]!MKFB1.123</f>
        <v>100135</v>
      </c>
      <c r="D75" s="10">
        <f>[1]!MKFB1.124</f>
        <v>16424.64</v>
      </c>
      <c r="E75" s="10">
        <f>[1]!MKFB1.125</f>
        <v>-18.760000000000002</v>
      </c>
      <c r="F75" s="10">
        <f>[1]!MKFB1.128</f>
        <v>1648</v>
      </c>
      <c r="G75" s="10">
        <f>[1]!MKFB1.130</f>
        <v>16329.54</v>
      </c>
      <c r="H75" s="10">
        <f>[1]!MKFB1.131</f>
        <v>16456.939999999999</v>
      </c>
      <c r="I75" s="10">
        <f>[1]!MKFB1.132</f>
        <v>16329.54</v>
      </c>
      <c r="J75" s="10">
        <f>[1]!MKFB1.133</f>
        <v>4020107</v>
      </c>
      <c r="K75" s="10" t="str">
        <f>[1]!MKFB1.135</f>
        <v xml:space="preserve"> -</v>
      </c>
      <c r="L75" s="10" t="str">
        <f>[1]!MKFB1.136</f>
        <v xml:space="preserve"> -</v>
      </c>
      <c r="M75" s="10" t="str">
        <f>[1]!MKFB1.437</f>
        <v xml:space="preserve"> -</v>
      </c>
      <c r="N75" s="10" t="str">
        <f>[1]!MKFB1.406</f>
        <v xml:space="preserve"> -</v>
      </c>
      <c r="O75" s="10" t="str">
        <f>[1]!MKFB1.407</f>
        <v xml:space="preserve"> -</v>
      </c>
      <c r="P75" s="10" t="str">
        <f>[1]!MKFB1.431</f>
        <v>-</v>
      </c>
      <c r="Q75" s="10" t="str">
        <f>[1]!MKFB1.201</f>
        <v xml:space="preserve"> -</v>
      </c>
      <c r="R75" s="10" t="str">
        <f>[1]!MKFB1.202</f>
        <v xml:space="preserve"> -</v>
      </c>
      <c r="S75" s="10" t="str">
        <f>[1]!MKFB1.203</f>
        <v xml:space="preserve"> -</v>
      </c>
      <c r="T75" s="10" t="str">
        <f>[1]!MKFB1.204</f>
        <v xml:space="preserve"> -</v>
      </c>
      <c r="U75" s="10" t="str">
        <f>[1]!MKFB1.205</f>
        <v xml:space="preserve"> -</v>
      </c>
      <c r="V75" s="10" t="str">
        <f>[1]!MKFB1.211</f>
        <v xml:space="preserve"> -</v>
      </c>
      <c r="W75" s="10" t="str">
        <f>[1]!MKFB1.212</f>
        <v xml:space="preserve"> -</v>
      </c>
      <c r="X75" s="10" t="str">
        <f>[1]!MKFB1.213</f>
        <v xml:space="preserve"> -</v>
      </c>
      <c r="Y75" s="10" t="str">
        <f>[1]!MKFB1.214</f>
        <v xml:space="preserve"> -</v>
      </c>
      <c r="Z75" s="10" t="str">
        <f>[1]!MKFB1.215</f>
        <v xml:space="preserve"> -</v>
      </c>
      <c r="AA75" s="10" t="str">
        <f>[1]!MKFB1.221</f>
        <v>-</v>
      </c>
      <c r="AB75" s="10" t="str">
        <f>[1]!MKFB1.222</f>
        <v>-</v>
      </c>
      <c r="AC75" s="10" t="str">
        <f>[1]!MKFB1.223</f>
        <v>-</v>
      </c>
      <c r="AD75" s="10" t="str">
        <f>[1]!MKFB1.224</f>
        <v>-</v>
      </c>
      <c r="AE75" s="10" t="str">
        <f>[1]!MKFB1.225</f>
        <v>-</v>
      </c>
      <c r="AF75" s="10" t="str">
        <f>[1]!MKFB1.231</f>
        <v>-</v>
      </c>
      <c r="AG75" s="10" t="str">
        <f>[1]!MKFB1.232</f>
        <v>-</v>
      </c>
      <c r="AH75" s="10" t="str">
        <f>[1]!MKFB1.233</f>
        <v>-</v>
      </c>
      <c r="AI75" s="10" t="str">
        <f>[1]!MKFB1.234</f>
        <v>-</v>
      </c>
      <c r="AJ75" s="10" t="str">
        <f>[1]!MKFB1.235</f>
        <v>-</v>
      </c>
    </row>
    <row r="76" spans="1:36" s="10" customFormat="1" x14ac:dyDescent="0.25">
      <c r="A76" s="10" t="str">
        <f>"GRFB1"</f>
        <v>GRFB1</v>
      </c>
      <c r="B76" s="10" t="str">
        <f>[1]!GRFB1.402</f>
        <v>不含金電</v>
      </c>
      <c r="C76" s="10">
        <f>[1]!GRFB1.123</f>
        <v>100140</v>
      </c>
      <c r="D76" s="10">
        <f>[1]!GRFB1.124</f>
        <v>13893.18</v>
      </c>
      <c r="E76" s="10">
        <f>[1]!GRFB1.125</f>
        <v>6.6</v>
      </c>
      <c r="F76" s="10">
        <f>[1]!GRFB1.128</f>
        <v>720</v>
      </c>
      <c r="G76" s="10">
        <f>[1]!GRFB1.130</f>
        <v>13893.03</v>
      </c>
      <c r="H76" s="10">
        <f>[1]!GRFB1.131</f>
        <v>13945.78</v>
      </c>
      <c r="I76" s="10">
        <f>[1]!GRFB1.132</f>
        <v>13875.82</v>
      </c>
      <c r="J76" s="10">
        <f>[1]!GRFB1.133</f>
        <v>872505</v>
      </c>
      <c r="K76" s="10" t="str">
        <f>[1]!GRFB1.135</f>
        <v xml:space="preserve"> -</v>
      </c>
      <c r="L76" s="10" t="str">
        <f>[1]!GRFB1.136</f>
        <v xml:space="preserve"> -</v>
      </c>
      <c r="M76" s="10" t="str">
        <f>[1]!GRFB1.437</f>
        <v xml:space="preserve"> -</v>
      </c>
      <c r="N76" s="10" t="str">
        <f>[1]!GRFB1.406</f>
        <v xml:space="preserve"> -</v>
      </c>
      <c r="O76" s="10" t="str">
        <f>[1]!GRFB1.407</f>
        <v xml:space="preserve"> -</v>
      </c>
      <c r="P76" s="10" t="str">
        <f>[1]!GRFB1.431</f>
        <v>-</v>
      </c>
      <c r="Q76" s="10" t="str">
        <f>[1]!GRFB1.201</f>
        <v xml:space="preserve"> -</v>
      </c>
      <c r="R76" s="10" t="str">
        <f>[1]!GRFB1.202</f>
        <v xml:space="preserve"> -</v>
      </c>
      <c r="S76" s="10" t="str">
        <f>[1]!GRFB1.203</f>
        <v xml:space="preserve"> -</v>
      </c>
      <c r="T76" s="10" t="str">
        <f>[1]!GRFB1.204</f>
        <v xml:space="preserve"> -</v>
      </c>
      <c r="U76" s="10" t="str">
        <f>[1]!GRFB1.205</f>
        <v xml:space="preserve"> -</v>
      </c>
      <c r="V76" s="10" t="str">
        <f>[1]!GRFB1.211</f>
        <v xml:space="preserve"> -</v>
      </c>
      <c r="W76" s="10" t="str">
        <f>[1]!GRFB1.212</f>
        <v xml:space="preserve"> -</v>
      </c>
      <c r="X76" s="10" t="str">
        <f>[1]!GRFB1.213</f>
        <v xml:space="preserve"> -</v>
      </c>
      <c r="Y76" s="10" t="str">
        <f>[1]!GRFB1.214</f>
        <v xml:space="preserve"> -</v>
      </c>
      <c r="Z76" s="10" t="str">
        <f>[1]!GRFB1.215</f>
        <v xml:space="preserve"> -</v>
      </c>
      <c r="AA76" s="10" t="str">
        <f>[1]!GRFB1.221</f>
        <v>-</v>
      </c>
      <c r="AB76" s="10" t="str">
        <f>[1]!GRFB1.222</f>
        <v>-</v>
      </c>
      <c r="AC76" s="10" t="str">
        <f>[1]!GRFB1.223</f>
        <v>-</v>
      </c>
      <c r="AD76" s="10" t="str">
        <f>[1]!GRFB1.224</f>
        <v>-</v>
      </c>
      <c r="AE76" s="10" t="str">
        <f>[1]!GRFB1.225</f>
        <v>-</v>
      </c>
      <c r="AF76" s="10" t="str">
        <f>[1]!GRFB1.231</f>
        <v>-</v>
      </c>
      <c r="AG76" s="10" t="str">
        <f>[1]!GRFB1.232</f>
        <v>-</v>
      </c>
      <c r="AH76" s="10" t="str">
        <f>[1]!GRFB1.233</f>
        <v>-</v>
      </c>
      <c r="AI76" s="10" t="str">
        <f>[1]!GRFB1.234</f>
        <v>-</v>
      </c>
      <c r="AJ76" s="10" t="str">
        <f>[1]!GRFB1.235</f>
        <v>-</v>
      </c>
    </row>
    <row r="77" spans="1:36" s="10" customFormat="1" x14ac:dyDescent="0.25">
      <c r="A77" s="10" t="str">
        <f>"PUFB1"</f>
        <v>PUFB1</v>
      </c>
      <c r="B77" s="10" t="str">
        <f>[1]!PUFB1.402</f>
        <v>加權指數</v>
      </c>
      <c r="C77" s="10">
        <f>[1]!PUFB1.123</f>
        <v>100145</v>
      </c>
      <c r="D77" s="10">
        <f>[1]!PUFB1.124</f>
        <v>16422.560000000001</v>
      </c>
      <c r="E77" s="10">
        <f>[1]!PUFB1.125</f>
        <v>-20.84</v>
      </c>
      <c r="F77" s="10">
        <f>[1]!PUFB1.128</f>
        <v>1824</v>
      </c>
      <c r="G77" s="10">
        <f>[1]!PUFB1.130</f>
        <v>16329.54</v>
      </c>
      <c r="H77" s="10">
        <f>[1]!PUFB1.131</f>
        <v>16456.939999999999</v>
      </c>
      <c r="I77" s="10">
        <f>[1]!PUFB1.132</f>
        <v>16329.54</v>
      </c>
      <c r="J77" s="10">
        <f>[1]!PUFB1.133</f>
        <v>4024617</v>
      </c>
      <c r="K77" s="10" t="str">
        <f>[1]!PUFB1.135</f>
        <v xml:space="preserve"> -</v>
      </c>
      <c r="L77" s="10" t="str">
        <f>[1]!PUFB1.136</f>
        <v xml:space="preserve"> -</v>
      </c>
      <c r="M77" s="10" t="str">
        <f>[1]!PUFB1.437</f>
        <v xml:space="preserve"> -</v>
      </c>
      <c r="N77" s="10" t="str">
        <f>[1]!PUFB1.406</f>
        <v xml:space="preserve"> -</v>
      </c>
      <c r="O77" s="10" t="str">
        <f>[1]!PUFB1.407</f>
        <v xml:space="preserve"> -</v>
      </c>
      <c r="P77" s="10" t="str">
        <f>[1]!PUFB1.431</f>
        <v>-</v>
      </c>
      <c r="Q77" s="10" t="str">
        <f>[1]!PUFB1.201</f>
        <v xml:space="preserve"> -</v>
      </c>
      <c r="R77" s="10" t="str">
        <f>[1]!PUFB1.202</f>
        <v xml:space="preserve"> -</v>
      </c>
      <c r="S77" s="10" t="str">
        <f>[1]!PUFB1.203</f>
        <v xml:space="preserve"> -</v>
      </c>
      <c r="T77" s="10" t="str">
        <f>[1]!PUFB1.204</f>
        <v xml:space="preserve"> -</v>
      </c>
      <c r="U77" s="10" t="str">
        <f>[1]!PUFB1.205</f>
        <v xml:space="preserve"> -</v>
      </c>
      <c r="V77" s="10" t="str">
        <f>[1]!PUFB1.211</f>
        <v xml:space="preserve"> -</v>
      </c>
      <c r="W77" s="10" t="str">
        <f>[1]!PUFB1.212</f>
        <v xml:space="preserve"> -</v>
      </c>
      <c r="X77" s="10" t="str">
        <f>[1]!PUFB1.213</f>
        <v xml:space="preserve"> -</v>
      </c>
      <c r="Y77" s="10" t="str">
        <f>[1]!PUFB1.214</f>
        <v xml:space="preserve"> -</v>
      </c>
      <c r="Z77" s="10" t="str">
        <f>[1]!PUFB1.215</f>
        <v xml:space="preserve"> -</v>
      </c>
      <c r="AA77" s="10" t="str">
        <f>[1]!PUFB1.221</f>
        <v>-</v>
      </c>
      <c r="AB77" s="10" t="str">
        <f>[1]!PUFB1.222</f>
        <v>-</v>
      </c>
      <c r="AC77" s="10" t="str">
        <f>[1]!PUFB1.223</f>
        <v>-</v>
      </c>
      <c r="AD77" s="10" t="str">
        <f>[1]!PUFB1.224</f>
        <v>-</v>
      </c>
      <c r="AE77" s="10" t="str">
        <f>[1]!PUFB1.225</f>
        <v>-</v>
      </c>
      <c r="AF77" s="10" t="str">
        <f>[1]!PUFB1.231</f>
        <v>-</v>
      </c>
      <c r="AG77" s="10" t="str">
        <f>[1]!PUFB1.232</f>
        <v>-</v>
      </c>
      <c r="AH77" s="10" t="str">
        <f>[1]!PUFB1.233</f>
        <v>-</v>
      </c>
      <c r="AI77" s="10" t="str">
        <f>[1]!PUFB1.234</f>
        <v>-</v>
      </c>
      <c r="AJ77" s="10" t="str">
        <f>[1]!PUFB1.235</f>
        <v>-</v>
      </c>
    </row>
    <row r="78" spans="1:36" s="10" customFormat="1" x14ac:dyDescent="0.25">
      <c r="A78" s="10" t="str">
        <f>"DVFB1"</f>
        <v>DVFB1</v>
      </c>
      <c r="B78" s="10" t="str">
        <f>[1]!DVFB1.402</f>
        <v>不含金電</v>
      </c>
      <c r="C78" s="10">
        <f>[1]!DVFB1.123</f>
        <v>100130</v>
      </c>
      <c r="D78" s="10">
        <f>[1]!DVFB1.124</f>
        <v>13895.08</v>
      </c>
      <c r="E78" s="10">
        <f>[1]!DVFB1.125</f>
        <v>8.5</v>
      </c>
      <c r="F78" s="10">
        <f>[1]!DVFB1.128</f>
        <v>449</v>
      </c>
      <c r="G78" s="10">
        <f>[1]!DVFB1.130</f>
        <v>13893.03</v>
      </c>
      <c r="H78" s="10">
        <f>[1]!DVFB1.131</f>
        <v>13945.78</v>
      </c>
      <c r="I78" s="10">
        <f>[1]!DVFB1.132</f>
        <v>13875.82</v>
      </c>
      <c r="J78" s="10">
        <f>[1]!DVFB1.133</f>
        <v>871174</v>
      </c>
      <c r="K78" s="10" t="str">
        <f>[1]!DVFB1.135</f>
        <v xml:space="preserve"> -</v>
      </c>
      <c r="L78" s="10" t="str">
        <f>[1]!DVFB1.136</f>
        <v xml:space="preserve"> -</v>
      </c>
      <c r="M78" s="10" t="str">
        <f>[1]!DVFB1.437</f>
        <v xml:space="preserve"> -</v>
      </c>
      <c r="N78" s="10" t="str">
        <f>[1]!DVFB1.406</f>
        <v xml:space="preserve"> -</v>
      </c>
      <c r="O78" s="10" t="str">
        <f>[1]!DVFB1.407</f>
        <v xml:space="preserve"> -</v>
      </c>
      <c r="P78" s="10" t="str">
        <f>[1]!DVFB1.431</f>
        <v>-</v>
      </c>
      <c r="Q78" s="10" t="str">
        <f>[1]!DVFB1.201</f>
        <v xml:space="preserve"> -</v>
      </c>
      <c r="R78" s="10" t="str">
        <f>[1]!DVFB1.202</f>
        <v xml:space="preserve"> -</v>
      </c>
      <c r="S78" s="10" t="str">
        <f>[1]!DVFB1.203</f>
        <v xml:space="preserve"> -</v>
      </c>
      <c r="T78" s="10" t="str">
        <f>[1]!DVFB1.204</f>
        <v xml:space="preserve"> -</v>
      </c>
      <c r="U78" s="10" t="str">
        <f>[1]!DVFB1.205</f>
        <v xml:space="preserve"> -</v>
      </c>
      <c r="V78" s="10" t="str">
        <f>[1]!DVFB1.211</f>
        <v xml:space="preserve"> -</v>
      </c>
      <c r="W78" s="10" t="str">
        <f>[1]!DVFB1.212</f>
        <v xml:space="preserve"> -</v>
      </c>
      <c r="X78" s="10" t="str">
        <f>[1]!DVFB1.213</f>
        <v xml:space="preserve"> -</v>
      </c>
      <c r="Y78" s="10" t="str">
        <f>[1]!DVFB1.214</f>
        <v xml:space="preserve"> -</v>
      </c>
      <c r="Z78" s="10" t="str">
        <f>[1]!DVFB1.215</f>
        <v xml:space="preserve"> -</v>
      </c>
      <c r="AA78" s="10" t="str">
        <f>[1]!DVFB1.221</f>
        <v>-</v>
      </c>
      <c r="AB78" s="10" t="str">
        <f>[1]!DVFB1.222</f>
        <v>-</v>
      </c>
      <c r="AC78" s="10" t="str">
        <f>[1]!DVFB1.223</f>
        <v>-</v>
      </c>
      <c r="AD78" s="10" t="str">
        <f>[1]!DVFB1.224</f>
        <v>-</v>
      </c>
      <c r="AE78" s="10" t="str">
        <f>[1]!DVFB1.225</f>
        <v>-</v>
      </c>
      <c r="AF78" s="10" t="str">
        <f>[1]!DVFB1.231</f>
        <v>-</v>
      </c>
      <c r="AG78" s="10" t="str">
        <f>[1]!DVFB1.232</f>
        <v>-</v>
      </c>
      <c r="AH78" s="10" t="str">
        <f>[1]!DVFB1.233</f>
        <v>-</v>
      </c>
      <c r="AI78" s="10" t="str">
        <f>[1]!DVFB1.234</f>
        <v>-</v>
      </c>
      <c r="AJ78" s="10" t="str">
        <f>[1]!DVFB1.235</f>
        <v>-</v>
      </c>
    </row>
    <row r="79" spans="1:36" s="10" customFormat="1" x14ac:dyDescent="0.25">
      <c r="A79" s="10" t="str">
        <f>"GUFB1"</f>
        <v>GUFB1</v>
      </c>
      <c r="B79" s="10" t="str">
        <f>[1]!GUFB1.402</f>
        <v>加權指數</v>
      </c>
      <c r="C79" s="10">
        <f>[1]!GUFB1.123</f>
        <v>100135</v>
      </c>
      <c r="D79" s="10">
        <f>[1]!GUFB1.124</f>
        <v>16424.64</v>
      </c>
      <c r="E79" s="10">
        <f>[1]!GUFB1.125</f>
        <v>-18.760000000000002</v>
      </c>
      <c r="F79" s="10">
        <f>[1]!GUFB1.128</f>
        <v>1648</v>
      </c>
      <c r="G79" s="10">
        <f>[1]!GUFB1.130</f>
        <v>16329.54</v>
      </c>
      <c r="H79" s="10">
        <f>[1]!GUFB1.131</f>
        <v>16456.939999999999</v>
      </c>
      <c r="I79" s="10">
        <f>[1]!GUFB1.132</f>
        <v>16329.54</v>
      </c>
      <c r="J79" s="10">
        <f>[1]!GUFB1.133</f>
        <v>4020107</v>
      </c>
      <c r="K79" s="10" t="str">
        <f>[1]!GUFB1.135</f>
        <v xml:space="preserve"> -</v>
      </c>
      <c r="L79" s="10" t="str">
        <f>[1]!GUFB1.136</f>
        <v xml:space="preserve"> -</v>
      </c>
      <c r="M79" s="10" t="str">
        <f>[1]!GUFB1.437</f>
        <v xml:space="preserve"> -</v>
      </c>
      <c r="N79" s="10" t="str">
        <f>[1]!GUFB1.406</f>
        <v xml:space="preserve"> -</v>
      </c>
      <c r="O79" s="10" t="str">
        <f>[1]!GUFB1.407</f>
        <v xml:space="preserve"> -</v>
      </c>
      <c r="P79" s="10" t="str">
        <f>[1]!GUFB1.431</f>
        <v>-</v>
      </c>
      <c r="Q79" s="10" t="str">
        <f>[1]!GUFB1.201</f>
        <v xml:space="preserve"> -</v>
      </c>
      <c r="R79" s="10" t="str">
        <f>[1]!GUFB1.202</f>
        <v xml:space="preserve"> -</v>
      </c>
      <c r="S79" s="10" t="str">
        <f>[1]!GUFB1.203</f>
        <v xml:space="preserve"> -</v>
      </c>
      <c r="T79" s="10" t="str">
        <f>[1]!GUFB1.204</f>
        <v xml:space="preserve"> -</v>
      </c>
      <c r="U79" s="10" t="str">
        <f>[1]!GUFB1.205</f>
        <v xml:space="preserve"> -</v>
      </c>
      <c r="V79" s="10" t="str">
        <f>[1]!GUFB1.211</f>
        <v xml:space="preserve"> -</v>
      </c>
      <c r="W79" s="10" t="str">
        <f>[1]!GUFB1.212</f>
        <v xml:space="preserve"> -</v>
      </c>
      <c r="X79" s="10" t="str">
        <f>[1]!GUFB1.213</f>
        <v xml:space="preserve"> -</v>
      </c>
      <c r="Y79" s="10" t="str">
        <f>[1]!GUFB1.214</f>
        <v xml:space="preserve"> -</v>
      </c>
      <c r="Z79" s="10" t="str">
        <f>[1]!GUFB1.215</f>
        <v xml:space="preserve"> -</v>
      </c>
      <c r="AA79" s="10" t="str">
        <f>[1]!GUFB1.221</f>
        <v>-</v>
      </c>
      <c r="AB79" s="10" t="str">
        <f>[1]!GUFB1.222</f>
        <v>-</v>
      </c>
      <c r="AC79" s="10" t="str">
        <f>[1]!GUFB1.223</f>
        <v>-</v>
      </c>
      <c r="AD79" s="10" t="str">
        <f>[1]!GUFB1.224</f>
        <v>-</v>
      </c>
      <c r="AE79" s="10" t="str">
        <f>[1]!GUFB1.225</f>
        <v>-</v>
      </c>
      <c r="AF79" s="10" t="str">
        <f>[1]!GUFB1.231</f>
        <v>-</v>
      </c>
      <c r="AG79" s="10" t="str">
        <f>[1]!GUFB1.232</f>
        <v>-</v>
      </c>
      <c r="AH79" s="10" t="str">
        <f>[1]!GUFB1.233</f>
        <v>-</v>
      </c>
      <c r="AI79" s="10" t="str">
        <f>[1]!GUFB1.234</f>
        <v>-</v>
      </c>
      <c r="AJ79" s="10" t="str">
        <f>[1]!GUFB1.235</f>
        <v>-</v>
      </c>
    </row>
    <row r="80" spans="1:36" s="10" customFormat="1" x14ac:dyDescent="0.25">
      <c r="A80" s="10" t="str">
        <f>"GWFB1"</f>
        <v>GWFB1</v>
      </c>
      <c r="B80" s="10" t="str">
        <f>[1]!GWFB1.402</f>
        <v>加權指數</v>
      </c>
      <c r="C80" s="10">
        <f>[1]!GWFB1.123</f>
        <v>100135</v>
      </c>
      <c r="D80" s="10">
        <f>[1]!GWFB1.124</f>
        <v>16424.64</v>
      </c>
      <c r="E80" s="10">
        <f>[1]!GWFB1.125</f>
        <v>-18.760000000000002</v>
      </c>
      <c r="F80" s="10">
        <f>[1]!GWFB1.128</f>
        <v>1648</v>
      </c>
      <c r="G80" s="10">
        <f>[1]!GWFB1.130</f>
        <v>16329.54</v>
      </c>
      <c r="H80" s="10">
        <f>[1]!GWFB1.131</f>
        <v>16456.939999999999</v>
      </c>
      <c r="I80" s="10">
        <f>[1]!GWFB1.132</f>
        <v>16329.54</v>
      </c>
      <c r="J80" s="10">
        <f>[1]!GWFB1.133</f>
        <v>4020107</v>
      </c>
      <c r="K80" s="10" t="str">
        <f>[1]!GWFB1.135</f>
        <v xml:space="preserve"> -</v>
      </c>
      <c r="L80" s="10" t="str">
        <f>[1]!GWFB1.136</f>
        <v xml:space="preserve"> -</v>
      </c>
      <c r="M80" s="10" t="str">
        <f>[1]!GWFB1.437</f>
        <v xml:space="preserve"> -</v>
      </c>
      <c r="N80" s="10" t="str">
        <f>[1]!GWFB1.406</f>
        <v xml:space="preserve"> -</v>
      </c>
      <c r="O80" s="10" t="str">
        <f>[1]!GWFB1.407</f>
        <v xml:space="preserve"> -</v>
      </c>
      <c r="P80" s="10" t="str">
        <f>[1]!GWFB1.431</f>
        <v>-</v>
      </c>
      <c r="Q80" s="10" t="str">
        <f>[1]!GWFB1.201</f>
        <v xml:space="preserve"> -</v>
      </c>
      <c r="R80" s="10" t="str">
        <f>[1]!GWFB1.202</f>
        <v xml:space="preserve"> -</v>
      </c>
      <c r="S80" s="10" t="str">
        <f>[1]!GWFB1.203</f>
        <v xml:space="preserve"> -</v>
      </c>
      <c r="T80" s="10" t="str">
        <f>[1]!GWFB1.204</f>
        <v xml:space="preserve"> -</v>
      </c>
      <c r="U80" s="10" t="str">
        <f>[1]!GWFB1.205</f>
        <v xml:space="preserve"> -</v>
      </c>
      <c r="V80" s="10" t="str">
        <f>[1]!GWFB1.211</f>
        <v xml:space="preserve"> -</v>
      </c>
      <c r="W80" s="10" t="str">
        <f>[1]!GWFB1.212</f>
        <v xml:space="preserve"> -</v>
      </c>
      <c r="X80" s="10" t="str">
        <f>[1]!GWFB1.213</f>
        <v xml:space="preserve"> -</v>
      </c>
      <c r="Y80" s="10" t="str">
        <f>[1]!GWFB1.214</f>
        <v xml:space="preserve"> -</v>
      </c>
      <c r="Z80" s="10" t="str">
        <f>[1]!GWFB1.215</f>
        <v xml:space="preserve"> -</v>
      </c>
      <c r="AA80" s="10" t="str">
        <f>[1]!GWFB1.221</f>
        <v>-</v>
      </c>
      <c r="AB80" s="10" t="str">
        <f>[1]!GWFB1.222</f>
        <v>-</v>
      </c>
      <c r="AC80" s="10" t="str">
        <f>[1]!GWFB1.223</f>
        <v>-</v>
      </c>
      <c r="AD80" s="10" t="str">
        <f>[1]!GWFB1.224</f>
        <v>-</v>
      </c>
      <c r="AE80" s="10" t="str">
        <f>[1]!GWFB1.225</f>
        <v>-</v>
      </c>
      <c r="AF80" s="10" t="str">
        <f>[1]!GWFB1.231</f>
        <v>-</v>
      </c>
      <c r="AG80" s="10" t="str">
        <f>[1]!GWFB1.232</f>
        <v>-</v>
      </c>
      <c r="AH80" s="10" t="str">
        <f>[1]!GWFB1.233</f>
        <v>-</v>
      </c>
      <c r="AI80" s="10" t="str">
        <f>[1]!GWFB1.234</f>
        <v>-</v>
      </c>
      <c r="AJ80" s="10" t="str">
        <f>[1]!GWFB1.235</f>
        <v>-</v>
      </c>
    </row>
    <row r="81" spans="1:36" s="10" customFormat="1" x14ac:dyDescent="0.25">
      <c r="A81" s="10" t="str">
        <f>"GXFB1"</f>
        <v>GXFB1</v>
      </c>
      <c r="B81" s="10" t="e">
        <f>[1]!GXFB1.402</f>
        <v>#N/A</v>
      </c>
      <c r="C81" s="10">
        <f>[1]!GXFB1.123</f>
        <v>0</v>
      </c>
      <c r="D81" s="10">
        <f>[1]!GXFB1.124</f>
        <v>20878632</v>
      </c>
      <c r="E81" s="10" t="str">
        <f>[1]!GXFB1.125</f>
        <v xml:space="preserve"> </v>
      </c>
      <c r="F81" s="10">
        <f>[1]!GXFB1.128</f>
        <v>1212870150</v>
      </c>
      <c r="G81" s="10">
        <f>[1]!GXFB1.130</f>
        <v>20803788</v>
      </c>
      <c r="H81" s="10">
        <f>[1]!GXFB1.131</f>
        <v>20804690</v>
      </c>
      <c r="I81" s="10">
        <f>[1]!GXFB1.132</f>
        <v>10989732</v>
      </c>
      <c r="J81" s="10">
        <f>[1]!GXFB1.133</f>
        <v>2088371110</v>
      </c>
      <c r="K81" s="10" t="str">
        <f>[1]!GXFB1.135</f>
        <v xml:space="preserve"> -</v>
      </c>
      <c r="L81" s="10" t="str">
        <f>[1]!GXFB1.136</f>
        <v xml:space="preserve"> -</v>
      </c>
      <c r="M81" s="10" t="str">
        <f>[1]!GXFB1.437</f>
        <v xml:space="preserve"> -</v>
      </c>
      <c r="N81" s="10" t="str">
        <f>[1]!GXFB1.406</f>
        <v xml:space="preserve"> -</v>
      </c>
      <c r="O81" s="10" t="str">
        <f>[1]!GXFB1.407</f>
        <v xml:space="preserve"> -</v>
      </c>
      <c r="P81" s="10" t="str">
        <f>[1]!GXFB1.431</f>
        <v>-</v>
      </c>
      <c r="Q81" s="10" t="str">
        <f>[1]!GXFB1.201</f>
        <v xml:space="preserve"> -</v>
      </c>
      <c r="R81" s="10" t="str">
        <f>[1]!GXFB1.202</f>
        <v xml:space="preserve"> -</v>
      </c>
      <c r="S81" s="10" t="str">
        <f>[1]!GXFB1.203</f>
        <v xml:space="preserve"> -</v>
      </c>
      <c r="T81" s="10" t="str">
        <f>[1]!GXFB1.204</f>
        <v xml:space="preserve"> -</v>
      </c>
      <c r="U81" s="10" t="str">
        <f>[1]!GXFB1.205</f>
        <v xml:space="preserve"> -</v>
      </c>
      <c r="V81" s="10" t="str">
        <f>[1]!GXFB1.211</f>
        <v xml:space="preserve"> -</v>
      </c>
      <c r="W81" s="10" t="str">
        <f>[1]!GXFB1.212</f>
        <v xml:space="preserve"> -</v>
      </c>
      <c r="X81" s="10" t="str">
        <f>[1]!GXFB1.213</f>
        <v xml:space="preserve"> -</v>
      </c>
      <c r="Y81" s="10" t="str">
        <f>[1]!GXFB1.214</f>
        <v xml:space="preserve"> -</v>
      </c>
      <c r="Z81" s="10" t="str">
        <f>[1]!GXFB1.215</f>
        <v xml:space="preserve"> -</v>
      </c>
      <c r="AA81" s="10" t="str">
        <f>[1]!GXFB1.221</f>
        <v>-</v>
      </c>
      <c r="AB81" s="10" t="str">
        <f>[1]!GXFB1.222</f>
        <v>-</v>
      </c>
      <c r="AC81" s="10" t="str">
        <f>[1]!GXFB1.223</f>
        <v>-</v>
      </c>
      <c r="AD81" s="10" t="str">
        <f>[1]!GXFB1.224</f>
        <v>-</v>
      </c>
      <c r="AE81" s="10" t="str">
        <f>[1]!GXFB1.225</f>
        <v>-</v>
      </c>
      <c r="AF81" s="10" t="str">
        <f>[1]!GXFB1.231</f>
        <v>-</v>
      </c>
      <c r="AG81" s="10" t="str">
        <f>[1]!GXFB1.232</f>
        <v>-</v>
      </c>
      <c r="AH81" s="10" t="str">
        <f>[1]!GXFB1.233</f>
        <v>-</v>
      </c>
      <c r="AI81" s="10" t="str">
        <f>[1]!GXFB1.234</f>
        <v>-</v>
      </c>
      <c r="AJ81" s="10" t="str">
        <f>[1]!GXFB1.235</f>
        <v>-</v>
      </c>
    </row>
    <row r="82" spans="1:36" s="10" customFormat="1" x14ac:dyDescent="0.25">
      <c r="A82" s="10" t="str">
        <f>"GZFB1"</f>
        <v>GZFB1</v>
      </c>
      <c r="B82" s="10" t="str">
        <f>[1]!GZFB1.402</f>
        <v>加權指數</v>
      </c>
      <c r="C82" s="10">
        <f>[1]!GZFB1.123</f>
        <v>100125</v>
      </c>
      <c r="D82" s="10">
        <f>[1]!GZFB1.124</f>
        <v>16429</v>
      </c>
      <c r="E82" s="10">
        <f>[1]!GZFB1.125</f>
        <v>-14.4</v>
      </c>
      <c r="F82" s="10">
        <f>[1]!GZFB1.128</f>
        <v>2036</v>
      </c>
      <c r="G82" s="10">
        <f>[1]!GZFB1.130</f>
        <v>16329.54</v>
      </c>
      <c r="H82" s="10">
        <f>[1]!GZFB1.131</f>
        <v>16456.939999999999</v>
      </c>
      <c r="I82" s="10">
        <f>[1]!GZFB1.132</f>
        <v>16329.54</v>
      </c>
      <c r="J82" s="10">
        <f>[1]!GZFB1.133</f>
        <v>4015112</v>
      </c>
      <c r="K82" s="10" t="str">
        <f>[1]!GZFB1.135</f>
        <v xml:space="preserve"> -</v>
      </c>
      <c r="L82" s="10" t="str">
        <f>[1]!GZFB1.136</f>
        <v xml:space="preserve"> -</v>
      </c>
      <c r="M82" s="10" t="str">
        <f>[1]!GZFB1.437</f>
        <v xml:space="preserve"> -</v>
      </c>
      <c r="N82" s="10" t="str">
        <f>[1]!GZFB1.406</f>
        <v xml:space="preserve"> -</v>
      </c>
      <c r="O82" s="10" t="str">
        <f>[1]!GZFB1.407</f>
        <v xml:space="preserve"> -</v>
      </c>
      <c r="P82" s="10" t="str">
        <f>[1]!GZFB1.431</f>
        <v>-</v>
      </c>
      <c r="Q82" s="10" t="str">
        <f>[1]!GZFB1.201</f>
        <v xml:space="preserve"> -</v>
      </c>
      <c r="R82" s="10" t="str">
        <f>[1]!GZFB1.202</f>
        <v xml:space="preserve"> -</v>
      </c>
      <c r="S82" s="10" t="str">
        <f>[1]!GZFB1.203</f>
        <v xml:space="preserve"> -</v>
      </c>
      <c r="T82" s="10" t="str">
        <f>[1]!GZFB1.204</f>
        <v xml:space="preserve"> -</v>
      </c>
      <c r="U82" s="10" t="str">
        <f>[1]!GZFB1.205</f>
        <v xml:space="preserve"> -</v>
      </c>
      <c r="V82" s="10" t="str">
        <f>[1]!GZFB1.211</f>
        <v xml:space="preserve"> -</v>
      </c>
      <c r="W82" s="10" t="str">
        <f>[1]!GZFB1.212</f>
        <v xml:space="preserve"> -</v>
      </c>
      <c r="X82" s="10" t="str">
        <f>[1]!GZFB1.213</f>
        <v xml:space="preserve"> -</v>
      </c>
      <c r="Y82" s="10" t="str">
        <f>[1]!GZFB1.214</f>
        <v xml:space="preserve"> -</v>
      </c>
      <c r="Z82" s="10" t="str">
        <f>[1]!GZFB1.215</f>
        <v xml:space="preserve"> -</v>
      </c>
      <c r="AA82" s="10" t="str">
        <f>[1]!GZFB1.221</f>
        <v>-</v>
      </c>
      <c r="AB82" s="10" t="str">
        <f>[1]!GZFB1.222</f>
        <v>-</v>
      </c>
      <c r="AC82" s="10" t="str">
        <f>[1]!GZFB1.223</f>
        <v>-</v>
      </c>
      <c r="AD82" s="10" t="str">
        <f>[1]!GZFB1.224</f>
        <v>-</v>
      </c>
      <c r="AE82" s="10" t="str">
        <f>[1]!GZFB1.225</f>
        <v>-</v>
      </c>
      <c r="AF82" s="10" t="str">
        <f>[1]!GZFB1.231</f>
        <v>-</v>
      </c>
      <c r="AG82" s="10" t="str">
        <f>[1]!GZFB1.232</f>
        <v>-</v>
      </c>
      <c r="AH82" s="10" t="str">
        <f>[1]!GZFB1.233</f>
        <v>-</v>
      </c>
      <c r="AI82" s="10" t="str">
        <f>[1]!GZFB1.234</f>
        <v>-</v>
      </c>
      <c r="AJ82" s="10" t="str">
        <f>[1]!GZFB1.235</f>
        <v>-</v>
      </c>
    </row>
    <row r="83" spans="1:36" s="10" customFormat="1" x14ac:dyDescent="0.25">
      <c r="A83" s="10" t="str">
        <f>"HAFB1"</f>
        <v>HAFB1</v>
      </c>
      <c r="B83" s="10" t="str">
        <f>[1]!HAFB1.402</f>
        <v>加權指數</v>
      </c>
      <c r="C83" s="10">
        <f>[1]!HAFB1.123</f>
        <v>100140</v>
      </c>
      <c r="D83" s="10">
        <f>[1]!HAFB1.124</f>
        <v>16428.68</v>
      </c>
      <c r="E83" s="10">
        <f>[1]!HAFB1.125</f>
        <v>-14.72</v>
      </c>
      <c r="F83" s="10">
        <f>[1]!HAFB1.128</f>
        <v>2686</v>
      </c>
      <c r="G83" s="10">
        <f>[1]!HAFB1.130</f>
        <v>16329.54</v>
      </c>
      <c r="H83" s="10">
        <f>[1]!HAFB1.131</f>
        <v>16456.939999999999</v>
      </c>
      <c r="I83" s="10">
        <f>[1]!HAFB1.132</f>
        <v>16329.54</v>
      </c>
      <c r="J83" s="10">
        <f>[1]!HAFB1.133</f>
        <v>4022793</v>
      </c>
      <c r="K83" s="10" t="str">
        <f>[1]!HAFB1.135</f>
        <v xml:space="preserve"> -</v>
      </c>
      <c r="L83" s="10" t="str">
        <f>[1]!HAFB1.136</f>
        <v xml:space="preserve"> -</v>
      </c>
      <c r="M83" s="10" t="str">
        <f>[1]!HAFB1.437</f>
        <v xml:space="preserve"> -</v>
      </c>
      <c r="N83" s="10" t="str">
        <f>[1]!HAFB1.406</f>
        <v xml:space="preserve"> -</v>
      </c>
      <c r="O83" s="10" t="str">
        <f>[1]!HAFB1.407</f>
        <v xml:space="preserve"> -</v>
      </c>
      <c r="P83" s="10" t="str">
        <f>[1]!HAFB1.431</f>
        <v>-</v>
      </c>
      <c r="Q83" s="10" t="str">
        <f>[1]!HAFB1.201</f>
        <v xml:space="preserve"> -</v>
      </c>
      <c r="R83" s="10" t="str">
        <f>[1]!HAFB1.202</f>
        <v xml:space="preserve"> -</v>
      </c>
      <c r="S83" s="10" t="str">
        <f>[1]!HAFB1.203</f>
        <v xml:space="preserve"> -</v>
      </c>
      <c r="T83" s="10" t="str">
        <f>[1]!HAFB1.204</f>
        <v xml:space="preserve"> -</v>
      </c>
      <c r="U83" s="10" t="str">
        <f>[1]!HAFB1.205</f>
        <v xml:space="preserve"> -</v>
      </c>
      <c r="V83" s="10" t="str">
        <f>[1]!HAFB1.211</f>
        <v xml:space="preserve"> -</v>
      </c>
      <c r="W83" s="10" t="str">
        <f>[1]!HAFB1.212</f>
        <v xml:space="preserve"> -</v>
      </c>
      <c r="X83" s="10" t="str">
        <f>[1]!HAFB1.213</f>
        <v xml:space="preserve"> -</v>
      </c>
      <c r="Y83" s="10" t="str">
        <f>[1]!HAFB1.214</f>
        <v xml:space="preserve"> -</v>
      </c>
      <c r="Z83" s="10" t="str">
        <f>[1]!HAFB1.215</f>
        <v xml:space="preserve"> -</v>
      </c>
      <c r="AA83" s="10" t="str">
        <f>[1]!HAFB1.221</f>
        <v>-</v>
      </c>
      <c r="AB83" s="10" t="str">
        <f>[1]!HAFB1.222</f>
        <v>-</v>
      </c>
      <c r="AC83" s="10" t="str">
        <f>[1]!HAFB1.223</f>
        <v>-</v>
      </c>
      <c r="AD83" s="10" t="str">
        <f>[1]!HAFB1.224</f>
        <v>-</v>
      </c>
      <c r="AE83" s="10" t="str">
        <f>[1]!HAFB1.225</f>
        <v>-</v>
      </c>
      <c r="AF83" s="10" t="str">
        <f>[1]!HAFB1.231</f>
        <v>-</v>
      </c>
      <c r="AG83" s="10" t="str">
        <f>[1]!HAFB1.232</f>
        <v>-</v>
      </c>
      <c r="AH83" s="10" t="str">
        <f>[1]!HAFB1.233</f>
        <v>-</v>
      </c>
      <c r="AI83" s="10" t="str">
        <f>[1]!HAFB1.234</f>
        <v>-</v>
      </c>
      <c r="AJ83" s="10" t="str">
        <f>[1]!HAFB1.235</f>
        <v>-</v>
      </c>
    </row>
    <row r="84" spans="1:36" s="10" customFormat="1" x14ac:dyDescent="0.25">
      <c r="A84" s="10" t="str">
        <f>"HBFB1"</f>
        <v>HBFB1</v>
      </c>
      <c r="B84" s="10" t="str">
        <f>[1]!HBFB1.402</f>
        <v>加權指數</v>
      </c>
      <c r="C84" s="10">
        <f>[1]!HBFB1.123</f>
        <v>100140</v>
      </c>
      <c r="D84" s="10">
        <f>[1]!HBFB1.124</f>
        <v>16428.68</v>
      </c>
      <c r="E84" s="10">
        <f>[1]!HBFB1.125</f>
        <v>-14.72</v>
      </c>
      <c r="F84" s="10">
        <f>[1]!HBFB1.128</f>
        <v>2686</v>
      </c>
      <c r="G84" s="10">
        <f>[1]!HBFB1.130</f>
        <v>16329.54</v>
      </c>
      <c r="H84" s="10">
        <f>[1]!HBFB1.131</f>
        <v>16456.939999999999</v>
      </c>
      <c r="I84" s="10">
        <f>[1]!HBFB1.132</f>
        <v>16329.54</v>
      </c>
      <c r="J84" s="10">
        <f>[1]!HBFB1.133</f>
        <v>4022793</v>
      </c>
      <c r="K84" s="10" t="str">
        <f>[1]!HBFB1.135</f>
        <v xml:space="preserve"> -</v>
      </c>
      <c r="L84" s="10" t="str">
        <f>[1]!HBFB1.136</f>
        <v xml:space="preserve"> -</v>
      </c>
      <c r="M84" s="10" t="str">
        <f>[1]!HBFB1.437</f>
        <v xml:space="preserve"> -</v>
      </c>
      <c r="N84" s="10" t="str">
        <f>[1]!HBFB1.406</f>
        <v xml:space="preserve"> -</v>
      </c>
      <c r="O84" s="10" t="str">
        <f>[1]!HBFB1.407</f>
        <v xml:space="preserve"> -</v>
      </c>
      <c r="P84" s="10" t="str">
        <f>[1]!HBFB1.431</f>
        <v>-</v>
      </c>
      <c r="Q84" s="10" t="str">
        <f>[1]!HBFB1.201</f>
        <v xml:space="preserve"> -</v>
      </c>
      <c r="R84" s="10" t="str">
        <f>[1]!HBFB1.202</f>
        <v xml:space="preserve"> -</v>
      </c>
      <c r="S84" s="10" t="str">
        <f>[1]!HBFB1.203</f>
        <v xml:space="preserve"> -</v>
      </c>
      <c r="T84" s="10" t="str">
        <f>[1]!HBFB1.204</f>
        <v xml:space="preserve"> -</v>
      </c>
      <c r="U84" s="10" t="str">
        <f>[1]!HBFB1.205</f>
        <v xml:space="preserve"> -</v>
      </c>
      <c r="V84" s="10" t="str">
        <f>[1]!HBFB1.211</f>
        <v xml:space="preserve"> -</v>
      </c>
      <c r="W84" s="10" t="str">
        <f>[1]!HBFB1.212</f>
        <v xml:space="preserve"> -</v>
      </c>
      <c r="X84" s="10" t="str">
        <f>[1]!HBFB1.213</f>
        <v xml:space="preserve"> -</v>
      </c>
      <c r="Y84" s="10" t="str">
        <f>[1]!HBFB1.214</f>
        <v xml:space="preserve"> -</v>
      </c>
      <c r="Z84" s="10" t="str">
        <f>[1]!HBFB1.215</f>
        <v xml:space="preserve"> -</v>
      </c>
      <c r="AA84" s="10" t="str">
        <f>[1]!HBFB1.221</f>
        <v>-</v>
      </c>
      <c r="AB84" s="10" t="str">
        <f>[1]!HBFB1.222</f>
        <v>-</v>
      </c>
      <c r="AC84" s="10" t="str">
        <f>[1]!HBFB1.223</f>
        <v>-</v>
      </c>
      <c r="AD84" s="10" t="str">
        <f>[1]!HBFB1.224</f>
        <v>-</v>
      </c>
      <c r="AE84" s="10" t="str">
        <f>[1]!HBFB1.225</f>
        <v>-</v>
      </c>
      <c r="AF84" s="10" t="str">
        <f>[1]!HBFB1.231</f>
        <v>-</v>
      </c>
      <c r="AG84" s="10" t="str">
        <f>[1]!HBFB1.232</f>
        <v>-</v>
      </c>
      <c r="AH84" s="10" t="str">
        <f>[1]!HBFB1.233</f>
        <v>-</v>
      </c>
      <c r="AI84" s="10" t="str">
        <f>[1]!HBFB1.234</f>
        <v>-</v>
      </c>
      <c r="AJ84" s="10" t="str">
        <f>[1]!HBFB1.235</f>
        <v>-</v>
      </c>
    </row>
    <row r="85" spans="1:36" s="10" customFormat="1" x14ac:dyDescent="0.25">
      <c r="A85" s="10" t="str">
        <f>"HCFB1"</f>
        <v>HCFB1</v>
      </c>
      <c r="B85" s="10" t="str">
        <f>[1]!HCFB1.402</f>
        <v>不含金電</v>
      </c>
      <c r="C85" s="10">
        <f>[1]!HCFB1.123</f>
        <v>100140</v>
      </c>
      <c r="D85" s="10">
        <f>[1]!HCFB1.124</f>
        <v>13893.18</v>
      </c>
      <c r="E85" s="10">
        <f>[1]!HCFB1.125</f>
        <v>6.6</v>
      </c>
      <c r="F85" s="10">
        <f>[1]!HCFB1.128</f>
        <v>720</v>
      </c>
      <c r="G85" s="10">
        <f>[1]!HCFB1.130</f>
        <v>13893.03</v>
      </c>
      <c r="H85" s="10">
        <f>[1]!HCFB1.131</f>
        <v>13945.78</v>
      </c>
      <c r="I85" s="10">
        <f>[1]!HCFB1.132</f>
        <v>13875.82</v>
      </c>
      <c r="J85" s="10">
        <f>[1]!HCFB1.133</f>
        <v>872505</v>
      </c>
      <c r="K85" s="10" t="str">
        <f>[1]!HCFB1.135</f>
        <v xml:space="preserve"> -</v>
      </c>
      <c r="L85" s="10" t="str">
        <f>[1]!HCFB1.136</f>
        <v xml:space="preserve"> -</v>
      </c>
      <c r="M85" s="10" t="str">
        <f>[1]!HCFB1.437</f>
        <v xml:space="preserve"> -</v>
      </c>
      <c r="N85" s="10" t="str">
        <f>[1]!HCFB1.406</f>
        <v xml:space="preserve"> -</v>
      </c>
      <c r="O85" s="10" t="str">
        <f>[1]!HCFB1.407</f>
        <v xml:space="preserve"> -</v>
      </c>
      <c r="P85" s="10" t="str">
        <f>[1]!HCFB1.431</f>
        <v>-</v>
      </c>
      <c r="Q85" s="10" t="str">
        <f>[1]!HCFB1.201</f>
        <v xml:space="preserve"> -</v>
      </c>
      <c r="R85" s="10" t="str">
        <f>[1]!HCFB1.202</f>
        <v xml:space="preserve"> -</v>
      </c>
      <c r="S85" s="10" t="str">
        <f>[1]!HCFB1.203</f>
        <v xml:space="preserve"> -</v>
      </c>
      <c r="T85" s="10" t="str">
        <f>[1]!HCFB1.204</f>
        <v xml:space="preserve"> -</v>
      </c>
      <c r="U85" s="10" t="str">
        <f>[1]!HCFB1.205</f>
        <v xml:space="preserve"> -</v>
      </c>
      <c r="V85" s="10" t="str">
        <f>[1]!HCFB1.211</f>
        <v xml:space="preserve"> -</v>
      </c>
      <c r="W85" s="10" t="str">
        <f>[1]!HCFB1.212</f>
        <v xml:space="preserve"> -</v>
      </c>
      <c r="X85" s="10" t="str">
        <f>[1]!HCFB1.213</f>
        <v xml:space="preserve"> -</v>
      </c>
      <c r="Y85" s="10" t="str">
        <f>[1]!HCFB1.214</f>
        <v xml:space="preserve"> -</v>
      </c>
      <c r="Z85" s="10" t="str">
        <f>[1]!HCFB1.215</f>
        <v xml:space="preserve"> -</v>
      </c>
      <c r="AA85" s="10" t="str">
        <f>[1]!HCFB1.221</f>
        <v>-</v>
      </c>
      <c r="AB85" s="10" t="str">
        <f>[1]!HCFB1.222</f>
        <v>-</v>
      </c>
      <c r="AC85" s="10" t="str">
        <f>[1]!HCFB1.223</f>
        <v>-</v>
      </c>
      <c r="AD85" s="10" t="str">
        <f>[1]!HCFB1.224</f>
        <v>-</v>
      </c>
      <c r="AE85" s="10" t="str">
        <f>[1]!HCFB1.225</f>
        <v>-</v>
      </c>
      <c r="AF85" s="10" t="str">
        <f>[1]!HCFB1.231</f>
        <v>-</v>
      </c>
      <c r="AG85" s="10" t="str">
        <f>[1]!HCFB1.232</f>
        <v>-</v>
      </c>
      <c r="AH85" s="10" t="str">
        <f>[1]!HCFB1.233</f>
        <v>-</v>
      </c>
      <c r="AI85" s="10" t="str">
        <f>[1]!HCFB1.234</f>
        <v>-</v>
      </c>
      <c r="AJ85" s="10" t="str">
        <f>[1]!HCFB1.235</f>
        <v>-</v>
      </c>
    </row>
    <row r="86" spans="1:36" s="10" customFormat="1" x14ac:dyDescent="0.25">
      <c r="A86" s="10" t="str">
        <f>"HHFB1"</f>
        <v>HHFB1</v>
      </c>
      <c r="B86" s="10" t="str">
        <f>[1]!HHFB1.402</f>
        <v>不含金電</v>
      </c>
      <c r="C86" s="10">
        <f>[1]!HHFB1.123</f>
        <v>100135</v>
      </c>
      <c r="D86" s="10">
        <f>[1]!HHFB1.124</f>
        <v>13893.65</v>
      </c>
      <c r="E86" s="10">
        <f>[1]!HHFB1.125</f>
        <v>7.07</v>
      </c>
      <c r="F86" s="10">
        <f>[1]!HHFB1.128</f>
        <v>611</v>
      </c>
      <c r="G86" s="10">
        <f>[1]!HHFB1.130</f>
        <v>13893.03</v>
      </c>
      <c r="H86" s="10">
        <f>[1]!HHFB1.131</f>
        <v>13945.78</v>
      </c>
      <c r="I86" s="10">
        <f>[1]!HHFB1.132</f>
        <v>13875.82</v>
      </c>
      <c r="J86" s="10">
        <f>[1]!HHFB1.133</f>
        <v>871785</v>
      </c>
      <c r="K86" s="10" t="str">
        <f>[1]!HHFB1.135</f>
        <v xml:space="preserve"> -</v>
      </c>
      <c r="L86" s="10" t="str">
        <f>[1]!HHFB1.136</f>
        <v xml:space="preserve"> -</v>
      </c>
      <c r="M86" s="10" t="str">
        <f>[1]!HHFB1.437</f>
        <v xml:space="preserve"> -</v>
      </c>
      <c r="N86" s="10" t="str">
        <f>[1]!HHFB1.406</f>
        <v xml:space="preserve"> -</v>
      </c>
      <c r="O86" s="10" t="str">
        <f>[1]!HHFB1.407</f>
        <v xml:space="preserve"> -</v>
      </c>
      <c r="P86" s="10" t="str">
        <f>[1]!HHFB1.431</f>
        <v>-</v>
      </c>
      <c r="Q86" s="10" t="str">
        <f>[1]!HHFB1.201</f>
        <v xml:space="preserve"> -</v>
      </c>
      <c r="R86" s="10" t="str">
        <f>[1]!HHFB1.202</f>
        <v xml:space="preserve"> -</v>
      </c>
      <c r="S86" s="10" t="str">
        <f>[1]!HHFB1.203</f>
        <v xml:space="preserve"> -</v>
      </c>
      <c r="T86" s="10" t="str">
        <f>[1]!HHFB1.204</f>
        <v xml:space="preserve"> -</v>
      </c>
      <c r="U86" s="10" t="str">
        <f>[1]!HHFB1.205</f>
        <v xml:space="preserve"> -</v>
      </c>
      <c r="V86" s="10" t="str">
        <f>[1]!HHFB1.211</f>
        <v xml:space="preserve"> -</v>
      </c>
      <c r="W86" s="10" t="str">
        <f>[1]!HHFB1.212</f>
        <v xml:space="preserve"> -</v>
      </c>
      <c r="X86" s="10" t="str">
        <f>[1]!HHFB1.213</f>
        <v xml:space="preserve"> -</v>
      </c>
      <c r="Y86" s="10" t="str">
        <f>[1]!HHFB1.214</f>
        <v xml:space="preserve"> -</v>
      </c>
      <c r="Z86" s="10" t="str">
        <f>[1]!HHFB1.215</f>
        <v xml:space="preserve"> -</v>
      </c>
      <c r="AA86" s="10" t="str">
        <f>[1]!HHFB1.221</f>
        <v>-</v>
      </c>
      <c r="AB86" s="10" t="str">
        <f>[1]!HHFB1.222</f>
        <v>-</v>
      </c>
      <c r="AC86" s="10" t="str">
        <f>[1]!HHFB1.223</f>
        <v>-</v>
      </c>
      <c r="AD86" s="10" t="str">
        <f>[1]!HHFB1.224</f>
        <v>-</v>
      </c>
      <c r="AE86" s="10" t="str">
        <f>[1]!HHFB1.225</f>
        <v>-</v>
      </c>
      <c r="AF86" s="10" t="str">
        <f>[1]!HHFB1.231</f>
        <v>-</v>
      </c>
      <c r="AG86" s="10" t="str">
        <f>[1]!HHFB1.232</f>
        <v>-</v>
      </c>
      <c r="AH86" s="10" t="str">
        <f>[1]!HHFB1.233</f>
        <v>-</v>
      </c>
      <c r="AI86" s="10" t="str">
        <f>[1]!HHFB1.234</f>
        <v>-</v>
      </c>
      <c r="AJ86" s="10" t="str">
        <f>[1]!HHFB1.235</f>
        <v>-</v>
      </c>
    </row>
    <row r="87" spans="1:36" s="10" customFormat="1" x14ac:dyDescent="0.25">
      <c r="A87" s="10" t="str">
        <f>"HIFB1"</f>
        <v>HIFB1</v>
      </c>
      <c r="B87" s="10" t="str">
        <f>[1]!HIFB1.402</f>
        <v>加權指數</v>
      </c>
      <c r="C87" s="10">
        <f>[1]!HIFB1.123</f>
        <v>100130</v>
      </c>
      <c r="D87" s="10">
        <f>[1]!HIFB1.124</f>
        <v>16429</v>
      </c>
      <c r="E87" s="10">
        <f>[1]!HIFB1.125</f>
        <v>-14.4</v>
      </c>
      <c r="F87" s="10">
        <f>[1]!HIFB1.128</f>
        <v>3347</v>
      </c>
      <c r="G87" s="10">
        <f>[1]!HIFB1.130</f>
        <v>16329.54</v>
      </c>
      <c r="H87" s="10">
        <f>[1]!HIFB1.131</f>
        <v>16456.939999999999</v>
      </c>
      <c r="I87" s="10">
        <f>[1]!HIFB1.132</f>
        <v>16329.54</v>
      </c>
      <c r="J87" s="10">
        <f>[1]!HIFB1.133</f>
        <v>4018459</v>
      </c>
      <c r="K87" s="10" t="str">
        <f>[1]!HIFB1.135</f>
        <v xml:space="preserve"> -</v>
      </c>
      <c r="L87" s="10" t="str">
        <f>[1]!HIFB1.136</f>
        <v xml:space="preserve"> -</v>
      </c>
      <c r="M87" s="10" t="str">
        <f>[1]!HIFB1.437</f>
        <v xml:space="preserve"> -</v>
      </c>
      <c r="N87" s="10" t="str">
        <f>[1]!HIFB1.406</f>
        <v xml:space="preserve"> -</v>
      </c>
      <c r="O87" s="10" t="str">
        <f>[1]!HIFB1.407</f>
        <v xml:space="preserve"> -</v>
      </c>
      <c r="P87" s="10" t="str">
        <f>[1]!HIFB1.431</f>
        <v>-</v>
      </c>
      <c r="Q87" s="10" t="str">
        <f>[1]!HIFB1.201</f>
        <v xml:space="preserve"> -</v>
      </c>
      <c r="R87" s="10" t="str">
        <f>[1]!HIFB1.202</f>
        <v xml:space="preserve"> -</v>
      </c>
      <c r="S87" s="10" t="str">
        <f>[1]!HIFB1.203</f>
        <v xml:space="preserve"> -</v>
      </c>
      <c r="T87" s="10" t="str">
        <f>[1]!HIFB1.204</f>
        <v xml:space="preserve"> -</v>
      </c>
      <c r="U87" s="10" t="str">
        <f>[1]!HIFB1.205</f>
        <v xml:space="preserve"> -</v>
      </c>
      <c r="V87" s="10" t="str">
        <f>[1]!HIFB1.211</f>
        <v xml:space="preserve"> -</v>
      </c>
      <c r="W87" s="10" t="str">
        <f>[1]!HIFB1.212</f>
        <v xml:space="preserve"> -</v>
      </c>
      <c r="X87" s="10" t="str">
        <f>[1]!HIFB1.213</f>
        <v xml:space="preserve"> -</v>
      </c>
      <c r="Y87" s="10" t="str">
        <f>[1]!HIFB1.214</f>
        <v xml:space="preserve"> -</v>
      </c>
      <c r="Z87" s="10" t="str">
        <f>[1]!HIFB1.215</f>
        <v xml:space="preserve"> -</v>
      </c>
      <c r="AA87" s="10" t="str">
        <f>[1]!HIFB1.221</f>
        <v>-</v>
      </c>
      <c r="AB87" s="10" t="str">
        <f>[1]!HIFB1.222</f>
        <v>-</v>
      </c>
      <c r="AC87" s="10" t="str">
        <f>[1]!HIFB1.223</f>
        <v>-</v>
      </c>
      <c r="AD87" s="10" t="str">
        <f>[1]!HIFB1.224</f>
        <v>-</v>
      </c>
      <c r="AE87" s="10" t="str">
        <f>[1]!HIFB1.225</f>
        <v>-</v>
      </c>
      <c r="AF87" s="10" t="str">
        <f>[1]!HIFB1.231</f>
        <v>-</v>
      </c>
      <c r="AG87" s="10" t="str">
        <f>[1]!HIFB1.232</f>
        <v>-</v>
      </c>
      <c r="AH87" s="10" t="str">
        <f>[1]!HIFB1.233</f>
        <v>-</v>
      </c>
      <c r="AI87" s="10" t="str">
        <f>[1]!HIFB1.234</f>
        <v>-</v>
      </c>
      <c r="AJ87" s="10" t="str">
        <f>[1]!HIFB1.235</f>
        <v>-</v>
      </c>
    </row>
    <row r="88" spans="1:36" s="10" customFormat="1" x14ac:dyDescent="0.25">
      <c r="A88" s="10" t="str">
        <f>"HLFB1"</f>
        <v>HLFB1</v>
      </c>
      <c r="B88" s="10" t="str">
        <f>[1]!HLFB1.402</f>
        <v>不含金電</v>
      </c>
      <c r="C88" s="10">
        <f>[1]!HLFB1.123</f>
        <v>100150</v>
      </c>
      <c r="D88" s="10">
        <f>[1]!HLFB1.124</f>
        <v>13900.72</v>
      </c>
      <c r="E88" s="10">
        <f>[1]!HLFB1.125</f>
        <v>14.14</v>
      </c>
      <c r="F88" s="10">
        <f>[1]!HLFB1.128</f>
        <v>887</v>
      </c>
      <c r="G88" s="10">
        <f>[1]!HLFB1.130</f>
        <v>13893.03</v>
      </c>
      <c r="H88" s="10">
        <f>[1]!HLFB1.131</f>
        <v>13945.78</v>
      </c>
      <c r="I88" s="10">
        <f>[1]!HLFB1.132</f>
        <v>13875.82</v>
      </c>
      <c r="J88" s="10">
        <f>[1]!HLFB1.133</f>
        <v>873827</v>
      </c>
      <c r="K88" s="10" t="str">
        <f>[1]!HLFB1.135</f>
        <v xml:space="preserve"> -</v>
      </c>
      <c r="L88" s="10" t="str">
        <f>[1]!HLFB1.136</f>
        <v xml:space="preserve"> -</v>
      </c>
      <c r="M88" s="10" t="str">
        <f>[1]!HLFB1.437</f>
        <v xml:space="preserve"> -</v>
      </c>
      <c r="N88" s="10" t="str">
        <f>[1]!HLFB1.406</f>
        <v xml:space="preserve"> -</v>
      </c>
      <c r="O88" s="10" t="str">
        <f>[1]!HLFB1.407</f>
        <v xml:space="preserve"> -</v>
      </c>
      <c r="P88" s="10" t="str">
        <f>[1]!HLFB1.431</f>
        <v>-</v>
      </c>
      <c r="Q88" s="10" t="str">
        <f>[1]!HLFB1.201</f>
        <v xml:space="preserve"> -</v>
      </c>
      <c r="R88" s="10" t="str">
        <f>[1]!HLFB1.202</f>
        <v xml:space="preserve"> -</v>
      </c>
      <c r="S88" s="10" t="str">
        <f>[1]!HLFB1.203</f>
        <v xml:space="preserve"> -</v>
      </c>
      <c r="T88" s="10" t="str">
        <f>[1]!HLFB1.204</f>
        <v xml:space="preserve"> -</v>
      </c>
      <c r="U88" s="10" t="str">
        <f>[1]!HLFB1.205</f>
        <v xml:space="preserve"> -</v>
      </c>
      <c r="V88" s="10" t="str">
        <f>[1]!HLFB1.211</f>
        <v xml:space="preserve"> -</v>
      </c>
      <c r="W88" s="10" t="str">
        <f>[1]!HLFB1.212</f>
        <v xml:space="preserve"> -</v>
      </c>
      <c r="X88" s="10" t="str">
        <f>[1]!HLFB1.213</f>
        <v xml:space="preserve"> -</v>
      </c>
      <c r="Y88" s="10" t="str">
        <f>[1]!HLFB1.214</f>
        <v xml:space="preserve"> -</v>
      </c>
      <c r="Z88" s="10" t="str">
        <f>[1]!HLFB1.215</f>
        <v xml:space="preserve"> -</v>
      </c>
      <c r="AA88" s="10" t="str">
        <f>[1]!HLFB1.221</f>
        <v>-</v>
      </c>
      <c r="AB88" s="10" t="str">
        <f>[1]!HLFB1.222</f>
        <v>-</v>
      </c>
      <c r="AC88" s="10" t="str">
        <f>[1]!HLFB1.223</f>
        <v>-</v>
      </c>
      <c r="AD88" s="10" t="str">
        <f>[1]!HLFB1.224</f>
        <v>-</v>
      </c>
      <c r="AE88" s="10" t="str">
        <f>[1]!HLFB1.225</f>
        <v>-</v>
      </c>
      <c r="AF88" s="10" t="str">
        <f>[1]!HLFB1.231</f>
        <v>-</v>
      </c>
      <c r="AG88" s="10" t="str">
        <f>[1]!HLFB1.232</f>
        <v>-</v>
      </c>
      <c r="AH88" s="10" t="str">
        <f>[1]!HLFB1.233</f>
        <v>-</v>
      </c>
      <c r="AI88" s="10" t="str">
        <f>[1]!HLFB1.234</f>
        <v>-</v>
      </c>
      <c r="AJ88" s="10" t="str">
        <f>[1]!HLFB1.235</f>
        <v>-</v>
      </c>
    </row>
    <row r="89" spans="1:36" s="10" customFormat="1" x14ac:dyDescent="0.25">
      <c r="A89" s="10" t="str">
        <f>"HL1C1"</f>
        <v>HL1C1</v>
      </c>
      <c r="B89" s="10" t="str">
        <f>[1]!HL1C1.402</f>
        <v>興富發1-03</v>
      </c>
      <c r="C89" s="10">
        <f>[1]!HL1C1.123</f>
        <v>100101</v>
      </c>
      <c r="D89" s="10">
        <f>[1]!HL1C1.124</f>
        <v>45.05</v>
      </c>
      <c r="E89" s="10">
        <f>[1]!HL1C1.125</f>
        <v>0.1</v>
      </c>
      <c r="F89" s="10">
        <f>[1]!HL1C1.128</f>
        <v>1</v>
      </c>
      <c r="G89" s="10">
        <f>[1]!HL1C1.130</f>
        <v>45.05</v>
      </c>
      <c r="H89" s="10">
        <f>[1]!HL1C1.131</f>
        <v>45.05</v>
      </c>
      <c r="I89" s="10">
        <f>[1]!HL1C1.132</f>
        <v>45.05</v>
      </c>
      <c r="J89" s="10">
        <f>[1]!HL1C1.133</f>
        <v>1</v>
      </c>
      <c r="K89" s="10">
        <f>[1]!HL1C1.135</f>
        <v>44.8</v>
      </c>
      <c r="L89" s="10">
        <f>[1]!HL1C1.136</f>
        <v>45.05</v>
      </c>
      <c r="M89" s="10">
        <f>[1]!HL1C1.437</f>
        <v>45.05</v>
      </c>
      <c r="N89" s="10">
        <f>[1]!HL1C1.406</f>
        <v>49.4</v>
      </c>
      <c r="O89" s="10">
        <f>[1]!HL1C1.407</f>
        <v>40.5</v>
      </c>
      <c r="P89" s="10">
        <f>[1]!HL1C1.431</f>
        <v>20210224</v>
      </c>
      <c r="Q89" s="10">
        <f>[1]!HL1C1.201</f>
        <v>44.8</v>
      </c>
      <c r="R89" s="10" t="str">
        <f>[1]!HL1C1.202</f>
        <v xml:space="preserve"> </v>
      </c>
      <c r="S89" s="10" t="str">
        <f>[1]!HL1C1.203</f>
        <v xml:space="preserve"> </v>
      </c>
      <c r="T89" s="10" t="str">
        <f>[1]!HL1C1.204</f>
        <v xml:space="preserve"> </v>
      </c>
      <c r="U89" s="10" t="str">
        <f>[1]!HL1C1.205</f>
        <v xml:space="preserve"> </v>
      </c>
      <c r="V89" s="10">
        <f>[1]!HL1C1.211</f>
        <v>45.05</v>
      </c>
      <c r="W89" s="10" t="str">
        <f>[1]!HL1C1.212</f>
        <v xml:space="preserve"> </v>
      </c>
      <c r="X89" s="10" t="str">
        <f>[1]!HL1C1.213</f>
        <v xml:space="preserve"> </v>
      </c>
      <c r="Y89" s="10" t="str">
        <f>[1]!HL1C1.214</f>
        <v xml:space="preserve"> </v>
      </c>
      <c r="Z89" s="10" t="str">
        <f>[1]!HL1C1.215</f>
        <v xml:space="preserve"> </v>
      </c>
      <c r="AA89" s="10">
        <f>[1]!HL1C1.221</f>
        <v>1</v>
      </c>
      <c r="AB89" s="10">
        <f>[1]!HL1C1.222</f>
        <v>0</v>
      </c>
      <c r="AC89" s="10">
        <f>[1]!HL1C1.223</f>
        <v>0</v>
      </c>
      <c r="AD89" s="10">
        <f>[1]!HL1C1.224</f>
        <v>0</v>
      </c>
      <c r="AE89" s="10">
        <f>[1]!HL1C1.225</f>
        <v>0</v>
      </c>
      <c r="AF89" s="10">
        <f>[1]!HL1C1.231</f>
        <v>1</v>
      </c>
      <c r="AG89" s="10">
        <f>[1]!HL1C1.232</f>
        <v>0</v>
      </c>
      <c r="AH89" s="10">
        <f>[1]!HL1C1.233</f>
        <v>0</v>
      </c>
      <c r="AI89" s="10">
        <f>[1]!HL1C1.234</f>
        <v>0</v>
      </c>
      <c r="AJ89" s="10">
        <f>[1]!HL1C1.235</f>
        <v>0</v>
      </c>
    </row>
    <row r="90" spans="1:36" s="10" customFormat="1" x14ac:dyDescent="0.25">
      <c r="A90" s="10" t="str">
        <f>"HOFB1"</f>
        <v>HOFB1</v>
      </c>
      <c r="B90" s="10" t="str">
        <f>[1]!HOFB1.402</f>
        <v>不含金電</v>
      </c>
      <c r="C90" s="10">
        <f>[1]!HOFB1.123</f>
        <v>100145</v>
      </c>
      <c r="D90" s="10">
        <f>[1]!HOFB1.124</f>
        <v>13895.21</v>
      </c>
      <c r="E90" s="10">
        <f>[1]!HOFB1.125</f>
        <v>8.6300000000000008</v>
      </c>
      <c r="F90" s="10">
        <f>[1]!HOFB1.128</f>
        <v>435</v>
      </c>
      <c r="G90" s="10">
        <f>[1]!HOFB1.130</f>
        <v>13893.03</v>
      </c>
      <c r="H90" s="10">
        <f>[1]!HOFB1.131</f>
        <v>13945.78</v>
      </c>
      <c r="I90" s="10">
        <f>[1]!HOFB1.132</f>
        <v>13875.82</v>
      </c>
      <c r="J90" s="10">
        <f>[1]!HOFB1.133</f>
        <v>872940</v>
      </c>
      <c r="K90" s="10" t="str">
        <f>[1]!HOFB1.135</f>
        <v xml:space="preserve"> -</v>
      </c>
      <c r="L90" s="10" t="str">
        <f>[1]!HOFB1.136</f>
        <v xml:space="preserve"> -</v>
      </c>
      <c r="M90" s="10" t="str">
        <f>[1]!HOFB1.437</f>
        <v xml:space="preserve"> -</v>
      </c>
      <c r="N90" s="10" t="str">
        <f>[1]!HOFB1.406</f>
        <v xml:space="preserve"> -</v>
      </c>
      <c r="O90" s="10" t="str">
        <f>[1]!HOFB1.407</f>
        <v xml:space="preserve"> -</v>
      </c>
      <c r="P90" s="10" t="str">
        <f>[1]!HOFB1.431</f>
        <v>-</v>
      </c>
      <c r="Q90" s="10" t="str">
        <f>[1]!HOFB1.201</f>
        <v xml:space="preserve"> -</v>
      </c>
      <c r="R90" s="10" t="str">
        <f>[1]!HOFB1.202</f>
        <v xml:space="preserve"> -</v>
      </c>
      <c r="S90" s="10" t="str">
        <f>[1]!HOFB1.203</f>
        <v xml:space="preserve"> -</v>
      </c>
      <c r="T90" s="10" t="str">
        <f>[1]!HOFB1.204</f>
        <v xml:space="preserve"> -</v>
      </c>
      <c r="U90" s="10" t="str">
        <f>[1]!HOFB1.205</f>
        <v xml:space="preserve"> -</v>
      </c>
      <c r="V90" s="10" t="str">
        <f>[1]!HOFB1.211</f>
        <v xml:space="preserve"> -</v>
      </c>
      <c r="W90" s="10" t="str">
        <f>[1]!HOFB1.212</f>
        <v xml:space="preserve"> -</v>
      </c>
      <c r="X90" s="10" t="str">
        <f>[1]!HOFB1.213</f>
        <v xml:space="preserve"> -</v>
      </c>
      <c r="Y90" s="10" t="str">
        <f>[1]!HOFB1.214</f>
        <v xml:space="preserve"> -</v>
      </c>
      <c r="Z90" s="10" t="str">
        <f>[1]!HOFB1.215</f>
        <v xml:space="preserve"> -</v>
      </c>
      <c r="AA90" s="10" t="str">
        <f>[1]!HOFB1.221</f>
        <v>-</v>
      </c>
      <c r="AB90" s="10" t="str">
        <f>[1]!HOFB1.222</f>
        <v>-</v>
      </c>
      <c r="AC90" s="10" t="str">
        <f>[1]!HOFB1.223</f>
        <v>-</v>
      </c>
      <c r="AD90" s="10" t="str">
        <f>[1]!HOFB1.224</f>
        <v>-</v>
      </c>
      <c r="AE90" s="10" t="str">
        <f>[1]!HOFB1.225</f>
        <v>-</v>
      </c>
      <c r="AF90" s="10" t="str">
        <f>[1]!HOFB1.231</f>
        <v>-</v>
      </c>
      <c r="AG90" s="10" t="str">
        <f>[1]!HOFB1.232</f>
        <v>-</v>
      </c>
      <c r="AH90" s="10" t="str">
        <f>[1]!HOFB1.233</f>
        <v>-</v>
      </c>
      <c r="AI90" s="10" t="str">
        <f>[1]!HOFB1.234</f>
        <v>-</v>
      </c>
      <c r="AJ90" s="10" t="str">
        <f>[1]!HOFB1.235</f>
        <v>-</v>
      </c>
    </row>
    <row r="91" spans="1:36" s="10" customFormat="1" x14ac:dyDescent="0.25">
      <c r="A91" s="10" t="str">
        <f>"CZFB1"</f>
        <v>CZFB1</v>
      </c>
      <c r="B91" s="10" t="str">
        <f>[1]!CZFB1.402</f>
        <v>不含金電</v>
      </c>
      <c r="C91" s="10">
        <f>[1]!CZFB1.123</f>
        <v>100145</v>
      </c>
      <c r="D91" s="10">
        <f>[1]!CZFB1.124</f>
        <v>13895.21</v>
      </c>
      <c r="E91" s="10">
        <f>[1]!CZFB1.125</f>
        <v>8.6300000000000008</v>
      </c>
      <c r="F91" s="10">
        <f>[1]!CZFB1.128</f>
        <v>435</v>
      </c>
      <c r="G91" s="10">
        <f>[1]!CZFB1.130</f>
        <v>13893.03</v>
      </c>
      <c r="H91" s="10">
        <f>[1]!CZFB1.131</f>
        <v>13945.78</v>
      </c>
      <c r="I91" s="10">
        <f>[1]!CZFB1.132</f>
        <v>13875.82</v>
      </c>
      <c r="J91" s="10">
        <f>[1]!CZFB1.133</f>
        <v>872940</v>
      </c>
      <c r="K91" s="10" t="str">
        <f>[1]!CZFB1.135</f>
        <v xml:space="preserve"> -</v>
      </c>
      <c r="L91" s="10" t="str">
        <f>[1]!CZFB1.136</f>
        <v xml:space="preserve"> -</v>
      </c>
      <c r="M91" s="10" t="str">
        <f>[1]!CZFB1.437</f>
        <v xml:space="preserve"> -</v>
      </c>
      <c r="N91" s="10" t="str">
        <f>[1]!CZFB1.406</f>
        <v xml:space="preserve"> -</v>
      </c>
      <c r="O91" s="10" t="str">
        <f>[1]!CZFB1.407</f>
        <v xml:space="preserve"> -</v>
      </c>
      <c r="P91" s="10" t="str">
        <f>[1]!CZFB1.431</f>
        <v>-</v>
      </c>
      <c r="Q91" s="10" t="str">
        <f>[1]!CZFB1.201</f>
        <v xml:space="preserve"> -</v>
      </c>
      <c r="R91" s="10" t="str">
        <f>[1]!CZFB1.202</f>
        <v xml:space="preserve"> -</v>
      </c>
      <c r="S91" s="10" t="str">
        <f>[1]!CZFB1.203</f>
        <v xml:space="preserve"> -</v>
      </c>
      <c r="T91" s="10" t="str">
        <f>[1]!CZFB1.204</f>
        <v xml:space="preserve"> -</v>
      </c>
      <c r="U91" s="10" t="str">
        <f>[1]!CZFB1.205</f>
        <v xml:space="preserve"> -</v>
      </c>
      <c r="V91" s="10" t="str">
        <f>[1]!CZFB1.211</f>
        <v xml:space="preserve"> -</v>
      </c>
      <c r="W91" s="10" t="str">
        <f>[1]!CZFB1.212</f>
        <v xml:space="preserve"> -</v>
      </c>
      <c r="X91" s="10" t="str">
        <f>[1]!CZFB1.213</f>
        <v xml:space="preserve"> -</v>
      </c>
      <c r="Y91" s="10" t="str">
        <f>[1]!CZFB1.214</f>
        <v xml:space="preserve"> -</v>
      </c>
      <c r="Z91" s="10" t="str">
        <f>[1]!CZFB1.215</f>
        <v xml:space="preserve"> -</v>
      </c>
      <c r="AA91" s="10" t="str">
        <f>[1]!CZFB1.221</f>
        <v>-</v>
      </c>
      <c r="AB91" s="10" t="str">
        <f>[1]!CZFB1.222</f>
        <v>-</v>
      </c>
      <c r="AC91" s="10" t="str">
        <f>[1]!CZFB1.223</f>
        <v>-</v>
      </c>
      <c r="AD91" s="10" t="str">
        <f>[1]!CZFB1.224</f>
        <v>-</v>
      </c>
      <c r="AE91" s="10" t="str">
        <f>[1]!CZFB1.225</f>
        <v>-</v>
      </c>
      <c r="AF91" s="10" t="str">
        <f>[1]!CZFB1.231</f>
        <v>-</v>
      </c>
      <c r="AG91" s="10" t="str">
        <f>[1]!CZFB1.232</f>
        <v>-</v>
      </c>
      <c r="AH91" s="10" t="str">
        <f>[1]!CZFB1.233</f>
        <v>-</v>
      </c>
      <c r="AI91" s="10" t="str">
        <f>[1]!CZFB1.234</f>
        <v>-</v>
      </c>
      <c r="AJ91" s="10" t="str">
        <f>[1]!CZFB1.235</f>
        <v>-</v>
      </c>
    </row>
    <row r="92" spans="1:36" s="10" customFormat="1" x14ac:dyDescent="0.25">
      <c r="A92" s="10" t="str">
        <f>"QCFB1"</f>
        <v>QCFB1</v>
      </c>
      <c r="B92" s="10" t="str">
        <f>[1]!QCFB1.402</f>
        <v>不含金電</v>
      </c>
      <c r="C92" s="10">
        <f>[1]!QCFB1.123</f>
        <v>100150</v>
      </c>
      <c r="D92" s="10">
        <f>[1]!QCFB1.124</f>
        <v>13900.72</v>
      </c>
      <c r="E92" s="10">
        <f>[1]!QCFB1.125</f>
        <v>14.14</v>
      </c>
      <c r="F92" s="10">
        <f>[1]!QCFB1.128</f>
        <v>887</v>
      </c>
      <c r="G92" s="10">
        <f>[1]!QCFB1.130</f>
        <v>13893.03</v>
      </c>
      <c r="H92" s="10">
        <f>[1]!QCFB1.131</f>
        <v>13945.78</v>
      </c>
      <c r="I92" s="10">
        <f>[1]!QCFB1.132</f>
        <v>13875.82</v>
      </c>
      <c r="J92" s="10">
        <f>[1]!QCFB1.133</f>
        <v>873827</v>
      </c>
      <c r="K92" s="10" t="str">
        <f>[1]!QCFB1.135</f>
        <v xml:space="preserve"> -</v>
      </c>
      <c r="L92" s="10" t="str">
        <f>[1]!QCFB1.136</f>
        <v xml:space="preserve"> -</v>
      </c>
      <c r="M92" s="10" t="str">
        <f>[1]!QCFB1.437</f>
        <v xml:space="preserve"> -</v>
      </c>
      <c r="N92" s="10" t="str">
        <f>[1]!QCFB1.406</f>
        <v xml:space="preserve"> -</v>
      </c>
      <c r="O92" s="10" t="str">
        <f>[1]!QCFB1.407</f>
        <v xml:space="preserve"> -</v>
      </c>
      <c r="P92" s="10" t="str">
        <f>[1]!QCFB1.431</f>
        <v>-</v>
      </c>
      <c r="Q92" s="10" t="str">
        <f>[1]!QCFB1.201</f>
        <v xml:space="preserve"> -</v>
      </c>
      <c r="R92" s="10" t="str">
        <f>[1]!QCFB1.202</f>
        <v xml:space="preserve"> -</v>
      </c>
      <c r="S92" s="10" t="str">
        <f>[1]!QCFB1.203</f>
        <v xml:space="preserve"> -</v>
      </c>
      <c r="T92" s="10" t="str">
        <f>[1]!QCFB1.204</f>
        <v xml:space="preserve"> -</v>
      </c>
      <c r="U92" s="10" t="str">
        <f>[1]!QCFB1.205</f>
        <v xml:space="preserve"> -</v>
      </c>
      <c r="V92" s="10" t="str">
        <f>[1]!QCFB1.211</f>
        <v xml:space="preserve"> -</v>
      </c>
      <c r="W92" s="10" t="str">
        <f>[1]!QCFB1.212</f>
        <v xml:space="preserve"> -</v>
      </c>
      <c r="X92" s="10" t="str">
        <f>[1]!QCFB1.213</f>
        <v xml:space="preserve"> -</v>
      </c>
      <c r="Y92" s="10" t="str">
        <f>[1]!QCFB1.214</f>
        <v xml:space="preserve"> -</v>
      </c>
      <c r="Z92" s="10" t="str">
        <f>[1]!QCFB1.215</f>
        <v xml:space="preserve"> -</v>
      </c>
      <c r="AA92" s="10" t="str">
        <f>[1]!QCFB1.221</f>
        <v>-</v>
      </c>
      <c r="AB92" s="10" t="str">
        <f>[1]!QCFB1.222</f>
        <v>-</v>
      </c>
      <c r="AC92" s="10" t="str">
        <f>[1]!QCFB1.223</f>
        <v>-</v>
      </c>
      <c r="AD92" s="10" t="str">
        <f>[1]!QCFB1.224</f>
        <v>-</v>
      </c>
      <c r="AE92" s="10" t="str">
        <f>[1]!QCFB1.225</f>
        <v>-</v>
      </c>
      <c r="AF92" s="10" t="str">
        <f>[1]!QCFB1.231</f>
        <v>-</v>
      </c>
      <c r="AG92" s="10" t="str">
        <f>[1]!QCFB1.232</f>
        <v>-</v>
      </c>
      <c r="AH92" s="10" t="str">
        <f>[1]!QCFB1.233</f>
        <v>-</v>
      </c>
      <c r="AI92" s="10" t="str">
        <f>[1]!QCFB1.234</f>
        <v>-</v>
      </c>
      <c r="AJ92" s="10" t="str">
        <f>[1]!QCFB1.235</f>
        <v>-</v>
      </c>
    </row>
    <row r="93" spans="1:36" s="10" customFormat="1" x14ac:dyDescent="0.25">
      <c r="A93" s="10" t="str">
        <f>"HSFB1"</f>
        <v>HSFB1</v>
      </c>
      <c r="B93" s="10" t="str">
        <f>[1]!HSFB1.402</f>
        <v>加權指數</v>
      </c>
      <c r="C93" s="10">
        <f>[1]!HSFB1.123</f>
        <v>100140</v>
      </c>
      <c r="D93" s="10">
        <f>[1]!HSFB1.124</f>
        <v>16428.68</v>
      </c>
      <c r="E93" s="10">
        <f>[1]!HSFB1.125</f>
        <v>-14.72</v>
      </c>
      <c r="F93" s="10">
        <f>[1]!HSFB1.128</f>
        <v>2686</v>
      </c>
      <c r="G93" s="10">
        <f>[1]!HSFB1.130</f>
        <v>16329.54</v>
      </c>
      <c r="H93" s="10">
        <f>[1]!HSFB1.131</f>
        <v>16456.939999999999</v>
      </c>
      <c r="I93" s="10">
        <f>[1]!HSFB1.132</f>
        <v>16329.54</v>
      </c>
      <c r="J93" s="10">
        <f>[1]!HSFB1.133</f>
        <v>4022793</v>
      </c>
      <c r="K93" s="10" t="str">
        <f>[1]!HSFB1.135</f>
        <v xml:space="preserve"> -</v>
      </c>
      <c r="L93" s="10" t="str">
        <f>[1]!HSFB1.136</f>
        <v xml:space="preserve"> -</v>
      </c>
      <c r="M93" s="10" t="str">
        <f>[1]!HSFB1.437</f>
        <v xml:space="preserve"> -</v>
      </c>
      <c r="N93" s="10" t="str">
        <f>[1]!HSFB1.406</f>
        <v xml:space="preserve"> -</v>
      </c>
      <c r="O93" s="10" t="str">
        <f>[1]!HSFB1.407</f>
        <v xml:space="preserve"> -</v>
      </c>
      <c r="P93" s="10" t="str">
        <f>[1]!HSFB1.431</f>
        <v>-</v>
      </c>
      <c r="Q93" s="10" t="str">
        <f>[1]!HSFB1.201</f>
        <v xml:space="preserve"> -</v>
      </c>
      <c r="R93" s="10" t="str">
        <f>[1]!HSFB1.202</f>
        <v xml:space="preserve"> -</v>
      </c>
      <c r="S93" s="10" t="str">
        <f>[1]!HSFB1.203</f>
        <v xml:space="preserve"> -</v>
      </c>
      <c r="T93" s="10" t="str">
        <f>[1]!HSFB1.204</f>
        <v xml:space="preserve"> -</v>
      </c>
      <c r="U93" s="10" t="str">
        <f>[1]!HSFB1.205</f>
        <v xml:space="preserve"> -</v>
      </c>
      <c r="V93" s="10" t="str">
        <f>[1]!HSFB1.211</f>
        <v xml:space="preserve"> -</v>
      </c>
      <c r="W93" s="10" t="str">
        <f>[1]!HSFB1.212</f>
        <v xml:space="preserve"> -</v>
      </c>
      <c r="X93" s="10" t="str">
        <f>[1]!HSFB1.213</f>
        <v xml:space="preserve"> -</v>
      </c>
      <c r="Y93" s="10" t="str">
        <f>[1]!HSFB1.214</f>
        <v xml:space="preserve"> -</v>
      </c>
      <c r="Z93" s="10" t="str">
        <f>[1]!HSFB1.215</f>
        <v xml:space="preserve"> -</v>
      </c>
      <c r="AA93" s="10" t="str">
        <f>[1]!HSFB1.221</f>
        <v>-</v>
      </c>
      <c r="AB93" s="10" t="str">
        <f>[1]!HSFB1.222</f>
        <v>-</v>
      </c>
      <c r="AC93" s="10" t="str">
        <f>[1]!HSFB1.223</f>
        <v>-</v>
      </c>
      <c r="AD93" s="10" t="str">
        <f>[1]!HSFB1.224</f>
        <v>-</v>
      </c>
      <c r="AE93" s="10" t="str">
        <f>[1]!HSFB1.225</f>
        <v>-</v>
      </c>
      <c r="AF93" s="10" t="str">
        <f>[1]!HSFB1.231</f>
        <v>-</v>
      </c>
      <c r="AG93" s="10" t="str">
        <f>[1]!HSFB1.232</f>
        <v>-</v>
      </c>
      <c r="AH93" s="10" t="str">
        <f>[1]!HSFB1.233</f>
        <v>-</v>
      </c>
      <c r="AI93" s="10" t="str">
        <f>[1]!HSFB1.234</f>
        <v>-</v>
      </c>
      <c r="AJ93" s="10" t="str">
        <f>[1]!HSFB1.235</f>
        <v>-</v>
      </c>
    </row>
    <row r="94" spans="1:36" s="10" customFormat="1" x14ac:dyDescent="0.25">
      <c r="A94" s="10" t="str">
        <f>"PGFB1"</f>
        <v>PGFB1</v>
      </c>
      <c r="B94" s="10" t="str">
        <f>[1]!PGFB1.402</f>
        <v>加權指數</v>
      </c>
      <c r="C94" s="10">
        <f>[1]!PGFB1.123</f>
        <v>100140</v>
      </c>
      <c r="D94" s="10">
        <f>[1]!PGFB1.124</f>
        <v>16428.68</v>
      </c>
      <c r="E94" s="10">
        <f>[1]!PGFB1.125</f>
        <v>-14.72</v>
      </c>
      <c r="F94" s="10">
        <f>[1]!PGFB1.128</f>
        <v>2686</v>
      </c>
      <c r="G94" s="10">
        <f>[1]!PGFB1.130</f>
        <v>16329.54</v>
      </c>
      <c r="H94" s="10">
        <f>[1]!PGFB1.131</f>
        <v>16456.939999999999</v>
      </c>
      <c r="I94" s="10">
        <f>[1]!PGFB1.132</f>
        <v>16329.54</v>
      </c>
      <c r="J94" s="10">
        <f>[1]!PGFB1.133</f>
        <v>4022793</v>
      </c>
      <c r="K94" s="10" t="str">
        <f>[1]!PGFB1.135</f>
        <v xml:space="preserve"> -</v>
      </c>
      <c r="L94" s="10" t="str">
        <f>[1]!PGFB1.136</f>
        <v xml:space="preserve"> -</v>
      </c>
      <c r="M94" s="10" t="str">
        <f>[1]!PGFB1.437</f>
        <v xml:space="preserve"> -</v>
      </c>
      <c r="N94" s="10" t="str">
        <f>[1]!PGFB1.406</f>
        <v xml:space="preserve"> -</v>
      </c>
      <c r="O94" s="10" t="str">
        <f>[1]!PGFB1.407</f>
        <v xml:space="preserve"> -</v>
      </c>
      <c r="P94" s="10" t="str">
        <f>[1]!PGFB1.431</f>
        <v>-</v>
      </c>
      <c r="Q94" s="10" t="str">
        <f>[1]!PGFB1.201</f>
        <v xml:space="preserve"> -</v>
      </c>
      <c r="R94" s="10" t="str">
        <f>[1]!PGFB1.202</f>
        <v xml:space="preserve"> -</v>
      </c>
      <c r="S94" s="10" t="str">
        <f>[1]!PGFB1.203</f>
        <v xml:space="preserve"> -</v>
      </c>
      <c r="T94" s="10" t="str">
        <f>[1]!PGFB1.204</f>
        <v xml:space="preserve"> -</v>
      </c>
      <c r="U94" s="10" t="str">
        <f>[1]!PGFB1.205</f>
        <v xml:space="preserve"> -</v>
      </c>
      <c r="V94" s="10" t="str">
        <f>[1]!PGFB1.211</f>
        <v xml:space="preserve"> -</v>
      </c>
      <c r="W94" s="10" t="str">
        <f>[1]!PGFB1.212</f>
        <v xml:space="preserve"> -</v>
      </c>
      <c r="X94" s="10" t="str">
        <f>[1]!PGFB1.213</f>
        <v xml:space="preserve"> -</v>
      </c>
      <c r="Y94" s="10" t="str">
        <f>[1]!PGFB1.214</f>
        <v xml:space="preserve"> -</v>
      </c>
      <c r="Z94" s="10" t="str">
        <f>[1]!PGFB1.215</f>
        <v xml:space="preserve"> -</v>
      </c>
      <c r="AA94" s="10" t="str">
        <f>[1]!PGFB1.221</f>
        <v>-</v>
      </c>
      <c r="AB94" s="10" t="str">
        <f>[1]!PGFB1.222</f>
        <v>-</v>
      </c>
      <c r="AC94" s="10" t="str">
        <f>[1]!PGFB1.223</f>
        <v>-</v>
      </c>
      <c r="AD94" s="10" t="str">
        <f>[1]!PGFB1.224</f>
        <v>-</v>
      </c>
      <c r="AE94" s="10" t="str">
        <f>[1]!PGFB1.225</f>
        <v>-</v>
      </c>
      <c r="AF94" s="10" t="str">
        <f>[1]!PGFB1.231</f>
        <v>-</v>
      </c>
      <c r="AG94" s="10" t="str">
        <f>[1]!PGFB1.232</f>
        <v>-</v>
      </c>
      <c r="AH94" s="10" t="str">
        <f>[1]!PGFB1.233</f>
        <v>-</v>
      </c>
      <c r="AI94" s="10" t="str">
        <f>[1]!PGFB1.234</f>
        <v>-</v>
      </c>
      <c r="AJ94" s="10" t="str">
        <f>[1]!PGFB1.235</f>
        <v>-</v>
      </c>
    </row>
    <row r="95" spans="1:36" s="10" customFormat="1" x14ac:dyDescent="0.25">
      <c r="A95" s="10" t="str">
        <f>"DCFB1"</f>
        <v>DCFB1</v>
      </c>
      <c r="B95" s="10" t="str">
        <f>[1]!DCFB1.402</f>
        <v>不含金電</v>
      </c>
      <c r="C95" s="10">
        <f>[1]!DCFB1.123</f>
        <v>100135</v>
      </c>
      <c r="D95" s="10">
        <f>[1]!DCFB1.124</f>
        <v>13893.65</v>
      </c>
      <c r="E95" s="10">
        <f>[1]!DCFB1.125</f>
        <v>7.07</v>
      </c>
      <c r="F95" s="10">
        <f>[1]!DCFB1.128</f>
        <v>611</v>
      </c>
      <c r="G95" s="10">
        <f>[1]!DCFB1.130</f>
        <v>13893.03</v>
      </c>
      <c r="H95" s="10">
        <f>[1]!DCFB1.131</f>
        <v>13945.78</v>
      </c>
      <c r="I95" s="10">
        <f>[1]!DCFB1.132</f>
        <v>13875.82</v>
      </c>
      <c r="J95" s="10">
        <f>[1]!DCFB1.133</f>
        <v>871785</v>
      </c>
      <c r="K95" s="10" t="str">
        <f>[1]!DCFB1.135</f>
        <v xml:space="preserve"> -</v>
      </c>
      <c r="L95" s="10" t="str">
        <f>[1]!DCFB1.136</f>
        <v xml:space="preserve"> -</v>
      </c>
      <c r="M95" s="10" t="str">
        <f>[1]!DCFB1.437</f>
        <v xml:space="preserve"> -</v>
      </c>
      <c r="N95" s="10" t="str">
        <f>[1]!DCFB1.406</f>
        <v xml:space="preserve"> -</v>
      </c>
      <c r="O95" s="10" t="str">
        <f>[1]!DCFB1.407</f>
        <v xml:space="preserve"> -</v>
      </c>
      <c r="P95" s="10" t="str">
        <f>[1]!DCFB1.431</f>
        <v>-</v>
      </c>
      <c r="Q95" s="10" t="str">
        <f>[1]!DCFB1.201</f>
        <v xml:space="preserve"> -</v>
      </c>
      <c r="R95" s="10" t="str">
        <f>[1]!DCFB1.202</f>
        <v xml:space="preserve"> -</v>
      </c>
      <c r="S95" s="10" t="str">
        <f>[1]!DCFB1.203</f>
        <v xml:space="preserve"> -</v>
      </c>
      <c r="T95" s="10" t="str">
        <f>[1]!DCFB1.204</f>
        <v xml:space="preserve"> -</v>
      </c>
      <c r="U95" s="10" t="str">
        <f>[1]!DCFB1.205</f>
        <v xml:space="preserve"> -</v>
      </c>
      <c r="V95" s="10" t="str">
        <f>[1]!DCFB1.211</f>
        <v xml:space="preserve"> -</v>
      </c>
      <c r="W95" s="10" t="str">
        <f>[1]!DCFB1.212</f>
        <v xml:space="preserve"> -</v>
      </c>
      <c r="X95" s="10" t="str">
        <f>[1]!DCFB1.213</f>
        <v xml:space="preserve"> -</v>
      </c>
      <c r="Y95" s="10" t="str">
        <f>[1]!DCFB1.214</f>
        <v xml:space="preserve"> -</v>
      </c>
      <c r="Z95" s="10" t="str">
        <f>[1]!DCFB1.215</f>
        <v xml:space="preserve"> -</v>
      </c>
      <c r="AA95" s="10" t="str">
        <f>[1]!DCFB1.221</f>
        <v>-</v>
      </c>
      <c r="AB95" s="10" t="str">
        <f>[1]!DCFB1.222</f>
        <v>-</v>
      </c>
      <c r="AC95" s="10" t="str">
        <f>[1]!DCFB1.223</f>
        <v>-</v>
      </c>
      <c r="AD95" s="10" t="str">
        <f>[1]!DCFB1.224</f>
        <v>-</v>
      </c>
      <c r="AE95" s="10" t="str">
        <f>[1]!DCFB1.225</f>
        <v>-</v>
      </c>
      <c r="AF95" s="10" t="str">
        <f>[1]!DCFB1.231</f>
        <v>-</v>
      </c>
      <c r="AG95" s="10" t="str">
        <f>[1]!DCFB1.232</f>
        <v>-</v>
      </c>
      <c r="AH95" s="10" t="str">
        <f>[1]!DCFB1.233</f>
        <v>-</v>
      </c>
      <c r="AI95" s="10" t="str">
        <f>[1]!DCFB1.234</f>
        <v>-</v>
      </c>
      <c r="AJ95" s="10" t="str">
        <f>[1]!DCFB1.235</f>
        <v>-</v>
      </c>
    </row>
    <row r="96" spans="1:36" s="10" customFormat="1" x14ac:dyDescent="0.25">
      <c r="A96" s="10" t="str">
        <f>"HY1C1"</f>
        <v>HY1C1</v>
      </c>
      <c r="B96" s="10" t="str">
        <f>[1]!HY1C1.402</f>
        <v>中壽1-03</v>
      </c>
      <c r="C96" s="10">
        <f>[1]!HY1C1.123</f>
        <v>0</v>
      </c>
      <c r="D96" s="10" t="str">
        <f>[1]!HY1C1.124</f>
        <v xml:space="preserve"> </v>
      </c>
      <c r="E96" s="10">
        <f>[1]!HY1C1.125</f>
        <v>0</v>
      </c>
      <c r="F96" s="10">
        <f>[1]!HY1C1.128</f>
        <v>0</v>
      </c>
      <c r="G96" s="10" t="str">
        <f>[1]!HY1C1.130</f>
        <v xml:space="preserve"> </v>
      </c>
      <c r="H96" s="10" t="str">
        <f>[1]!HY1C1.131</f>
        <v xml:space="preserve"> </v>
      </c>
      <c r="I96" s="10" t="str">
        <f>[1]!HY1C1.132</f>
        <v xml:space="preserve"> </v>
      </c>
      <c r="J96" s="10">
        <f>[1]!HY1C1.133</f>
        <v>0</v>
      </c>
      <c r="K96" s="10">
        <f>[1]!HY1C1.135</f>
        <v>22.85</v>
      </c>
      <c r="L96" s="10">
        <f>[1]!HY1C1.136</f>
        <v>23</v>
      </c>
      <c r="M96" s="10">
        <f>[1]!HY1C1.437</f>
        <v>22.97</v>
      </c>
      <c r="N96" s="10">
        <f>[1]!HY1C1.406</f>
        <v>25.2</v>
      </c>
      <c r="O96" s="10">
        <f>[1]!HY1C1.407</f>
        <v>20.7</v>
      </c>
      <c r="P96" s="10">
        <f>[1]!HY1C1.431</f>
        <v>20210224</v>
      </c>
      <c r="Q96" s="10">
        <f>[1]!HY1C1.201</f>
        <v>22.85</v>
      </c>
      <c r="R96" s="10" t="str">
        <f>[1]!HY1C1.202</f>
        <v xml:space="preserve"> </v>
      </c>
      <c r="S96" s="10" t="str">
        <f>[1]!HY1C1.203</f>
        <v xml:space="preserve"> </v>
      </c>
      <c r="T96" s="10" t="str">
        <f>[1]!HY1C1.204</f>
        <v xml:space="preserve"> </v>
      </c>
      <c r="U96" s="10" t="str">
        <f>[1]!HY1C1.205</f>
        <v xml:space="preserve"> </v>
      </c>
      <c r="V96" s="10">
        <f>[1]!HY1C1.211</f>
        <v>23</v>
      </c>
      <c r="W96" s="10">
        <f>[1]!HY1C1.212</f>
        <v>23.1</v>
      </c>
      <c r="X96" s="10" t="str">
        <f>[1]!HY1C1.213</f>
        <v xml:space="preserve"> </v>
      </c>
      <c r="Y96" s="10" t="str">
        <f>[1]!HY1C1.214</f>
        <v xml:space="preserve"> </v>
      </c>
      <c r="Z96" s="10" t="str">
        <f>[1]!HY1C1.215</f>
        <v xml:space="preserve"> </v>
      </c>
      <c r="AA96" s="10">
        <f>[1]!HY1C1.221</f>
        <v>1</v>
      </c>
      <c r="AB96" s="10">
        <f>[1]!HY1C1.222</f>
        <v>0</v>
      </c>
      <c r="AC96" s="10">
        <f>[1]!HY1C1.223</f>
        <v>0</v>
      </c>
      <c r="AD96" s="10">
        <f>[1]!HY1C1.224</f>
        <v>0</v>
      </c>
      <c r="AE96" s="10">
        <f>[1]!HY1C1.225</f>
        <v>0</v>
      </c>
      <c r="AF96" s="10">
        <f>[1]!HY1C1.231</f>
        <v>6</v>
      </c>
      <c r="AG96" s="10">
        <f>[1]!HY1C1.232</f>
        <v>1</v>
      </c>
      <c r="AH96" s="10">
        <f>[1]!HY1C1.233</f>
        <v>0</v>
      </c>
      <c r="AI96" s="10">
        <f>[1]!HY1C1.234</f>
        <v>0</v>
      </c>
      <c r="AJ96" s="10">
        <f>[1]!HY1C1.235</f>
        <v>0</v>
      </c>
    </row>
    <row r="97" spans="1:36" s="10" customFormat="1" x14ac:dyDescent="0.25">
      <c r="A97" s="10" t="str">
        <f>"HYFB1"</f>
        <v>HYFB1</v>
      </c>
      <c r="B97" s="10" t="str">
        <f>[1]!HYFB1.402</f>
        <v>加權指數</v>
      </c>
      <c r="C97" s="10">
        <f>[1]!HYFB1.123</f>
        <v>100135</v>
      </c>
      <c r="D97" s="10">
        <f>[1]!HYFB1.124</f>
        <v>16424.64</v>
      </c>
      <c r="E97" s="10">
        <f>[1]!HYFB1.125</f>
        <v>-18.760000000000002</v>
      </c>
      <c r="F97" s="10">
        <f>[1]!HYFB1.128</f>
        <v>1648</v>
      </c>
      <c r="G97" s="10">
        <f>[1]!HYFB1.130</f>
        <v>16329.54</v>
      </c>
      <c r="H97" s="10">
        <f>[1]!HYFB1.131</f>
        <v>16456.939999999999</v>
      </c>
      <c r="I97" s="10">
        <f>[1]!HYFB1.132</f>
        <v>16329.54</v>
      </c>
      <c r="J97" s="10">
        <f>[1]!HYFB1.133</f>
        <v>4020107</v>
      </c>
      <c r="K97" s="10" t="str">
        <f>[1]!HYFB1.135</f>
        <v xml:space="preserve"> -</v>
      </c>
      <c r="L97" s="10" t="str">
        <f>[1]!HYFB1.136</f>
        <v xml:space="preserve"> -</v>
      </c>
      <c r="M97" s="10" t="str">
        <f>[1]!HYFB1.437</f>
        <v xml:space="preserve"> -</v>
      </c>
      <c r="N97" s="10" t="str">
        <f>[1]!HYFB1.406</f>
        <v xml:space="preserve"> -</v>
      </c>
      <c r="O97" s="10" t="str">
        <f>[1]!HYFB1.407</f>
        <v xml:space="preserve"> -</v>
      </c>
      <c r="P97" s="10" t="str">
        <f>[1]!HYFB1.431</f>
        <v>-</v>
      </c>
      <c r="Q97" s="10" t="str">
        <f>[1]!HYFB1.201</f>
        <v xml:space="preserve"> -</v>
      </c>
      <c r="R97" s="10" t="str">
        <f>[1]!HYFB1.202</f>
        <v xml:space="preserve"> -</v>
      </c>
      <c r="S97" s="10" t="str">
        <f>[1]!HYFB1.203</f>
        <v xml:space="preserve"> -</v>
      </c>
      <c r="T97" s="10" t="str">
        <f>[1]!HYFB1.204</f>
        <v xml:space="preserve"> -</v>
      </c>
      <c r="U97" s="10" t="str">
        <f>[1]!HYFB1.205</f>
        <v xml:space="preserve"> -</v>
      </c>
      <c r="V97" s="10" t="str">
        <f>[1]!HYFB1.211</f>
        <v xml:space="preserve"> -</v>
      </c>
      <c r="W97" s="10" t="str">
        <f>[1]!HYFB1.212</f>
        <v xml:space="preserve"> -</v>
      </c>
      <c r="X97" s="10" t="str">
        <f>[1]!HYFB1.213</f>
        <v xml:space="preserve"> -</v>
      </c>
      <c r="Y97" s="10" t="str">
        <f>[1]!HYFB1.214</f>
        <v xml:space="preserve"> -</v>
      </c>
      <c r="Z97" s="10" t="str">
        <f>[1]!HYFB1.215</f>
        <v xml:space="preserve"> -</v>
      </c>
      <c r="AA97" s="10" t="str">
        <f>[1]!HYFB1.221</f>
        <v>-</v>
      </c>
      <c r="AB97" s="10" t="str">
        <f>[1]!HYFB1.222</f>
        <v>-</v>
      </c>
      <c r="AC97" s="10" t="str">
        <f>[1]!HYFB1.223</f>
        <v>-</v>
      </c>
      <c r="AD97" s="10" t="str">
        <f>[1]!HYFB1.224</f>
        <v>-</v>
      </c>
      <c r="AE97" s="10" t="str">
        <f>[1]!HYFB1.225</f>
        <v>-</v>
      </c>
      <c r="AF97" s="10" t="str">
        <f>[1]!HYFB1.231</f>
        <v>-</v>
      </c>
      <c r="AG97" s="10" t="str">
        <f>[1]!HYFB1.232</f>
        <v>-</v>
      </c>
      <c r="AH97" s="10" t="str">
        <f>[1]!HYFB1.233</f>
        <v>-</v>
      </c>
      <c r="AI97" s="10" t="str">
        <f>[1]!HYFB1.234</f>
        <v>-</v>
      </c>
      <c r="AJ97" s="10" t="str">
        <f>[1]!HYFB1.235</f>
        <v>-</v>
      </c>
    </row>
    <row r="98" spans="1:36" s="10" customFormat="1" x14ac:dyDescent="0.25">
      <c r="A98" s="10" t="str">
        <f>"IA1C1"</f>
        <v>IA1C1</v>
      </c>
      <c r="B98" s="10" t="str">
        <f>[1]!IA1C1.402</f>
        <v>臺企銀1-03</v>
      </c>
      <c r="C98" s="10">
        <f>[1]!IA1C1.123</f>
        <v>0</v>
      </c>
      <c r="D98" s="10" t="str">
        <f>[1]!IA1C1.124</f>
        <v xml:space="preserve"> </v>
      </c>
      <c r="E98" s="10">
        <f>[1]!IA1C1.125</f>
        <v>0</v>
      </c>
      <c r="F98" s="10">
        <f>[1]!IA1C1.128</f>
        <v>0</v>
      </c>
      <c r="G98" s="10" t="str">
        <f>[1]!IA1C1.130</f>
        <v xml:space="preserve"> </v>
      </c>
      <c r="H98" s="10" t="str">
        <f>[1]!IA1C1.131</f>
        <v xml:space="preserve"> </v>
      </c>
      <c r="I98" s="10" t="str">
        <f>[1]!IA1C1.132</f>
        <v xml:space="preserve"> </v>
      </c>
      <c r="J98" s="10">
        <f>[1]!IA1C1.133</f>
        <v>0</v>
      </c>
      <c r="K98" s="10">
        <f>[1]!IA1C1.135</f>
        <v>9.64</v>
      </c>
      <c r="L98" s="10">
        <f>[1]!IA1C1.136</f>
        <v>9.6999999999999993</v>
      </c>
      <c r="M98" s="10">
        <f>[1]!IA1C1.437</f>
        <v>9.66</v>
      </c>
      <c r="N98" s="10">
        <f>[1]!IA1C1.406</f>
        <v>10.45</v>
      </c>
      <c r="O98" s="10">
        <f>[1]!IA1C1.407</f>
        <v>8.56</v>
      </c>
      <c r="P98" s="10">
        <f>[1]!IA1C1.431</f>
        <v>20210224</v>
      </c>
      <c r="Q98" s="10">
        <f>[1]!IA1C1.201</f>
        <v>9.64</v>
      </c>
      <c r="R98" s="10" t="str">
        <f>[1]!IA1C1.202</f>
        <v xml:space="preserve"> </v>
      </c>
      <c r="S98" s="10" t="str">
        <f>[1]!IA1C1.203</f>
        <v xml:space="preserve"> </v>
      </c>
      <c r="T98" s="10" t="str">
        <f>[1]!IA1C1.204</f>
        <v xml:space="preserve"> </v>
      </c>
      <c r="U98" s="10" t="str">
        <f>[1]!IA1C1.205</f>
        <v xml:space="preserve"> </v>
      </c>
      <c r="V98" s="10">
        <f>[1]!IA1C1.211</f>
        <v>9.6999999999999993</v>
      </c>
      <c r="W98" s="10" t="str">
        <f>[1]!IA1C1.212</f>
        <v xml:space="preserve"> </v>
      </c>
      <c r="X98" s="10" t="str">
        <f>[1]!IA1C1.213</f>
        <v xml:space="preserve"> </v>
      </c>
      <c r="Y98" s="10" t="str">
        <f>[1]!IA1C1.214</f>
        <v xml:space="preserve"> </v>
      </c>
      <c r="Z98" s="10" t="str">
        <f>[1]!IA1C1.215</f>
        <v xml:space="preserve"> </v>
      </c>
      <c r="AA98" s="10">
        <f>[1]!IA1C1.221</f>
        <v>1</v>
      </c>
      <c r="AB98" s="10">
        <f>[1]!IA1C1.222</f>
        <v>0</v>
      </c>
      <c r="AC98" s="10">
        <f>[1]!IA1C1.223</f>
        <v>0</v>
      </c>
      <c r="AD98" s="10">
        <f>[1]!IA1C1.224</f>
        <v>0</v>
      </c>
      <c r="AE98" s="10">
        <f>[1]!IA1C1.225</f>
        <v>0</v>
      </c>
      <c r="AF98" s="10">
        <f>[1]!IA1C1.231</f>
        <v>1</v>
      </c>
      <c r="AG98" s="10">
        <f>[1]!IA1C1.232</f>
        <v>0</v>
      </c>
      <c r="AH98" s="10">
        <f>[1]!IA1C1.233</f>
        <v>0</v>
      </c>
      <c r="AI98" s="10">
        <f>[1]!IA1C1.234</f>
        <v>0</v>
      </c>
      <c r="AJ98" s="10">
        <f>[1]!IA1C1.235</f>
        <v>0</v>
      </c>
    </row>
    <row r="99" spans="1:36" s="10" customFormat="1" x14ac:dyDescent="0.25">
      <c r="A99" s="10" t="str">
        <f>"IAFB1"</f>
        <v>IAFB1</v>
      </c>
      <c r="B99" s="10" t="str">
        <f>[1]!IAFB1.402</f>
        <v>加權指數</v>
      </c>
      <c r="C99" s="10">
        <f>[1]!IAFB1.123</f>
        <v>100140</v>
      </c>
      <c r="D99" s="10">
        <f>[1]!IAFB1.124</f>
        <v>16428.68</v>
      </c>
      <c r="E99" s="10">
        <f>[1]!IAFB1.125</f>
        <v>-14.72</v>
      </c>
      <c r="F99" s="10">
        <f>[1]!IAFB1.128</f>
        <v>2686</v>
      </c>
      <c r="G99" s="10">
        <f>[1]!IAFB1.130</f>
        <v>16329.54</v>
      </c>
      <c r="H99" s="10">
        <f>[1]!IAFB1.131</f>
        <v>16456.939999999999</v>
      </c>
      <c r="I99" s="10">
        <f>[1]!IAFB1.132</f>
        <v>16329.54</v>
      </c>
      <c r="J99" s="10">
        <f>[1]!IAFB1.133</f>
        <v>4022793</v>
      </c>
      <c r="K99" s="10" t="str">
        <f>[1]!IAFB1.135</f>
        <v xml:space="preserve"> -</v>
      </c>
      <c r="L99" s="10" t="str">
        <f>[1]!IAFB1.136</f>
        <v xml:space="preserve"> -</v>
      </c>
      <c r="M99" s="10" t="str">
        <f>[1]!IAFB1.437</f>
        <v xml:space="preserve"> -</v>
      </c>
      <c r="N99" s="10" t="str">
        <f>[1]!IAFB1.406</f>
        <v xml:space="preserve"> -</v>
      </c>
      <c r="O99" s="10" t="str">
        <f>[1]!IAFB1.407</f>
        <v xml:space="preserve"> -</v>
      </c>
      <c r="P99" s="10" t="str">
        <f>[1]!IAFB1.431</f>
        <v>-</v>
      </c>
      <c r="Q99" s="10" t="str">
        <f>[1]!IAFB1.201</f>
        <v xml:space="preserve"> -</v>
      </c>
      <c r="R99" s="10" t="str">
        <f>[1]!IAFB1.202</f>
        <v xml:space="preserve"> -</v>
      </c>
      <c r="S99" s="10" t="str">
        <f>[1]!IAFB1.203</f>
        <v xml:space="preserve"> -</v>
      </c>
      <c r="T99" s="10" t="str">
        <f>[1]!IAFB1.204</f>
        <v xml:space="preserve"> -</v>
      </c>
      <c r="U99" s="10" t="str">
        <f>[1]!IAFB1.205</f>
        <v xml:space="preserve"> -</v>
      </c>
      <c r="V99" s="10" t="str">
        <f>[1]!IAFB1.211</f>
        <v xml:space="preserve"> -</v>
      </c>
      <c r="W99" s="10" t="str">
        <f>[1]!IAFB1.212</f>
        <v xml:space="preserve"> -</v>
      </c>
      <c r="X99" s="10" t="str">
        <f>[1]!IAFB1.213</f>
        <v xml:space="preserve"> -</v>
      </c>
      <c r="Y99" s="10" t="str">
        <f>[1]!IAFB1.214</f>
        <v xml:space="preserve"> -</v>
      </c>
      <c r="Z99" s="10" t="str">
        <f>[1]!IAFB1.215</f>
        <v xml:space="preserve"> -</v>
      </c>
      <c r="AA99" s="10" t="str">
        <f>[1]!IAFB1.221</f>
        <v>-</v>
      </c>
      <c r="AB99" s="10" t="str">
        <f>[1]!IAFB1.222</f>
        <v>-</v>
      </c>
      <c r="AC99" s="10" t="str">
        <f>[1]!IAFB1.223</f>
        <v>-</v>
      </c>
      <c r="AD99" s="10" t="str">
        <f>[1]!IAFB1.224</f>
        <v>-</v>
      </c>
      <c r="AE99" s="10" t="str">
        <f>[1]!IAFB1.225</f>
        <v>-</v>
      </c>
      <c r="AF99" s="10" t="str">
        <f>[1]!IAFB1.231</f>
        <v>-</v>
      </c>
      <c r="AG99" s="10" t="str">
        <f>[1]!IAFB1.232</f>
        <v>-</v>
      </c>
      <c r="AH99" s="10" t="str">
        <f>[1]!IAFB1.233</f>
        <v>-</v>
      </c>
      <c r="AI99" s="10" t="str">
        <f>[1]!IAFB1.234</f>
        <v>-</v>
      </c>
      <c r="AJ99" s="10" t="str">
        <f>[1]!IAFB1.235</f>
        <v>-</v>
      </c>
    </row>
    <row r="100" spans="1:36" s="10" customFormat="1" x14ac:dyDescent="0.25">
      <c r="A100" s="10" t="str">
        <f>"CJFB1"</f>
        <v>CJFB1</v>
      </c>
      <c r="B100" s="10" t="str">
        <f>[1]!CJFB1.402</f>
        <v>加權指數</v>
      </c>
      <c r="C100" s="10">
        <f>[1]!CJFB1.123</f>
        <v>100145</v>
      </c>
      <c r="D100" s="10">
        <f>[1]!CJFB1.124</f>
        <v>16422.560000000001</v>
      </c>
      <c r="E100" s="10">
        <f>[1]!CJFB1.125</f>
        <v>-20.84</v>
      </c>
      <c r="F100" s="10">
        <f>[1]!CJFB1.128</f>
        <v>1824</v>
      </c>
      <c r="G100" s="10">
        <f>[1]!CJFB1.130</f>
        <v>16329.54</v>
      </c>
      <c r="H100" s="10">
        <f>[1]!CJFB1.131</f>
        <v>16456.939999999999</v>
      </c>
      <c r="I100" s="10">
        <f>[1]!CJFB1.132</f>
        <v>16329.54</v>
      </c>
      <c r="J100" s="10">
        <f>[1]!CJFB1.133</f>
        <v>4024617</v>
      </c>
      <c r="K100" s="10" t="str">
        <f>[1]!CJFB1.135</f>
        <v xml:space="preserve"> -</v>
      </c>
      <c r="L100" s="10" t="str">
        <f>[1]!CJFB1.136</f>
        <v xml:space="preserve"> -</v>
      </c>
      <c r="M100" s="10" t="str">
        <f>[1]!CJFB1.437</f>
        <v xml:space="preserve"> -</v>
      </c>
      <c r="N100" s="10" t="str">
        <f>[1]!CJFB1.406</f>
        <v xml:space="preserve"> -</v>
      </c>
      <c r="O100" s="10" t="str">
        <f>[1]!CJFB1.407</f>
        <v xml:space="preserve"> -</v>
      </c>
      <c r="P100" s="10" t="str">
        <f>[1]!CJFB1.431</f>
        <v>-</v>
      </c>
      <c r="Q100" s="10" t="str">
        <f>[1]!CJFB1.201</f>
        <v xml:space="preserve"> -</v>
      </c>
      <c r="R100" s="10" t="str">
        <f>[1]!CJFB1.202</f>
        <v xml:space="preserve"> -</v>
      </c>
      <c r="S100" s="10" t="str">
        <f>[1]!CJFB1.203</f>
        <v xml:space="preserve"> -</v>
      </c>
      <c r="T100" s="10" t="str">
        <f>[1]!CJFB1.204</f>
        <v xml:space="preserve"> -</v>
      </c>
      <c r="U100" s="10" t="str">
        <f>[1]!CJFB1.205</f>
        <v xml:space="preserve"> -</v>
      </c>
      <c r="V100" s="10" t="str">
        <f>[1]!CJFB1.211</f>
        <v xml:space="preserve"> -</v>
      </c>
      <c r="W100" s="10" t="str">
        <f>[1]!CJFB1.212</f>
        <v xml:space="preserve"> -</v>
      </c>
      <c r="X100" s="10" t="str">
        <f>[1]!CJFB1.213</f>
        <v xml:space="preserve"> -</v>
      </c>
      <c r="Y100" s="10" t="str">
        <f>[1]!CJFB1.214</f>
        <v xml:space="preserve"> -</v>
      </c>
      <c r="Z100" s="10" t="str">
        <f>[1]!CJFB1.215</f>
        <v xml:space="preserve"> -</v>
      </c>
      <c r="AA100" s="10" t="str">
        <f>[1]!CJFB1.221</f>
        <v>-</v>
      </c>
      <c r="AB100" s="10" t="str">
        <f>[1]!CJFB1.222</f>
        <v>-</v>
      </c>
      <c r="AC100" s="10" t="str">
        <f>[1]!CJFB1.223</f>
        <v>-</v>
      </c>
      <c r="AD100" s="10" t="str">
        <f>[1]!CJFB1.224</f>
        <v>-</v>
      </c>
      <c r="AE100" s="10" t="str">
        <f>[1]!CJFB1.225</f>
        <v>-</v>
      </c>
      <c r="AF100" s="10" t="str">
        <f>[1]!CJFB1.231</f>
        <v>-</v>
      </c>
      <c r="AG100" s="10" t="str">
        <f>[1]!CJFB1.232</f>
        <v>-</v>
      </c>
      <c r="AH100" s="10" t="str">
        <f>[1]!CJFB1.233</f>
        <v>-</v>
      </c>
      <c r="AI100" s="10" t="str">
        <f>[1]!CJFB1.234</f>
        <v>-</v>
      </c>
      <c r="AJ100" s="10" t="str">
        <f>[1]!CJFB1.235</f>
        <v>-</v>
      </c>
    </row>
    <row r="101" spans="1:36" s="10" customFormat="1" x14ac:dyDescent="0.25">
      <c r="A101" s="10" t="str">
        <f>"CEFB1"</f>
        <v>CEFB1</v>
      </c>
      <c r="B101" s="10" t="str">
        <f>[1]!CEFB1.402</f>
        <v>加權指數</v>
      </c>
      <c r="C101" s="10">
        <f>[1]!CEFB1.123</f>
        <v>100125</v>
      </c>
      <c r="D101" s="10">
        <f>[1]!CEFB1.124</f>
        <v>16429</v>
      </c>
      <c r="E101" s="10">
        <f>[1]!CEFB1.125</f>
        <v>-14.4</v>
      </c>
      <c r="F101" s="10">
        <f>[1]!CEFB1.128</f>
        <v>2036</v>
      </c>
      <c r="G101" s="10">
        <f>[1]!CEFB1.130</f>
        <v>16329.54</v>
      </c>
      <c r="H101" s="10">
        <f>[1]!CEFB1.131</f>
        <v>16456.939999999999</v>
      </c>
      <c r="I101" s="10">
        <f>[1]!CEFB1.132</f>
        <v>16329.54</v>
      </c>
      <c r="J101" s="10">
        <f>[1]!CEFB1.133</f>
        <v>4015112</v>
      </c>
      <c r="K101" s="10" t="str">
        <f>[1]!CEFB1.135</f>
        <v xml:space="preserve"> -</v>
      </c>
      <c r="L101" s="10" t="str">
        <f>[1]!CEFB1.136</f>
        <v xml:space="preserve"> -</v>
      </c>
      <c r="M101" s="10" t="str">
        <f>[1]!CEFB1.437</f>
        <v xml:space="preserve"> -</v>
      </c>
      <c r="N101" s="10" t="str">
        <f>[1]!CEFB1.406</f>
        <v xml:space="preserve"> -</v>
      </c>
      <c r="O101" s="10" t="str">
        <f>[1]!CEFB1.407</f>
        <v xml:space="preserve"> -</v>
      </c>
      <c r="P101" s="10" t="str">
        <f>[1]!CEFB1.431</f>
        <v>-</v>
      </c>
      <c r="Q101" s="10" t="str">
        <f>[1]!CEFB1.201</f>
        <v xml:space="preserve"> -</v>
      </c>
      <c r="R101" s="10" t="str">
        <f>[1]!CEFB1.202</f>
        <v xml:space="preserve"> -</v>
      </c>
      <c r="S101" s="10" t="str">
        <f>[1]!CEFB1.203</f>
        <v xml:space="preserve"> -</v>
      </c>
      <c r="T101" s="10" t="str">
        <f>[1]!CEFB1.204</f>
        <v xml:space="preserve"> -</v>
      </c>
      <c r="U101" s="10" t="str">
        <f>[1]!CEFB1.205</f>
        <v xml:space="preserve"> -</v>
      </c>
      <c r="V101" s="10" t="str">
        <f>[1]!CEFB1.211</f>
        <v xml:space="preserve"> -</v>
      </c>
      <c r="W101" s="10" t="str">
        <f>[1]!CEFB1.212</f>
        <v xml:space="preserve"> -</v>
      </c>
      <c r="X101" s="10" t="str">
        <f>[1]!CEFB1.213</f>
        <v xml:space="preserve"> -</v>
      </c>
      <c r="Y101" s="10" t="str">
        <f>[1]!CEFB1.214</f>
        <v xml:space="preserve"> -</v>
      </c>
      <c r="Z101" s="10" t="str">
        <f>[1]!CEFB1.215</f>
        <v xml:space="preserve"> -</v>
      </c>
      <c r="AA101" s="10" t="str">
        <f>[1]!CEFB1.221</f>
        <v>-</v>
      </c>
      <c r="AB101" s="10" t="str">
        <f>[1]!CEFB1.222</f>
        <v>-</v>
      </c>
      <c r="AC101" s="10" t="str">
        <f>[1]!CEFB1.223</f>
        <v>-</v>
      </c>
      <c r="AD101" s="10" t="str">
        <f>[1]!CEFB1.224</f>
        <v>-</v>
      </c>
      <c r="AE101" s="10" t="str">
        <f>[1]!CEFB1.225</f>
        <v>-</v>
      </c>
      <c r="AF101" s="10" t="str">
        <f>[1]!CEFB1.231</f>
        <v>-</v>
      </c>
      <c r="AG101" s="10" t="str">
        <f>[1]!CEFB1.232</f>
        <v>-</v>
      </c>
      <c r="AH101" s="10" t="str">
        <f>[1]!CEFB1.233</f>
        <v>-</v>
      </c>
      <c r="AI101" s="10" t="str">
        <f>[1]!CEFB1.234</f>
        <v>-</v>
      </c>
      <c r="AJ101" s="10" t="str">
        <f>[1]!CEFB1.235</f>
        <v>-</v>
      </c>
    </row>
    <row r="102" spans="1:36" s="10" customFormat="1" x14ac:dyDescent="0.25">
      <c r="A102" s="10" t="str">
        <f>"CKFB1"</f>
        <v>CKFB1</v>
      </c>
      <c r="B102" s="10" t="str">
        <f>[1]!CKFB1.402</f>
        <v>加權指數</v>
      </c>
      <c r="C102" s="10">
        <f>[1]!CKFB1.123</f>
        <v>100145</v>
      </c>
      <c r="D102" s="10">
        <f>[1]!CKFB1.124</f>
        <v>16422.560000000001</v>
      </c>
      <c r="E102" s="10">
        <f>[1]!CKFB1.125</f>
        <v>-20.84</v>
      </c>
      <c r="F102" s="10">
        <f>[1]!CKFB1.128</f>
        <v>1824</v>
      </c>
      <c r="G102" s="10">
        <f>[1]!CKFB1.130</f>
        <v>16329.54</v>
      </c>
      <c r="H102" s="10">
        <f>[1]!CKFB1.131</f>
        <v>16456.939999999999</v>
      </c>
      <c r="I102" s="10">
        <f>[1]!CKFB1.132</f>
        <v>16329.54</v>
      </c>
      <c r="J102" s="10">
        <f>[1]!CKFB1.133</f>
        <v>4024617</v>
      </c>
      <c r="K102" s="10" t="str">
        <f>[1]!CKFB1.135</f>
        <v xml:space="preserve"> -</v>
      </c>
      <c r="L102" s="10" t="str">
        <f>[1]!CKFB1.136</f>
        <v xml:space="preserve"> -</v>
      </c>
      <c r="M102" s="10" t="str">
        <f>[1]!CKFB1.437</f>
        <v xml:space="preserve"> -</v>
      </c>
      <c r="N102" s="10" t="str">
        <f>[1]!CKFB1.406</f>
        <v xml:space="preserve"> -</v>
      </c>
      <c r="O102" s="10" t="str">
        <f>[1]!CKFB1.407</f>
        <v xml:space="preserve"> -</v>
      </c>
      <c r="P102" s="10" t="str">
        <f>[1]!CKFB1.431</f>
        <v>-</v>
      </c>
      <c r="Q102" s="10" t="str">
        <f>[1]!CKFB1.201</f>
        <v xml:space="preserve"> -</v>
      </c>
      <c r="R102" s="10" t="str">
        <f>[1]!CKFB1.202</f>
        <v xml:space="preserve"> -</v>
      </c>
      <c r="S102" s="10" t="str">
        <f>[1]!CKFB1.203</f>
        <v xml:space="preserve"> -</v>
      </c>
      <c r="T102" s="10" t="str">
        <f>[1]!CKFB1.204</f>
        <v xml:space="preserve"> -</v>
      </c>
      <c r="U102" s="10" t="str">
        <f>[1]!CKFB1.205</f>
        <v xml:space="preserve"> -</v>
      </c>
      <c r="V102" s="10" t="str">
        <f>[1]!CKFB1.211</f>
        <v xml:space="preserve"> -</v>
      </c>
      <c r="W102" s="10" t="str">
        <f>[1]!CKFB1.212</f>
        <v xml:space="preserve"> -</v>
      </c>
      <c r="X102" s="10" t="str">
        <f>[1]!CKFB1.213</f>
        <v xml:space="preserve"> -</v>
      </c>
      <c r="Y102" s="10" t="str">
        <f>[1]!CKFB1.214</f>
        <v xml:space="preserve"> -</v>
      </c>
      <c r="Z102" s="10" t="str">
        <f>[1]!CKFB1.215</f>
        <v xml:space="preserve"> -</v>
      </c>
      <c r="AA102" s="10" t="str">
        <f>[1]!CKFB1.221</f>
        <v>-</v>
      </c>
      <c r="AB102" s="10" t="str">
        <f>[1]!CKFB1.222</f>
        <v>-</v>
      </c>
      <c r="AC102" s="10" t="str">
        <f>[1]!CKFB1.223</f>
        <v>-</v>
      </c>
      <c r="AD102" s="10" t="str">
        <f>[1]!CKFB1.224</f>
        <v>-</v>
      </c>
      <c r="AE102" s="10" t="str">
        <f>[1]!CKFB1.225</f>
        <v>-</v>
      </c>
      <c r="AF102" s="10" t="str">
        <f>[1]!CKFB1.231</f>
        <v>-</v>
      </c>
      <c r="AG102" s="10" t="str">
        <f>[1]!CKFB1.232</f>
        <v>-</v>
      </c>
      <c r="AH102" s="10" t="str">
        <f>[1]!CKFB1.233</f>
        <v>-</v>
      </c>
      <c r="AI102" s="10" t="str">
        <f>[1]!CKFB1.234</f>
        <v>-</v>
      </c>
      <c r="AJ102" s="10" t="str">
        <f>[1]!CKFB1.235</f>
        <v>-</v>
      </c>
    </row>
    <row r="103" spans="1:36" s="10" customFormat="1" x14ac:dyDescent="0.25">
      <c r="A103" s="10" t="str">
        <f>"LRFB1"</f>
        <v>LRFB1</v>
      </c>
      <c r="B103" s="10" t="str">
        <f>[1]!LRFB1.402</f>
        <v>不含金電</v>
      </c>
      <c r="C103" s="10">
        <f>[1]!LRFB1.123</f>
        <v>100145</v>
      </c>
      <c r="D103" s="10">
        <f>[1]!LRFB1.124</f>
        <v>13895.21</v>
      </c>
      <c r="E103" s="10">
        <f>[1]!LRFB1.125</f>
        <v>8.6300000000000008</v>
      </c>
      <c r="F103" s="10">
        <f>[1]!LRFB1.128</f>
        <v>435</v>
      </c>
      <c r="G103" s="10">
        <f>[1]!LRFB1.130</f>
        <v>13893.03</v>
      </c>
      <c r="H103" s="10">
        <f>[1]!LRFB1.131</f>
        <v>13945.78</v>
      </c>
      <c r="I103" s="10">
        <f>[1]!LRFB1.132</f>
        <v>13875.82</v>
      </c>
      <c r="J103" s="10">
        <f>[1]!LRFB1.133</f>
        <v>872940</v>
      </c>
      <c r="K103" s="10" t="str">
        <f>[1]!LRFB1.135</f>
        <v xml:space="preserve"> -</v>
      </c>
      <c r="L103" s="10" t="str">
        <f>[1]!LRFB1.136</f>
        <v xml:space="preserve"> -</v>
      </c>
      <c r="M103" s="10" t="str">
        <f>[1]!LRFB1.437</f>
        <v xml:space="preserve"> -</v>
      </c>
      <c r="N103" s="10" t="str">
        <f>[1]!LRFB1.406</f>
        <v xml:space="preserve"> -</v>
      </c>
      <c r="O103" s="10" t="str">
        <f>[1]!LRFB1.407</f>
        <v xml:space="preserve"> -</v>
      </c>
      <c r="P103" s="10" t="str">
        <f>[1]!LRFB1.431</f>
        <v>-</v>
      </c>
      <c r="Q103" s="10" t="str">
        <f>[1]!LRFB1.201</f>
        <v xml:space="preserve"> -</v>
      </c>
      <c r="R103" s="10" t="str">
        <f>[1]!LRFB1.202</f>
        <v xml:space="preserve"> -</v>
      </c>
      <c r="S103" s="10" t="str">
        <f>[1]!LRFB1.203</f>
        <v xml:space="preserve"> -</v>
      </c>
      <c r="T103" s="10" t="str">
        <f>[1]!LRFB1.204</f>
        <v xml:space="preserve"> -</v>
      </c>
      <c r="U103" s="10" t="str">
        <f>[1]!LRFB1.205</f>
        <v xml:space="preserve"> -</v>
      </c>
      <c r="V103" s="10" t="str">
        <f>[1]!LRFB1.211</f>
        <v xml:space="preserve"> -</v>
      </c>
      <c r="W103" s="10" t="str">
        <f>[1]!LRFB1.212</f>
        <v xml:space="preserve"> -</v>
      </c>
      <c r="X103" s="10" t="str">
        <f>[1]!LRFB1.213</f>
        <v xml:space="preserve"> -</v>
      </c>
      <c r="Y103" s="10" t="str">
        <f>[1]!LRFB1.214</f>
        <v xml:space="preserve"> -</v>
      </c>
      <c r="Z103" s="10" t="str">
        <f>[1]!LRFB1.215</f>
        <v xml:space="preserve"> -</v>
      </c>
      <c r="AA103" s="10" t="str">
        <f>[1]!LRFB1.221</f>
        <v>-</v>
      </c>
      <c r="AB103" s="10" t="str">
        <f>[1]!LRFB1.222</f>
        <v>-</v>
      </c>
      <c r="AC103" s="10" t="str">
        <f>[1]!LRFB1.223</f>
        <v>-</v>
      </c>
      <c r="AD103" s="10" t="str">
        <f>[1]!LRFB1.224</f>
        <v>-</v>
      </c>
      <c r="AE103" s="10" t="str">
        <f>[1]!LRFB1.225</f>
        <v>-</v>
      </c>
      <c r="AF103" s="10" t="str">
        <f>[1]!LRFB1.231</f>
        <v>-</v>
      </c>
      <c r="AG103" s="10" t="str">
        <f>[1]!LRFB1.232</f>
        <v>-</v>
      </c>
      <c r="AH103" s="10" t="str">
        <f>[1]!LRFB1.233</f>
        <v>-</v>
      </c>
      <c r="AI103" s="10" t="str">
        <f>[1]!LRFB1.234</f>
        <v>-</v>
      </c>
      <c r="AJ103" s="10" t="str">
        <f>[1]!LRFB1.235</f>
        <v>-</v>
      </c>
    </row>
    <row r="104" spans="1:36" s="10" customFormat="1" x14ac:dyDescent="0.25">
      <c r="A104" s="10" t="str">
        <f>"DNFB1"</f>
        <v>DNFB1</v>
      </c>
      <c r="B104" s="10" t="str">
        <f>[1]!DNFB1.402</f>
        <v>加權指數</v>
      </c>
      <c r="C104" s="10">
        <f>[1]!DNFB1.123</f>
        <v>100140</v>
      </c>
      <c r="D104" s="10">
        <f>[1]!DNFB1.124</f>
        <v>16428.68</v>
      </c>
      <c r="E104" s="10">
        <f>[1]!DNFB1.125</f>
        <v>-14.72</v>
      </c>
      <c r="F104" s="10">
        <f>[1]!DNFB1.128</f>
        <v>2686</v>
      </c>
      <c r="G104" s="10">
        <f>[1]!DNFB1.130</f>
        <v>16329.54</v>
      </c>
      <c r="H104" s="10">
        <f>[1]!DNFB1.131</f>
        <v>16456.939999999999</v>
      </c>
      <c r="I104" s="10">
        <f>[1]!DNFB1.132</f>
        <v>16329.54</v>
      </c>
      <c r="J104" s="10">
        <f>[1]!DNFB1.133</f>
        <v>4022793</v>
      </c>
      <c r="K104" s="10" t="str">
        <f>[1]!DNFB1.135</f>
        <v xml:space="preserve"> -</v>
      </c>
      <c r="L104" s="10" t="str">
        <f>[1]!DNFB1.136</f>
        <v xml:space="preserve"> -</v>
      </c>
      <c r="M104" s="10" t="str">
        <f>[1]!DNFB1.437</f>
        <v xml:space="preserve"> -</v>
      </c>
      <c r="N104" s="10" t="str">
        <f>[1]!DNFB1.406</f>
        <v xml:space="preserve"> -</v>
      </c>
      <c r="O104" s="10" t="str">
        <f>[1]!DNFB1.407</f>
        <v xml:space="preserve"> -</v>
      </c>
      <c r="P104" s="10" t="str">
        <f>[1]!DNFB1.431</f>
        <v>-</v>
      </c>
      <c r="Q104" s="10" t="str">
        <f>[1]!DNFB1.201</f>
        <v xml:space="preserve"> -</v>
      </c>
      <c r="R104" s="10" t="str">
        <f>[1]!DNFB1.202</f>
        <v xml:space="preserve"> -</v>
      </c>
      <c r="S104" s="10" t="str">
        <f>[1]!DNFB1.203</f>
        <v xml:space="preserve"> -</v>
      </c>
      <c r="T104" s="10" t="str">
        <f>[1]!DNFB1.204</f>
        <v xml:space="preserve"> -</v>
      </c>
      <c r="U104" s="10" t="str">
        <f>[1]!DNFB1.205</f>
        <v xml:space="preserve"> -</v>
      </c>
      <c r="V104" s="10" t="str">
        <f>[1]!DNFB1.211</f>
        <v xml:space="preserve"> -</v>
      </c>
      <c r="W104" s="10" t="str">
        <f>[1]!DNFB1.212</f>
        <v xml:space="preserve"> -</v>
      </c>
      <c r="X104" s="10" t="str">
        <f>[1]!DNFB1.213</f>
        <v xml:space="preserve"> -</v>
      </c>
      <c r="Y104" s="10" t="str">
        <f>[1]!DNFB1.214</f>
        <v xml:space="preserve"> -</v>
      </c>
      <c r="Z104" s="10" t="str">
        <f>[1]!DNFB1.215</f>
        <v xml:space="preserve"> -</v>
      </c>
      <c r="AA104" s="10" t="str">
        <f>[1]!DNFB1.221</f>
        <v>-</v>
      </c>
      <c r="AB104" s="10" t="str">
        <f>[1]!DNFB1.222</f>
        <v>-</v>
      </c>
      <c r="AC104" s="10" t="str">
        <f>[1]!DNFB1.223</f>
        <v>-</v>
      </c>
      <c r="AD104" s="10" t="str">
        <f>[1]!DNFB1.224</f>
        <v>-</v>
      </c>
      <c r="AE104" s="10" t="str">
        <f>[1]!DNFB1.225</f>
        <v>-</v>
      </c>
      <c r="AF104" s="10" t="str">
        <f>[1]!DNFB1.231</f>
        <v>-</v>
      </c>
      <c r="AG104" s="10" t="str">
        <f>[1]!DNFB1.232</f>
        <v>-</v>
      </c>
      <c r="AH104" s="10" t="str">
        <f>[1]!DNFB1.233</f>
        <v>-</v>
      </c>
      <c r="AI104" s="10" t="str">
        <f>[1]!DNFB1.234</f>
        <v>-</v>
      </c>
      <c r="AJ104" s="10" t="str">
        <f>[1]!DNFB1.235</f>
        <v>-</v>
      </c>
    </row>
    <row r="105" spans="1:36" s="10" customFormat="1" x14ac:dyDescent="0.25">
      <c r="A105" s="10" t="str">
        <f>"DOFB1"</f>
        <v>DOFB1</v>
      </c>
      <c r="B105" s="10" t="e">
        <f>[1]!DOFB1.402</f>
        <v>#N/A</v>
      </c>
      <c r="C105" s="10">
        <f>[1]!DOFB1.123</f>
        <v>0</v>
      </c>
      <c r="D105" s="10">
        <f>[1]!DOFB1.124</f>
        <v>20878632</v>
      </c>
      <c r="E105" s="10" t="str">
        <f>[1]!DOFB1.125</f>
        <v xml:space="preserve"> </v>
      </c>
      <c r="F105" s="10">
        <f>[1]!DOFB1.128</f>
        <v>1212870150</v>
      </c>
      <c r="G105" s="10">
        <f>[1]!DOFB1.130</f>
        <v>20803788</v>
      </c>
      <c r="H105" s="10">
        <f>[1]!DOFB1.131</f>
        <v>20804690</v>
      </c>
      <c r="I105" s="10">
        <f>[1]!DOFB1.132</f>
        <v>10989732</v>
      </c>
      <c r="J105" s="10">
        <f>[1]!DOFB1.133</f>
        <v>2088371110</v>
      </c>
      <c r="K105" s="10" t="str">
        <f>[1]!DOFB1.135</f>
        <v xml:space="preserve"> -</v>
      </c>
      <c r="L105" s="10" t="str">
        <f>[1]!DOFB1.136</f>
        <v xml:space="preserve"> -</v>
      </c>
      <c r="M105" s="10" t="str">
        <f>[1]!DOFB1.437</f>
        <v xml:space="preserve"> -</v>
      </c>
      <c r="N105" s="10" t="str">
        <f>[1]!DOFB1.406</f>
        <v xml:space="preserve"> -</v>
      </c>
      <c r="O105" s="10" t="str">
        <f>[1]!DOFB1.407</f>
        <v xml:space="preserve"> -</v>
      </c>
      <c r="P105" s="10" t="str">
        <f>[1]!DOFB1.431</f>
        <v>-</v>
      </c>
      <c r="Q105" s="10" t="str">
        <f>[1]!DOFB1.201</f>
        <v xml:space="preserve"> -</v>
      </c>
      <c r="R105" s="10" t="str">
        <f>[1]!DOFB1.202</f>
        <v xml:space="preserve"> -</v>
      </c>
      <c r="S105" s="10" t="str">
        <f>[1]!DOFB1.203</f>
        <v xml:space="preserve"> -</v>
      </c>
      <c r="T105" s="10" t="str">
        <f>[1]!DOFB1.204</f>
        <v xml:space="preserve"> -</v>
      </c>
      <c r="U105" s="10" t="str">
        <f>[1]!DOFB1.205</f>
        <v xml:space="preserve"> -</v>
      </c>
      <c r="V105" s="10" t="str">
        <f>[1]!DOFB1.211</f>
        <v xml:space="preserve"> -</v>
      </c>
      <c r="W105" s="10" t="str">
        <f>[1]!DOFB1.212</f>
        <v xml:space="preserve"> -</v>
      </c>
      <c r="X105" s="10" t="str">
        <f>[1]!DOFB1.213</f>
        <v xml:space="preserve"> -</v>
      </c>
      <c r="Y105" s="10" t="str">
        <f>[1]!DOFB1.214</f>
        <v xml:space="preserve"> -</v>
      </c>
      <c r="Z105" s="10" t="str">
        <f>[1]!DOFB1.215</f>
        <v xml:space="preserve"> -</v>
      </c>
      <c r="AA105" s="10" t="str">
        <f>[1]!DOFB1.221</f>
        <v>-</v>
      </c>
      <c r="AB105" s="10" t="str">
        <f>[1]!DOFB1.222</f>
        <v>-</v>
      </c>
      <c r="AC105" s="10" t="str">
        <f>[1]!DOFB1.223</f>
        <v>-</v>
      </c>
      <c r="AD105" s="10" t="str">
        <f>[1]!DOFB1.224</f>
        <v>-</v>
      </c>
      <c r="AE105" s="10" t="str">
        <f>[1]!DOFB1.225</f>
        <v>-</v>
      </c>
      <c r="AF105" s="10" t="str">
        <f>[1]!DOFB1.231</f>
        <v>-</v>
      </c>
      <c r="AG105" s="10" t="str">
        <f>[1]!DOFB1.232</f>
        <v>-</v>
      </c>
      <c r="AH105" s="10" t="str">
        <f>[1]!DOFB1.233</f>
        <v>-</v>
      </c>
      <c r="AI105" s="10" t="str">
        <f>[1]!DOFB1.234</f>
        <v>-</v>
      </c>
      <c r="AJ105" s="10" t="str">
        <f>[1]!DOFB1.235</f>
        <v>-</v>
      </c>
    </row>
    <row r="106" spans="1:36" s="10" customFormat="1" x14ac:dyDescent="0.25">
      <c r="A106" s="10" t="str">
        <f>"CLFB1"</f>
        <v>CLFB1</v>
      </c>
      <c r="B106" s="10" t="str">
        <f>[1]!CLFB1.402</f>
        <v>加權指數</v>
      </c>
      <c r="C106" s="10">
        <f>[1]!CLFB1.123</f>
        <v>100125</v>
      </c>
      <c r="D106" s="10">
        <f>[1]!CLFB1.124</f>
        <v>16429</v>
      </c>
      <c r="E106" s="10">
        <f>[1]!CLFB1.125</f>
        <v>-14.4</v>
      </c>
      <c r="F106" s="10">
        <f>[1]!CLFB1.128</f>
        <v>2036</v>
      </c>
      <c r="G106" s="10">
        <f>[1]!CLFB1.130</f>
        <v>16329.54</v>
      </c>
      <c r="H106" s="10">
        <f>[1]!CLFB1.131</f>
        <v>16456.939999999999</v>
      </c>
      <c r="I106" s="10">
        <f>[1]!CLFB1.132</f>
        <v>16329.54</v>
      </c>
      <c r="J106" s="10">
        <f>[1]!CLFB1.133</f>
        <v>4015112</v>
      </c>
      <c r="K106" s="10" t="str">
        <f>[1]!CLFB1.135</f>
        <v xml:space="preserve"> -</v>
      </c>
      <c r="L106" s="10" t="str">
        <f>[1]!CLFB1.136</f>
        <v xml:space="preserve"> -</v>
      </c>
      <c r="M106" s="10" t="str">
        <f>[1]!CLFB1.437</f>
        <v xml:space="preserve"> -</v>
      </c>
      <c r="N106" s="10" t="str">
        <f>[1]!CLFB1.406</f>
        <v xml:space="preserve"> -</v>
      </c>
      <c r="O106" s="10" t="str">
        <f>[1]!CLFB1.407</f>
        <v xml:space="preserve"> -</v>
      </c>
      <c r="P106" s="10" t="str">
        <f>[1]!CLFB1.431</f>
        <v>-</v>
      </c>
      <c r="Q106" s="10" t="str">
        <f>[1]!CLFB1.201</f>
        <v xml:space="preserve"> -</v>
      </c>
      <c r="R106" s="10" t="str">
        <f>[1]!CLFB1.202</f>
        <v xml:space="preserve"> -</v>
      </c>
      <c r="S106" s="10" t="str">
        <f>[1]!CLFB1.203</f>
        <v xml:space="preserve"> -</v>
      </c>
      <c r="T106" s="10" t="str">
        <f>[1]!CLFB1.204</f>
        <v xml:space="preserve"> -</v>
      </c>
      <c r="U106" s="10" t="str">
        <f>[1]!CLFB1.205</f>
        <v xml:space="preserve"> -</v>
      </c>
      <c r="V106" s="10" t="str">
        <f>[1]!CLFB1.211</f>
        <v xml:space="preserve"> -</v>
      </c>
      <c r="W106" s="10" t="str">
        <f>[1]!CLFB1.212</f>
        <v xml:space="preserve"> -</v>
      </c>
      <c r="X106" s="10" t="str">
        <f>[1]!CLFB1.213</f>
        <v xml:space="preserve"> -</v>
      </c>
      <c r="Y106" s="10" t="str">
        <f>[1]!CLFB1.214</f>
        <v xml:space="preserve"> -</v>
      </c>
      <c r="Z106" s="10" t="str">
        <f>[1]!CLFB1.215</f>
        <v xml:space="preserve"> -</v>
      </c>
      <c r="AA106" s="10" t="str">
        <f>[1]!CLFB1.221</f>
        <v>-</v>
      </c>
      <c r="AB106" s="10" t="str">
        <f>[1]!CLFB1.222</f>
        <v>-</v>
      </c>
      <c r="AC106" s="10" t="str">
        <f>[1]!CLFB1.223</f>
        <v>-</v>
      </c>
      <c r="AD106" s="10" t="str">
        <f>[1]!CLFB1.224</f>
        <v>-</v>
      </c>
      <c r="AE106" s="10" t="str">
        <f>[1]!CLFB1.225</f>
        <v>-</v>
      </c>
      <c r="AF106" s="10" t="str">
        <f>[1]!CLFB1.231</f>
        <v>-</v>
      </c>
      <c r="AG106" s="10" t="str">
        <f>[1]!CLFB1.232</f>
        <v>-</v>
      </c>
      <c r="AH106" s="10" t="str">
        <f>[1]!CLFB1.233</f>
        <v>-</v>
      </c>
      <c r="AI106" s="10" t="str">
        <f>[1]!CLFB1.234</f>
        <v>-</v>
      </c>
      <c r="AJ106" s="10" t="str">
        <f>[1]!CLFB1.235</f>
        <v>-</v>
      </c>
    </row>
    <row r="107" spans="1:36" s="10" customFormat="1" x14ac:dyDescent="0.25">
      <c r="A107" s="10" t="str">
        <f>"CMFB1"</f>
        <v>CMFB1</v>
      </c>
      <c r="B107" s="10" t="str">
        <f>[1]!CMFB1.402</f>
        <v>加權指數</v>
      </c>
      <c r="C107" s="10">
        <f>[1]!CMFB1.123</f>
        <v>100125</v>
      </c>
      <c r="D107" s="10">
        <f>[1]!CMFB1.124</f>
        <v>16429</v>
      </c>
      <c r="E107" s="10">
        <f>[1]!CMFB1.125</f>
        <v>-14.4</v>
      </c>
      <c r="F107" s="10">
        <f>[1]!CMFB1.128</f>
        <v>2036</v>
      </c>
      <c r="G107" s="10">
        <f>[1]!CMFB1.130</f>
        <v>16329.54</v>
      </c>
      <c r="H107" s="10">
        <f>[1]!CMFB1.131</f>
        <v>16456.939999999999</v>
      </c>
      <c r="I107" s="10">
        <f>[1]!CMFB1.132</f>
        <v>16329.54</v>
      </c>
      <c r="J107" s="10">
        <f>[1]!CMFB1.133</f>
        <v>4015112</v>
      </c>
      <c r="K107" s="10" t="str">
        <f>[1]!CMFB1.135</f>
        <v xml:space="preserve"> -</v>
      </c>
      <c r="L107" s="10" t="str">
        <f>[1]!CMFB1.136</f>
        <v xml:space="preserve"> -</v>
      </c>
      <c r="M107" s="10" t="str">
        <f>[1]!CMFB1.437</f>
        <v xml:space="preserve"> -</v>
      </c>
      <c r="N107" s="10" t="str">
        <f>[1]!CMFB1.406</f>
        <v xml:space="preserve"> -</v>
      </c>
      <c r="O107" s="10" t="str">
        <f>[1]!CMFB1.407</f>
        <v xml:space="preserve"> -</v>
      </c>
      <c r="P107" s="10" t="str">
        <f>[1]!CMFB1.431</f>
        <v>-</v>
      </c>
      <c r="Q107" s="10" t="str">
        <f>[1]!CMFB1.201</f>
        <v xml:space="preserve"> -</v>
      </c>
      <c r="R107" s="10" t="str">
        <f>[1]!CMFB1.202</f>
        <v xml:space="preserve"> -</v>
      </c>
      <c r="S107" s="10" t="str">
        <f>[1]!CMFB1.203</f>
        <v xml:space="preserve"> -</v>
      </c>
      <c r="T107" s="10" t="str">
        <f>[1]!CMFB1.204</f>
        <v xml:space="preserve"> -</v>
      </c>
      <c r="U107" s="10" t="str">
        <f>[1]!CMFB1.205</f>
        <v xml:space="preserve"> -</v>
      </c>
      <c r="V107" s="10" t="str">
        <f>[1]!CMFB1.211</f>
        <v xml:space="preserve"> -</v>
      </c>
      <c r="W107" s="10" t="str">
        <f>[1]!CMFB1.212</f>
        <v xml:space="preserve"> -</v>
      </c>
      <c r="X107" s="10" t="str">
        <f>[1]!CMFB1.213</f>
        <v xml:space="preserve"> -</v>
      </c>
      <c r="Y107" s="10" t="str">
        <f>[1]!CMFB1.214</f>
        <v xml:space="preserve"> -</v>
      </c>
      <c r="Z107" s="10" t="str">
        <f>[1]!CMFB1.215</f>
        <v xml:space="preserve"> -</v>
      </c>
      <c r="AA107" s="10" t="str">
        <f>[1]!CMFB1.221</f>
        <v>-</v>
      </c>
      <c r="AB107" s="10" t="str">
        <f>[1]!CMFB1.222</f>
        <v>-</v>
      </c>
      <c r="AC107" s="10" t="str">
        <f>[1]!CMFB1.223</f>
        <v>-</v>
      </c>
      <c r="AD107" s="10" t="str">
        <f>[1]!CMFB1.224</f>
        <v>-</v>
      </c>
      <c r="AE107" s="10" t="str">
        <f>[1]!CMFB1.225</f>
        <v>-</v>
      </c>
      <c r="AF107" s="10" t="str">
        <f>[1]!CMFB1.231</f>
        <v>-</v>
      </c>
      <c r="AG107" s="10" t="str">
        <f>[1]!CMFB1.232</f>
        <v>-</v>
      </c>
      <c r="AH107" s="10" t="str">
        <f>[1]!CMFB1.233</f>
        <v>-</v>
      </c>
      <c r="AI107" s="10" t="str">
        <f>[1]!CMFB1.234</f>
        <v>-</v>
      </c>
      <c r="AJ107" s="10" t="str">
        <f>[1]!CMFB1.235</f>
        <v>-</v>
      </c>
    </row>
    <row r="108" spans="1:36" s="10" customFormat="1" x14ac:dyDescent="0.25">
      <c r="A108" s="10" t="str">
        <f>"CM1C1"</f>
        <v>CM1C1</v>
      </c>
      <c r="B108" s="10" t="str">
        <f>[1]!CM1C1.402</f>
        <v>台新金1-03</v>
      </c>
      <c r="C108" s="10">
        <f>[1]!CM1C1.123</f>
        <v>0</v>
      </c>
      <c r="D108" s="10" t="str">
        <f>[1]!CM1C1.124</f>
        <v xml:space="preserve"> </v>
      </c>
      <c r="E108" s="10">
        <f>[1]!CM1C1.125</f>
        <v>0</v>
      </c>
      <c r="F108" s="10">
        <f>[1]!CM1C1.128</f>
        <v>0</v>
      </c>
      <c r="G108" s="10" t="str">
        <f>[1]!CM1C1.130</f>
        <v xml:space="preserve"> </v>
      </c>
      <c r="H108" s="10" t="str">
        <f>[1]!CM1C1.131</f>
        <v xml:space="preserve"> </v>
      </c>
      <c r="I108" s="10" t="str">
        <f>[1]!CM1C1.132</f>
        <v xml:space="preserve"> </v>
      </c>
      <c r="J108" s="10">
        <f>[1]!CM1C1.133</f>
        <v>0</v>
      </c>
      <c r="K108" s="10">
        <f>[1]!CM1C1.135</f>
        <v>13.05</v>
      </c>
      <c r="L108" s="10">
        <f>[1]!CM1C1.136</f>
        <v>13.25</v>
      </c>
      <c r="M108" s="10">
        <f>[1]!CM1C1.437</f>
        <v>13.11</v>
      </c>
      <c r="N108" s="10">
        <f>[1]!CM1C1.406</f>
        <v>14.3</v>
      </c>
      <c r="O108" s="10">
        <f>[1]!CM1C1.407</f>
        <v>11.7</v>
      </c>
      <c r="P108" s="10">
        <f>[1]!CM1C1.431</f>
        <v>20210224</v>
      </c>
      <c r="Q108" s="10">
        <f>[1]!CM1C1.201</f>
        <v>13.05</v>
      </c>
      <c r="R108" s="10" t="str">
        <f>[1]!CM1C1.202</f>
        <v xml:space="preserve"> </v>
      </c>
      <c r="S108" s="10" t="str">
        <f>[1]!CM1C1.203</f>
        <v xml:space="preserve"> </v>
      </c>
      <c r="T108" s="10" t="str">
        <f>[1]!CM1C1.204</f>
        <v xml:space="preserve"> </v>
      </c>
      <c r="U108" s="10" t="str">
        <f>[1]!CM1C1.205</f>
        <v xml:space="preserve"> </v>
      </c>
      <c r="V108" s="10">
        <f>[1]!CM1C1.211</f>
        <v>13.25</v>
      </c>
      <c r="W108" s="10" t="str">
        <f>[1]!CM1C1.212</f>
        <v xml:space="preserve"> </v>
      </c>
      <c r="X108" s="10" t="str">
        <f>[1]!CM1C1.213</f>
        <v xml:space="preserve"> </v>
      </c>
      <c r="Y108" s="10" t="str">
        <f>[1]!CM1C1.214</f>
        <v xml:space="preserve"> </v>
      </c>
      <c r="Z108" s="10" t="str">
        <f>[1]!CM1C1.215</f>
        <v xml:space="preserve"> </v>
      </c>
      <c r="AA108" s="10">
        <f>[1]!CM1C1.221</f>
        <v>1</v>
      </c>
      <c r="AB108" s="10">
        <f>[1]!CM1C1.222</f>
        <v>0</v>
      </c>
      <c r="AC108" s="10">
        <f>[1]!CM1C1.223</f>
        <v>0</v>
      </c>
      <c r="AD108" s="10">
        <f>[1]!CM1C1.224</f>
        <v>0</v>
      </c>
      <c r="AE108" s="10">
        <f>[1]!CM1C1.225</f>
        <v>0</v>
      </c>
      <c r="AF108" s="10">
        <f>[1]!CM1C1.231</f>
        <v>1</v>
      </c>
      <c r="AG108" s="10">
        <f>[1]!CM1C1.232</f>
        <v>0</v>
      </c>
      <c r="AH108" s="10">
        <f>[1]!CM1C1.233</f>
        <v>0</v>
      </c>
      <c r="AI108" s="10">
        <f>[1]!CM1C1.234</f>
        <v>0</v>
      </c>
      <c r="AJ108" s="10">
        <f>[1]!CM1C1.235</f>
        <v>0</v>
      </c>
    </row>
    <row r="109" spans="1:36" s="10" customFormat="1" x14ac:dyDescent="0.25">
      <c r="A109" s="10" t="str">
        <f>"DDFB1"</f>
        <v>DDFB1</v>
      </c>
      <c r="B109" s="10" t="str">
        <f>[1]!DDFB1.402</f>
        <v>加權指數</v>
      </c>
      <c r="C109" s="10">
        <f>[1]!DDFB1.123</f>
        <v>100135</v>
      </c>
      <c r="D109" s="10">
        <f>[1]!DDFB1.124</f>
        <v>16424.64</v>
      </c>
      <c r="E109" s="10">
        <f>[1]!DDFB1.125</f>
        <v>-18.760000000000002</v>
      </c>
      <c r="F109" s="10">
        <f>[1]!DDFB1.128</f>
        <v>1648</v>
      </c>
      <c r="G109" s="10">
        <f>[1]!DDFB1.130</f>
        <v>16329.54</v>
      </c>
      <c r="H109" s="10">
        <f>[1]!DDFB1.131</f>
        <v>16456.939999999999</v>
      </c>
      <c r="I109" s="10">
        <f>[1]!DDFB1.132</f>
        <v>16329.54</v>
      </c>
      <c r="J109" s="10">
        <f>[1]!DDFB1.133</f>
        <v>4020107</v>
      </c>
      <c r="K109" s="10" t="str">
        <f>[1]!DDFB1.135</f>
        <v xml:space="preserve"> -</v>
      </c>
      <c r="L109" s="10" t="str">
        <f>[1]!DDFB1.136</f>
        <v xml:space="preserve"> -</v>
      </c>
      <c r="M109" s="10" t="str">
        <f>[1]!DDFB1.437</f>
        <v xml:space="preserve"> -</v>
      </c>
      <c r="N109" s="10" t="str">
        <f>[1]!DDFB1.406</f>
        <v xml:space="preserve"> -</v>
      </c>
      <c r="O109" s="10" t="str">
        <f>[1]!DDFB1.407</f>
        <v xml:space="preserve"> -</v>
      </c>
      <c r="P109" s="10" t="str">
        <f>[1]!DDFB1.431</f>
        <v>-</v>
      </c>
      <c r="Q109" s="10" t="str">
        <f>[1]!DDFB1.201</f>
        <v xml:space="preserve"> -</v>
      </c>
      <c r="R109" s="10" t="str">
        <f>[1]!DDFB1.202</f>
        <v xml:space="preserve"> -</v>
      </c>
      <c r="S109" s="10" t="str">
        <f>[1]!DDFB1.203</f>
        <v xml:space="preserve"> -</v>
      </c>
      <c r="T109" s="10" t="str">
        <f>[1]!DDFB1.204</f>
        <v xml:space="preserve"> -</v>
      </c>
      <c r="U109" s="10" t="str">
        <f>[1]!DDFB1.205</f>
        <v xml:space="preserve"> -</v>
      </c>
      <c r="V109" s="10" t="str">
        <f>[1]!DDFB1.211</f>
        <v xml:space="preserve"> -</v>
      </c>
      <c r="W109" s="10" t="str">
        <f>[1]!DDFB1.212</f>
        <v xml:space="preserve"> -</v>
      </c>
      <c r="X109" s="10" t="str">
        <f>[1]!DDFB1.213</f>
        <v xml:space="preserve"> -</v>
      </c>
      <c r="Y109" s="10" t="str">
        <f>[1]!DDFB1.214</f>
        <v xml:space="preserve"> -</v>
      </c>
      <c r="Z109" s="10" t="str">
        <f>[1]!DDFB1.215</f>
        <v xml:space="preserve"> -</v>
      </c>
      <c r="AA109" s="10" t="str">
        <f>[1]!DDFB1.221</f>
        <v>-</v>
      </c>
      <c r="AB109" s="10" t="str">
        <f>[1]!DDFB1.222</f>
        <v>-</v>
      </c>
      <c r="AC109" s="10" t="str">
        <f>[1]!DDFB1.223</f>
        <v>-</v>
      </c>
      <c r="AD109" s="10" t="str">
        <f>[1]!DDFB1.224</f>
        <v>-</v>
      </c>
      <c r="AE109" s="10" t="str">
        <f>[1]!DDFB1.225</f>
        <v>-</v>
      </c>
      <c r="AF109" s="10" t="str">
        <f>[1]!DDFB1.231</f>
        <v>-</v>
      </c>
      <c r="AG109" s="10" t="str">
        <f>[1]!DDFB1.232</f>
        <v>-</v>
      </c>
      <c r="AH109" s="10" t="str">
        <f>[1]!DDFB1.233</f>
        <v>-</v>
      </c>
      <c r="AI109" s="10" t="str">
        <f>[1]!DDFB1.234</f>
        <v>-</v>
      </c>
      <c r="AJ109" s="10" t="str">
        <f>[1]!DDFB1.235</f>
        <v>-</v>
      </c>
    </row>
    <row r="110" spans="1:36" s="10" customFormat="1" x14ac:dyDescent="0.25">
      <c r="A110" s="10" t="str">
        <f>"DEFB1"</f>
        <v>DEFB1</v>
      </c>
      <c r="B110" s="10" t="str">
        <f>[1]!DEFB1.402</f>
        <v>不含金電</v>
      </c>
      <c r="C110" s="10">
        <f>[1]!DEFB1.123</f>
        <v>100130</v>
      </c>
      <c r="D110" s="10">
        <f>[1]!DEFB1.124</f>
        <v>13895.08</v>
      </c>
      <c r="E110" s="10">
        <f>[1]!DEFB1.125</f>
        <v>8.5</v>
      </c>
      <c r="F110" s="10">
        <f>[1]!DEFB1.128</f>
        <v>449</v>
      </c>
      <c r="G110" s="10">
        <f>[1]!DEFB1.130</f>
        <v>13893.03</v>
      </c>
      <c r="H110" s="10">
        <f>[1]!DEFB1.131</f>
        <v>13945.78</v>
      </c>
      <c r="I110" s="10">
        <f>[1]!DEFB1.132</f>
        <v>13875.82</v>
      </c>
      <c r="J110" s="10">
        <f>[1]!DEFB1.133</f>
        <v>871174</v>
      </c>
      <c r="K110" s="10" t="str">
        <f>[1]!DEFB1.135</f>
        <v xml:space="preserve"> -</v>
      </c>
      <c r="L110" s="10" t="str">
        <f>[1]!DEFB1.136</f>
        <v xml:space="preserve"> -</v>
      </c>
      <c r="M110" s="10" t="str">
        <f>[1]!DEFB1.437</f>
        <v xml:space="preserve"> -</v>
      </c>
      <c r="N110" s="10" t="str">
        <f>[1]!DEFB1.406</f>
        <v xml:space="preserve"> -</v>
      </c>
      <c r="O110" s="10" t="str">
        <f>[1]!DEFB1.407</f>
        <v xml:space="preserve"> -</v>
      </c>
      <c r="P110" s="10" t="str">
        <f>[1]!DEFB1.431</f>
        <v>-</v>
      </c>
      <c r="Q110" s="10" t="str">
        <f>[1]!DEFB1.201</f>
        <v xml:space="preserve"> -</v>
      </c>
      <c r="R110" s="10" t="str">
        <f>[1]!DEFB1.202</f>
        <v xml:space="preserve"> -</v>
      </c>
      <c r="S110" s="10" t="str">
        <f>[1]!DEFB1.203</f>
        <v xml:space="preserve"> -</v>
      </c>
      <c r="T110" s="10" t="str">
        <f>[1]!DEFB1.204</f>
        <v xml:space="preserve"> -</v>
      </c>
      <c r="U110" s="10" t="str">
        <f>[1]!DEFB1.205</f>
        <v xml:space="preserve"> -</v>
      </c>
      <c r="V110" s="10" t="str">
        <f>[1]!DEFB1.211</f>
        <v xml:space="preserve"> -</v>
      </c>
      <c r="W110" s="10" t="str">
        <f>[1]!DEFB1.212</f>
        <v xml:space="preserve"> -</v>
      </c>
      <c r="X110" s="10" t="str">
        <f>[1]!DEFB1.213</f>
        <v xml:space="preserve"> -</v>
      </c>
      <c r="Y110" s="10" t="str">
        <f>[1]!DEFB1.214</f>
        <v xml:space="preserve"> -</v>
      </c>
      <c r="Z110" s="10" t="str">
        <f>[1]!DEFB1.215</f>
        <v xml:space="preserve"> -</v>
      </c>
      <c r="AA110" s="10" t="str">
        <f>[1]!DEFB1.221</f>
        <v>-</v>
      </c>
      <c r="AB110" s="10" t="str">
        <f>[1]!DEFB1.222</f>
        <v>-</v>
      </c>
      <c r="AC110" s="10" t="str">
        <f>[1]!DEFB1.223</f>
        <v>-</v>
      </c>
      <c r="AD110" s="10" t="str">
        <f>[1]!DEFB1.224</f>
        <v>-</v>
      </c>
      <c r="AE110" s="10" t="str">
        <f>[1]!DEFB1.225</f>
        <v>-</v>
      </c>
      <c r="AF110" s="10" t="str">
        <f>[1]!DEFB1.231</f>
        <v>-</v>
      </c>
      <c r="AG110" s="10" t="str">
        <f>[1]!DEFB1.232</f>
        <v>-</v>
      </c>
      <c r="AH110" s="10" t="str">
        <f>[1]!DEFB1.233</f>
        <v>-</v>
      </c>
      <c r="AI110" s="10" t="str">
        <f>[1]!DEFB1.234</f>
        <v>-</v>
      </c>
      <c r="AJ110" s="10" t="str">
        <f>[1]!DEFB1.235</f>
        <v>-</v>
      </c>
    </row>
    <row r="111" spans="1:36" s="10" customFormat="1" x14ac:dyDescent="0.25">
      <c r="A111" s="10" t="str">
        <f>"CNFB1"</f>
        <v>CNFB1</v>
      </c>
      <c r="B111" s="10" t="str">
        <f>[1]!CNFB1.402</f>
        <v>加權指數</v>
      </c>
      <c r="C111" s="10">
        <f>[1]!CNFB1.123</f>
        <v>100140</v>
      </c>
      <c r="D111" s="10">
        <f>[1]!CNFB1.124</f>
        <v>16428.68</v>
      </c>
      <c r="E111" s="10">
        <f>[1]!CNFB1.125</f>
        <v>-14.72</v>
      </c>
      <c r="F111" s="10">
        <f>[1]!CNFB1.128</f>
        <v>2686</v>
      </c>
      <c r="G111" s="10">
        <f>[1]!CNFB1.130</f>
        <v>16329.54</v>
      </c>
      <c r="H111" s="10">
        <f>[1]!CNFB1.131</f>
        <v>16456.939999999999</v>
      </c>
      <c r="I111" s="10">
        <f>[1]!CNFB1.132</f>
        <v>16329.54</v>
      </c>
      <c r="J111" s="10">
        <f>[1]!CNFB1.133</f>
        <v>4022793</v>
      </c>
      <c r="K111" s="10" t="str">
        <f>[1]!CNFB1.135</f>
        <v xml:space="preserve"> -</v>
      </c>
      <c r="L111" s="10" t="str">
        <f>[1]!CNFB1.136</f>
        <v xml:space="preserve"> -</v>
      </c>
      <c r="M111" s="10" t="str">
        <f>[1]!CNFB1.437</f>
        <v xml:space="preserve"> -</v>
      </c>
      <c r="N111" s="10" t="str">
        <f>[1]!CNFB1.406</f>
        <v xml:space="preserve"> -</v>
      </c>
      <c r="O111" s="10" t="str">
        <f>[1]!CNFB1.407</f>
        <v xml:space="preserve"> -</v>
      </c>
      <c r="P111" s="10" t="str">
        <f>[1]!CNFB1.431</f>
        <v>-</v>
      </c>
      <c r="Q111" s="10" t="str">
        <f>[1]!CNFB1.201</f>
        <v xml:space="preserve"> -</v>
      </c>
      <c r="R111" s="10" t="str">
        <f>[1]!CNFB1.202</f>
        <v xml:space="preserve"> -</v>
      </c>
      <c r="S111" s="10" t="str">
        <f>[1]!CNFB1.203</f>
        <v xml:space="preserve"> -</v>
      </c>
      <c r="T111" s="10" t="str">
        <f>[1]!CNFB1.204</f>
        <v xml:space="preserve"> -</v>
      </c>
      <c r="U111" s="10" t="str">
        <f>[1]!CNFB1.205</f>
        <v xml:space="preserve"> -</v>
      </c>
      <c r="V111" s="10" t="str">
        <f>[1]!CNFB1.211</f>
        <v xml:space="preserve"> -</v>
      </c>
      <c r="W111" s="10" t="str">
        <f>[1]!CNFB1.212</f>
        <v xml:space="preserve"> -</v>
      </c>
      <c r="X111" s="10" t="str">
        <f>[1]!CNFB1.213</f>
        <v xml:space="preserve"> -</v>
      </c>
      <c r="Y111" s="10" t="str">
        <f>[1]!CNFB1.214</f>
        <v xml:space="preserve"> -</v>
      </c>
      <c r="Z111" s="10" t="str">
        <f>[1]!CNFB1.215</f>
        <v xml:space="preserve"> -</v>
      </c>
      <c r="AA111" s="10" t="str">
        <f>[1]!CNFB1.221</f>
        <v>-</v>
      </c>
      <c r="AB111" s="10" t="str">
        <f>[1]!CNFB1.222</f>
        <v>-</v>
      </c>
      <c r="AC111" s="10" t="str">
        <f>[1]!CNFB1.223</f>
        <v>-</v>
      </c>
      <c r="AD111" s="10" t="str">
        <f>[1]!CNFB1.224</f>
        <v>-</v>
      </c>
      <c r="AE111" s="10" t="str">
        <f>[1]!CNFB1.225</f>
        <v>-</v>
      </c>
      <c r="AF111" s="10" t="str">
        <f>[1]!CNFB1.231</f>
        <v>-</v>
      </c>
      <c r="AG111" s="10" t="str">
        <f>[1]!CNFB1.232</f>
        <v>-</v>
      </c>
      <c r="AH111" s="10" t="str">
        <f>[1]!CNFB1.233</f>
        <v>-</v>
      </c>
      <c r="AI111" s="10" t="str">
        <f>[1]!CNFB1.234</f>
        <v>-</v>
      </c>
      <c r="AJ111" s="10" t="str">
        <f>[1]!CNFB1.235</f>
        <v>-</v>
      </c>
    </row>
    <row r="112" spans="1:36" s="10" customFormat="1" x14ac:dyDescent="0.25">
      <c r="A112" s="10" t="str">
        <f>"DPFB1"</f>
        <v>DPFB1</v>
      </c>
      <c r="B112" s="10" t="str">
        <f>[1]!DPFB1.402</f>
        <v>加權指數</v>
      </c>
      <c r="C112" s="10">
        <f>[1]!DPFB1.123</f>
        <v>100140</v>
      </c>
      <c r="D112" s="10">
        <f>[1]!DPFB1.124</f>
        <v>16428.68</v>
      </c>
      <c r="E112" s="10">
        <f>[1]!DPFB1.125</f>
        <v>-14.72</v>
      </c>
      <c r="F112" s="10">
        <f>[1]!DPFB1.128</f>
        <v>2686</v>
      </c>
      <c r="G112" s="10">
        <f>[1]!DPFB1.130</f>
        <v>16329.54</v>
      </c>
      <c r="H112" s="10">
        <f>[1]!DPFB1.131</f>
        <v>16456.939999999999</v>
      </c>
      <c r="I112" s="10">
        <f>[1]!DPFB1.132</f>
        <v>16329.54</v>
      </c>
      <c r="J112" s="10">
        <f>[1]!DPFB1.133</f>
        <v>4022793</v>
      </c>
      <c r="K112" s="10" t="str">
        <f>[1]!DPFB1.135</f>
        <v xml:space="preserve"> -</v>
      </c>
      <c r="L112" s="10" t="str">
        <f>[1]!DPFB1.136</f>
        <v xml:space="preserve"> -</v>
      </c>
      <c r="M112" s="10" t="str">
        <f>[1]!DPFB1.437</f>
        <v xml:space="preserve"> -</v>
      </c>
      <c r="N112" s="10" t="str">
        <f>[1]!DPFB1.406</f>
        <v xml:space="preserve"> -</v>
      </c>
      <c r="O112" s="10" t="str">
        <f>[1]!DPFB1.407</f>
        <v xml:space="preserve"> -</v>
      </c>
      <c r="P112" s="10" t="str">
        <f>[1]!DPFB1.431</f>
        <v>-</v>
      </c>
      <c r="Q112" s="10" t="str">
        <f>[1]!DPFB1.201</f>
        <v xml:space="preserve"> -</v>
      </c>
      <c r="R112" s="10" t="str">
        <f>[1]!DPFB1.202</f>
        <v xml:space="preserve"> -</v>
      </c>
      <c r="S112" s="10" t="str">
        <f>[1]!DPFB1.203</f>
        <v xml:space="preserve"> -</v>
      </c>
      <c r="T112" s="10" t="str">
        <f>[1]!DPFB1.204</f>
        <v xml:space="preserve"> -</v>
      </c>
      <c r="U112" s="10" t="str">
        <f>[1]!DPFB1.205</f>
        <v xml:space="preserve"> -</v>
      </c>
      <c r="V112" s="10" t="str">
        <f>[1]!DPFB1.211</f>
        <v xml:space="preserve"> -</v>
      </c>
      <c r="W112" s="10" t="str">
        <f>[1]!DPFB1.212</f>
        <v xml:space="preserve"> -</v>
      </c>
      <c r="X112" s="10" t="str">
        <f>[1]!DPFB1.213</f>
        <v xml:space="preserve"> -</v>
      </c>
      <c r="Y112" s="10" t="str">
        <f>[1]!DPFB1.214</f>
        <v xml:space="preserve"> -</v>
      </c>
      <c r="Z112" s="10" t="str">
        <f>[1]!DPFB1.215</f>
        <v xml:space="preserve"> -</v>
      </c>
      <c r="AA112" s="10" t="str">
        <f>[1]!DPFB1.221</f>
        <v>-</v>
      </c>
      <c r="AB112" s="10" t="str">
        <f>[1]!DPFB1.222</f>
        <v>-</v>
      </c>
      <c r="AC112" s="10" t="str">
        <f>[1]!DPFB1.223</f>
        <v>-</v>
      </c>
      <c r="AD112" s="10" t="str">
        <f>[1]!DPFB1.224</f>
        <v>-</v>
      </c>
      <c r="AE112" s="10" t="str">
        <f>[1]!DPFB1.225</f>
        <v>-</v>
      </c>
      <c r="AF112" s="10" t="str">
        <f>[1]!DPFB1.231</f>
        <v>-</v>
      </c>
      <c r="AG112" s="10" t="str">
        <f>[1]!DPFB1.232</f>
        <v>-</v>
      </c>
      <c r="AH112" s="10" t="str">
        <f>[1]!DPFB1.233</f>
        <v>-</v>
      </c>
      <c r="AI112" s="10" t="str">
        <f>[1]!DPFB1.234</f>
        <v>-</v>
      </c>
      <c r="AJ112" s="10" t="str">
        <f>[1]!DPFB1.235</f>
        <v>-</v>
      </c>
    </row>
    <row r="113" spans="1:36" s="10" customFormat="1" x14ac:dyDescent="0.25">
      <c r="A113" s="10" t="str">
        <f>"IHFB1"</f>
        <v>IHFB1</v>
      </c>
      <c r="B113" s="10" t="e">
        <f>[1]!IHFB1.402</f>
        <v>#N/A</v>
      </c>
      <c r="C113" s="10">
        <f>[1]!IHFB1.123</f>
        <v>0</v>
      </c>
      <c r="D113" s="10">
        <f>[1]!IHFB1.124</f>
        <v>20878632</v>
      </c>
      <c r="E113" s="10" t="str">
        <f>[1]!IHFB1.125</f>
        <v xml:space="preserve"> </v>
      </c>
      <c r="F113" s="10">
        <f>[1]!IHFB1.128</f>
        <v>1212870150</v>
      </c>
      <c r="G113" s="10">
        <f>[1]!IHFB1.130</f>
        <v>20803788</v>
      </c>
      <c r="H113" s="10">
        <f>[1]!IHFB1.131</f>
        <v>20804690</v>
      </c>
      <c r="I113" s="10">
        <f>[1]!IHFB1.132</f>
        <v>10989732</v>
      </c>
      <c r="J113" s="10">
        <f>[1]!IHFB1.133</f>
        <v>2088371110</v>
      </c>
      <c r="K113" s="10" t="str">
        <f>[1]!IHFB1.135</f>
        <v xml:space="preserve"> -</v>
      </c>
      <c r="L113" s="10" t="str">
        <f>[1]!IHFB1.136</f>
        <v xml:space="preserve"> -</v>
      </c>
      <c r="M113" s="10" t="str">
        <f>[1]!IHFB1.437</f>
        <v xml:space="preserve"> -</v>
      </c>
      <c r="N113" s="10" t="str">
        <f>[1]!IHFB1.406</f>
        <v xml:space="preserve"> -</v>
      </c>
      <c r="O113" s="10" t="str">
        <f>[1]!IHFB1.407</f>
        <v xml:space="preserve"> -</v>
      </c>
      <c r="P113" s="10" t="str">
        <f>[1]!IHFB1.431</f>
        <v>-</v>
      </c>
      <c r="Q113" s="10" t="str">
        <f>[1]!IHFB1.201</f>
        <v xml:space="preserve"> -</v>
      </c>
      <c r="R113" s="10" t="str">
        <f>[1]!IHFB1.202</f>
        <v xml:space="preserve"> -</v>
      </c>
      <c r="S113" s="10" t="str">
        <f>[1]!IHFB1.203</f>
        <v xml:space="preserve"> -</v>
      </c>
      <c r="T113" s="10" t="str">
        <f>[1]!IHFB1.204</f>
        <v xml:space="preserve"> -</v>
      </c>
      <c r="U113" s="10" t="str">
        <f>[1]!IHFB1.205</f>
        <v xml:space="preserve"> -</v>
      </c>
      <c r="V113" s="10" t="str">
        <f>[1]!IHFB1.211</f>
        <v xml:space="preserve"> -</v>
      </c>
      <c r="W113" s="10" t="str">
        <f>[1]!IHFB1.212</f>
        <v xml:space="preserve"> -</v>
      </c>
      <c r="X113" s="10" t="str">
        <f>[1]!IHFB1.213</f>
        <v xml:space="preserve"> -</v>
      </c>
      <c r="Y113" s="10" t="str">
        <f>[1]!IHFB1.214</f>
        <v xml:space="preserve"> -</v>
      </c>
      <c r="Z113" s="10" t="str">
        <f>[1]!IHFB1.215</f>
        <v xml:space="preserve"> -</v>
      </c>
      <c r="AA113" s="10" t="str">
        <f>[1]!IHFB1.221</f>
        <v>-</v>
      </c>
      <c r="AB113" s="10" t="str">
        <f>[1]!IHFB1.222</f>
        <v>-</v>
      </c>
      <c r="AC113" s="10" t="str">
        <f>[1]!IHFB1.223</f>
        <v>-</v>
      </c>
      <c r="AD113" s="10" t="str">
        <f>[1]!IHFB1.224</f>
        <v>-</v>
      </c>
      <c r="AE113" s="10" t="str">
        <f>[1]!IHFB1.225</f>
        <v>-</v>
      </c>
      <c r="AF113" s="10" t="str">
        <f>[1]!IHFB1.231</f>
        <v>-</v>
      </c>
      <c r="AG113" s="10" t="str">
        <f>[1]!IHFB1.232</f>
        <v>-</v>
      </c>
      <c r="AH113" s="10" t="str">
        <f>[1]!IHFB1.233</f>
        <v>-</v>
      </c>
      <c r="AI113" s="10" t="str">
        <f>[1]!IHFB1.234</f>
        <v>-</v>
      </c>
      <c r="AJ113" s="10" t="str">
        <f>[1]!IHFB1.235</f>
        <v>-</v>
      </c>
    </row>
    <row r="114" spans="1:36" s="10" customFormat="1" x14ac:dyDescent="0.25">
      <c r="A114" s="10" t="str">
        <f>"DWFB1"</f>
        <v>DWFB1</v>
      </c>
      <c r="B114" s="10" t="str">
        <f>[1]!DWFB1.402</f>
        <v>加權指數</v>
      </c>
      <c r="C114" s="10">
        <f>[1]!DWFB1.123</f>
        <v>100125</v>
      </c>
      <c r="D114" s="10">
        <f>[1]!DWFB1.124</f>
        <v>16429</v>
      </c>
      <c r="E114" s="10">
        <f>[1]!DWFB1.125</f>
        <v>-14.4</v>
      </c>
      <c r="F114" s="10">
        <f>[1]!DWFB1.128</f>
        <v>2036</v>
      </c>
      <c r="G114" s="10">
        <f>[1]!DWFB1.130</f>
        <v>16329.54</v>
      </c>
      <c r="H114" s="10">
        <f>[1]!DWFB1.131</f>
        <v>16456.939999999999</v>
      </c>
      <c r="I114" s="10">
        <f>[1]!DWFB1.132</f>
        <v>16329.54</v>
      </c>
      <c r="J114" s="10">
        <f>[1]!DWFB1.133</f>
        <v>4015112</v>
      </c>
      <c r="K114" s="10" t="str">
        <f>[1]!DWFB1.135</f>
        <v xml:space="preserve"> -</v>
      </c>
      <c r="L114" s="10" t="str">
        <f>[1]!DWFB1.136</f>
        <v xml:space="preserve"> -</v>
      </c>
      <c r="M114" s="10" t="str">
        <f>[1]!DWFB1.437</f>
        <v xml:space="preserve"> -</v>
      </c>
      <c r="N114" s="10" t="str">
        <f>[1]!DWFB1.406</f>
        <v xml:space="preserve"> -</v>
      </c>
      <c r="O114" s="10" t="str">
        <f>[1]!DWFB1.407</f>
        <v xml:space="preserve"> -</v>
      </c>
      <c r="P114" s="10" t="str">
        <f>[1]!DWFB1.431</f>
        <v>-</v>
      </c>
      <c r="Q114" s="10" t="str">
        <f>[1]!DWFB1.201</f>
        <v xml:space="preserve"> -</v>
      </c>
      <c r="R114" s="10" t="str">
        <f>[1]!DWFB1.202</f>
        <v xml:space="preserve"> -</v>
      </c>
      <c r="S114" s="10" t="str">
        <f>[1]!DWFB1.203</f>
        <v xml:space="preserve"> -</v>
      </c>
      <c r="T114" s="10" t="str">
        <f>[1]!DWFB1.204</f>
        <v xml:space="preserve"> -</v>
      </c>
      <c r="U114" s="10" t="str">
        <f>[1]!DWFB1.205</f>
        <v xml:space="preserve"> -</v>
      </c>
      <c r="V114" s="10" t="str">
        <f>[1]!DWFB1.211</f>
        <v xml:space="preserve"> -</v>
      </c>
      <c r="W114" s="10" t="str">
        <f>[1]!DWFB1.212</f>
        <v xml:space="preserve"> -</v>
      </c>
      <c r="X114" s="10" t="str">
        <f>[1]!DWFB1.213</f>
        <v xml:space="preserve"> -</v>
      </c>
      <c r="Y114" s="10" t="str">
        <f>[1]!DWFB1.214</f>
        <v xml:space="preserve"> -</v>
      </c>
      <c r="Z114" s="10" t="str">
        <f>[1]!DWFB1.215</f>
        <v xml:space="preserve"> -</v>
      </c>
      <c r="AA114" s="10" t="str">
        <f>[1]!DWFB1.221</f>
        <v>-</v>
      </c>
      <c r="AB114" s="10" t="str">
        <f>[1]!DWFB1.222</f>
        <v>-</v>
      </c>
      <c r="AC114" s="10" t="str">
        <f>[1]!DWFB1.223</f>
        <v>-</v>
      </c>
      <c r="AD114" s="10" t="str">
        <f>[1]!DWFB1.224</f>
        <v>-</v>
      </c>
      <c r="AE114" s="10" t="str">
        <f>[1]!DWFB1.225</f>
        <v>-</v>
      </c>
      <c r="AF114" s="10" t="str">
        <f>[1]!DWFB1.231</f>
        <v>-</v>
      </c>
      <c r="AG114" s="10" t="str">
        <f>[1]!DWFB1.232</f>
        <v>-</v>
      </c>
      <c r="AH114" s="10" t="str">
        <f>[1]!DWFB1.233</f>
        <v>-</v>
      </c>
      <c r="AI114" s="10" t="str">
        <f>[1]!DWFB1.234</f>
        <v>-</v>
      </c>
      <c r="AJ114" s="10" t="str">
        <f>[1]!DWFB1.235</f>
        <v>-</v>
      </c>
    </row>
    <row r="115" spans="1:36" s="10" customFormat="1" x14ac:dyDescent="0.25">
      <c r="A115" s="10" t="str">
        <f>"IIFB1"</f>
        <v>IIFB1</v>
      </c>
      <c r="B115" s="10" t="str">
        <f>[1]!IIFB1.402</f>
        <v>加權指數</v>
      </c>
      <c r="C115" s="10">
        <f>[1]!IIFB1.123</f>
        <v>100135</v>
      </c>
      <c r="D115" s="10">
        <f>[1]!IIFB1.124</f>
        <v>16424.64</v>
      </c>
      <c r="E115" s="10">
        <f>[1]!IIFB1.125</f>
        <v>-18.760000000000002</v>
      </c>
      <c r="F115" s="10">
        <f>[1]!IIFB1.128</f>
        <v>1648</v>
      </c>
      <c r="G115" s="10">
        <f>[1]!IIFB1.130</f>
        <v>16329.54</v>
      </c>
      <c r="H115" s="10">
        <f>[1]!IIFB1.131</f>
        <v>16456.939999999999</v>
      </c>
      <c r="I115" s="10">
        <f>[1]!IIFB1.132</f>
        <v>16329.54</v>
      </c>
      <c r="J115" s="10">
        <f>[1]!IIFB1.133</f>
        <v>4020107</v>
      </c>
      <c r="K115" s="10" t="str">
        <f>[1]!IIFB1.135</f>
        <v xml:space="preserve"> -</v>
      </c>
      <c r="L115" s="10" t="str">
        <f>[1]!IIFB1.136</f>
        <v xml:space="preserve"> -</v>
      </c>
      <c r="M115" s="10" t="str">
        <f>[1]!IIFB1.437</f>
        <v xml:space="preserve"> -</v>
      </c>
      <c r="N115" s="10" t="str">
        <f>[1]!IIFB1.406</f>
        <v xml:space="preserve"> -</v>
      </c>
      <c r="O115" s="10" t="str">
        <f>[1]!IIFB1.407</f>
        <v xml:space="preserve"> -</v>
      </c>
      <c r="P115" s="10" t="str">
        <f>[1]!IIFB1.431</f>
        <v>-</v>
      </c>
      <c r="Q115" s="10" t="str">
        <f>[1]!IIFB1.201</f>
        <v xml:space="preserve"> -</v>
      </c>
      <c r="R115" s="10" t="str">
        <f>[1]!IIFB1.202</f>
        <v xml:space="preserve"> -</v>
      </c>
      <c r="S115" s="10" t="str">
        <f>[1]!IIFB1.203</f>
        <v xml:space="preserve"> -</v>
      </c>
      <c r="T115" s="10" t="str">
        <f>[1]!IIFB1.204</f>
        <v xml:space="preserve"> -</v>
      </c>
      <c r="U115" s="10" t="str">
        <f>[1]!IIFB1.205</f>
        <v xml:space="preserve"> -</v>
      </c>
      <c r="V115" s="10" t="str">
        <f>[1]!IIFB1.211</f>
        <v xml:space="preserve"> -</v>
      </c>
      <c r="W115" s="10" t="str">
        <f>[1]!IIFB1.212</f>
        <v xml:space="preserve"> -</v>
      </c>
      <c r="X115" s="10" t="str">
        <f>[1]!IIFB1.213</f>
        <v xml:space="preserve"> -</v>
      </c>
      <c r="Y115" s="10" t="str">
        <f>[1]!IIFB1.214</f>
        <v xml:space="preserve"> -</v>
      </c>
      <c r="Z115" s="10" t="str">
        <f>[1]!IIFB1.215</f>
        <v xml:space="preserve"> -</v>
      </c>
      <c r="AA115" s="10" t="str">
        <f>[1]!IIFB1.221</f>
        <v>-</v>
      </c>
      <c r="AB115" s="10" t="str">
        <f>[1]!IIFB1.222</f>
        <v>-</v>
      </c>
      <c r="AC115" s="10" t="str">
        <f>[1]!IIFB1.223</f>
        <v>-</v>
      </c>
      <c r="AD115" s="10" t="str">
        <f>[1]!IIFB1.224</f>
        <v>-</v>
      </c>
      <c r="AE115" s="10" t="str">
        <f>[1]!IIFB1.225</f>
        <v>-</v>
      </c>
      <c r="AF115" s="10" t="str">
        <f>[1]!IIFB1.231</f>
        <v>-</v>
      </c>
      <c r="AG115" s="10" t="str">
        <f>[1]!IIFB1.232</f>
        <v>-</v>
      </c>
      <c r="AH115" s="10" t="str">
        <f>[1]!IIFB1.233</f>
        <v>-</v>
      </c>
      <c r="AI115" s="10" t="str">
        <f>[1]!IIFB1.234</f>
        <v>-</v>
      </c>
      <c r="AJ115" s="10" t="str">
        <f>[1]!IIFB1.235</f>
        <v>-</v>
      </c>
    </row>
    <row r="116" spans="1:36" s="10" customFormat="1" x14ac:dyDescent="0.25">
      <c r="A116" s="10" t="str">
        <f>"OLFB1"</f>
        <v>OLFB1</v>
      </c>
      <c r="B116" s="10" t="str">
        <f>[1]!OLFB1.402</f>
        <v>加權指數</v>
      </c>
      <c r="C116" s="10">
        <f>[1]!OLFB1.123</f>
        <v>100135</v>
      </c>
      <c r="D116" s="10">
        <f>[1]!OLFB1.124</f>
        <v>16424.64</v>
      </c>
      <c r="E116" s="10">
        <f>[1]!OLFB1.125</f>
        <v>-18.760000000000002</v>
      </c>
      <c r="F116" s="10">
        <f>[1]!OLFB1.128</f>
        <v>1648</v>
      </c>
      <c r="G116" s="10">
        <f>[1]!OLFB1.130</f>
        <v>16329.54</v>
      </c>
      <c r="H116" s="10">
        <f>[1]!OLFB1.131</f>
        <v>16456.939999999999</v>
      </c>
      <c r="I116" s="10">
        <f>[1]!OLFB1.132</f>
        <v>16329.54</v>
      </c>
      <c r="J116" s="10">
        <f>[1]!OLFB1.133</f>
        <v>4020107</v>
      </c>
      <c r="K116" s="10" t="str">
        <f>[1]!OLFB1.135</f>
        <v xml:space="preserve"> -</v>
      </c>
      <c r="L116" s="10" t="str">
        <f>[1]!OLFB1.136</f>
        <v xml:space="preserve"> -</v>
      </c>
      <c r="M116" s="10" t="str">
        <f>[1]!OLFB1.437</f>
        <v xml:space="preserve"> -</v>
      </c>
      <c r="N116" s="10" t="str">
        <f>[1]!OLFB1.406</f>
        <v xml:space="preserve"> -</v>
      </c>
      <c r="O116" s="10" t="str">
        <f>[1]!OLFB1.407</f>
        <v xml:space="preserve"> -</v>
      </c>
      <c r="P116" s="10" t="str">
        <f>[1]!OLFB1.431</f>
        <v>-</v>
      </c>
      <c r="Q116" s="10" t="str">
        <f>[1]!OLFB1.201</f>
        <v xml:space="preserve"> -</v>
      </c>
      <c r="R116" s="10" t="str">
        <f>[1]!OLFB1.202</f>
        <v xml:space="preserve"> -</v>
      </c>
      <c r="S116" s="10" t="str">
        <f>[1]!OLFB1.203</f>
        <v xml:space="preserve"> -</v>
      </c>
      <c r="T116" s="10" t="str">
        <f>[1]!OLFB1.204</f>
        <v xml:space="preserve"> -</v>
      </c>
      <c r="U116" s="10" t="str">
        <f>[1]!OLFB1.205</f>
        <v xml:space="preserve"> -</v>
      </c>
      <c r="V116" s="10" t="str">
        <f>[1]!OLFB1.211</f>
        <v xml:space="preserve"> -</v>
      </c>
      <c r="W116" s="10" t="str">
        <f>[1]!OLFB1.212</f>
        <v xml:space="preserve"> -</v>
      </c>
      <c r="X116" s="10" t="str">
        <f>[1]!OLFB1.213</f>
        <v xml:space="preserve"> -</v>
      </c>
      <c r="Y116" s="10" t="str">
        <f>[1]!OLFB1.214</f>
        <v xml:space="preserve"> -</v>
      </c>
      <c r="Z116" s="10" t="str">
        <f>[1]!OLFB1.215</f>
        <v xml:space="preserve"> -</v>
      </c>
      <c r="AA116" s="10" t="str">
        <f>[1]!OLFB1.221</f>
        <v>-</v>
      </c>
      <c r="AB116" s="10" t="str">
        <f>[1]!OLFB1.222</f>
        <v>-</v>
      </c>
      <c r="AC116" s="10" t="str">
        <f>[1]!OLFB1.223</f>
        <v>-</v>
      </c>
      <c r="AD116" s="10" t="str">
        <f>[1]!OLFB1.224</f>
        <v>-</v>
      </c>
      <c r="AE116" s="10" t="str">
        <f>[1]!OLFB1.225</f>
        <v>-</v>
      </c>
      <c r="AF116" s="10" t="str">
        <f>[1]!OLFB1.231</f>
        <v>-</v>
      </c>
      <c r="AG116" s="10" t="str">
        <f>[1]!OLFB1.232</f>
        <v>-</v>
      </c>
      <c r="AH116" s="10" t="str">
        <f>[1]!OLFB1.233</f>
        <v>-</v>
      </c>
      <c r="AI116" s="10" t="str">
        <f>[1]!OLFB1.234</f>
        <v>-</v>
      </c>
      <c r="AJ116" s="10" t="str">
        <f>[1]!OLFB1.235</f>
        <v>-</v>
      </c>
    </row>
    <row r="117" spans="1:36" s="10" customFormat="1" x14ac:dyDescent="0.25">
      <c r="A117" s="10" t="str">
        <f>"IJFB1"</f>
        <v>IJFB1</v>
      </c>
      <c r="B117" s="10" t="str">
        <f>[1]!IJFB1.402</f>
        <v>加權指數</v>
      </c>
      <c r="C117" s="10">
        <f>[1]!IJFB1.123</f>
        <v>100130</v>
      </c>
      <c r="D117" s="10">
        <f>[1]!IJFB1.124</f>
        <v>16422.080000000002</v>
      </c>
      <c r="E117" s="10">
        <f>[1]!IJFB1.125</f>
        <v>-21.32</v>
      </c>
      <c r="F117" s="10">
        <f>[1]!IJFB1.128</f>
        <v>3347</v>
      </c>
      <c r="G117" s="10">
        <f>[1]!IJFB1.130</f>
        <v>16329.54</v>
      </c>
      <c r="H117" s="10">
        <f>[1]!IJFB1.131</f>
        <v>16456.939999999999</v>
      </c>
      <c r="I117" s="10">
        <f>[1]!IJFB1.132</f>
        <v>16329.54</v>
      </c>
      <c r="J117" s="10">
        <f>[1]!IJFB1.133</f>
        <v>4018459</v>
      </c>
      <c r="K117" s="10" t="str">
        <f>[1]!IJFB1.135</f>
        <v xml:space="preserve"> -</v>
      </c>
      <c r="L117" s="10" t="str">
        <f>[1]!IJFB1.136</f>
        <v xml:space="preserve"> -</v>
      </c>
      <c r="M117" s="10" t="str">
        <f>[1]!IJFB1.437</f>
        <v xml:space="preserve"> -</v>
      </c>
      <c r="N117" s="10" t="str">
        <f>[1]!IJFB1.406</f>
        <v xml:space="preserve"> -</v>
      </c>
      <c r="O117" s="10" t="str">
        <f>[1]!IJFB1.407</f>
        <v xml:space="preserve"> -</v>
      </c>
      <c r="P117" s="10" t="str">
        <f>[1]!IJFB1.431</f>
        <v>-</v>
      </c>
      <c r="Q117" s="10" t="str">
        <f>[1]!IJFB1.201</f>
        <v xml:space="preserve"> -</v>
      </c>
      <c r="R117" s="10" t="str">
        <f>[1]!IJFB1.202</f>
        <v xml:space="preserve"> -</v>
      </c>
      <c r="S117" s="10" t="str">
        <f>[1]!IJFB1.203</f>
        <v xml:space="preserve"> -</v>
      </c>
      <c r="T117" s="10" t="str">
        <f>[1]!IJFB1.204</f>
        <v xml:space="preserve"> -</v>
      </c>
      <c r="U117" s="10" t="str">
        <f>[1]!IJFB1.205</f>
        <v xml:space="preserve"> -</v>
      </c>
      <c r="V117" s="10" t="str">
        <f>[1]!IJFB1.211</f>
        <v xml:space="preserve"> -</v>
      </c>
      <c r="W117" s="10" t="str">
        <f>[1]!IJFB1.212</f>
        <v xml:space="preserve"> -</v>
      </c>
      <c r="X117" s="10" t="str">
        <f>[1]!IJFB1.213</f>
        <v xml:space="preserve"> -</v>
      </c>
      <c r="Y117" s="10" t="str">
        <f>[1]!IJFB1.214</f>
        <v xml:space="preserve"> -</v>
      </c>
      <c r="Z117" s="10" t="str">
        <f>[1]!IJFB1.215</f>
        <v xml:space="preserve"> -</v>
      </c>
      <c r="AA117" s="10" t="str">
        <f>[1]!IJFB1.221</f>
        <v>-</v>
      </c>
      <c r="AB117" s="10" t="str">
        <f>[1]!IJFB1.222</f>
        <v>-</v>
      </c>
      <c r="AC117" s="10" t="str">
        <f>[1]!IJFB1.223</f>
        <v>-</v>
      </c>
      <c r="AD117" s="10" t="str">
        <f>[1]!IJFB1.224</f>
        <v>-</v>
      </c>
      <c r="AE117" s="10" t="str">
        <f>[1]!IJFB1.225</f>
        <v>-</v>
      </c>
      <c r="AF117" s="10" t="str">
        <f>[1]!IJFB1.231</f>
        <v>-</v>
      </c>
      <c r="AG117" s="10" t="str">
        <f>[1]!IJFB1.232</f>
        <v>-</v>
      </c>
      <c r="AH117" s="10" t="str">
        <f>[1]!IJFB1.233</f>
        <v>-</v>
      </c>
      <c r="AI117" s="10" t="str">
        <f>[1]!IJFB1.234</f>
        <v>-</v>
      </c>
      <c r="AJ117" s="10" t="str">
        <f>[1]!IJFB1.235</f>
        <v>-</v>
      </c>
    </row>
    <row r="118" spans="1:36" s="10" customFormat="1" x14ac:dyDescent="0.25">
      <c r="A118" s="10" t="str">
        <f>"IMFB1"</f>
        <v>IMFB1</v>
      </c>
      <c r="B118" s="10" t="str">
        <f>[1]!IMFB1.402</f>
        <v>加權指數</v>
      </c>
      <c r="C118" s="10">
        <f>[1]!IMFB1.123</f>
        <v>100150</v>
      </c>
      <c r="D118" s="10">
        <f>[1]!IMFB1.124</f>
        <v>16421.62</v>
      </c>
      <c r="E118" s="10">
        <f>[1]!IMFB1.125</f>
        <v>-21.78</v>
      </c>
      <c r="F118" s="10">
        <f>[1]!IMFB1.128</f>
        <v>2439</v>
      </c>
      <c r="G118" s="10">
        <f>[1]!IMFB1.130</f>
        <v>16329.54</v>
      </c>
      <c r="H118" s="10">
        <f>[1]!IMFB1.131</f>
        <v>16456.939999999999</v>
      </c>
      <c r="I118" s="10">
        <f>[1]!IMFB1.132</f>
        <v>16329.54</v>
      </c>
      <c r="J118" s="10">
        <f>[1]!IMFB1.133</f>
        <v>4027056</v>
      </c>
      <c r="K118" s="10" t="str">
        <f>[1]!IMFB1.135</f>
        <v xml:space="preserve"> -</v>
      </c>
      <c r="L118" s="10" t="str">
        <f>[1]!IMFB1.136</f>
        <v xml:space="preserve"> -</v>
      </c>
      <c r="M118" s="10" t="str">
        <f>[1]!IMFB1.437</f>
        <v xml:space="preserve"> -</v>
      </c>
      <c r="N118" s="10" t="str">
        <f>[1]!IMFB1.406</f>
        <v xml:space="preserve"> -</v>
      </c>
      <c r="O118" s="10" t="str">
        <f>[1]!IMFB1.407</f>
        <v xml:space="preserve"> -</v>
      </c>
      <c r="P118" s="10" t="str">
        <f>[1]!IMFB1.431</f>
        <v>-</v>
      </c>
      <c r="Q118" s="10" t="str">
        <f>[1]!IMFB1.201</f>
        <v xml:space="preserve"> -</v>
      </c>
      <c r="R118" s="10" t="str">
        <f>[1]!IMFB1.202</f>
        <v xml:space="preserve"> -</v>
      </c>
      <c r="S118" s="10" t="str">
        <f>[1]!IMFB1.203</f>
        <v xml:space="preserve"> -</v>
      </c>
      <c r="T118" s="10" t="str">
        <f>[1]!IMFB1.204</f>
        <v xml:space="preserve"> -</v>
      </c>
      <c r="U118" s="10" t="str">
        <f>[1]!IMFB1.205</f>
        <v xml:space="preserve"> -</v>
      </c>
      <c r="V118" s="10" t="str">
        <f>[1]!IMFB1.211</f>
        <v xml:space="preserve"> -</v>
      </c>
      <c r="W118" s="10" t="str">
        <f>[1]!IMFB1.212</f>
        <v xml:space="preserve"> -</v>
      </c>
      <c r="X118" s="10" t="str">
        <f>[1]!IMFB1.213</f>
        <v xml:space="preserve"> -</v>
      </c>
      <c r="Y118" s="10" t="str">
        <f>[1]!IMFB1.214</f>
        <v xml:space="preserve"> -</v>
      </c>
      <c r="Z118" s="10" t="str">
        <f>[1]!IMFB1.215</f>
        <v xml:space="preserve"> -</v>
      </c>
      <c r="AA118" s="10" t="str">
        <f>[1]!IMFB1.221</f>
        <v>-</v>
      </c>
      <c r="AB118" s="10" t="str">
        <f>[1]!IMFB1.222</f>
        <v>-</v>
      </c>
      <c r="AC118" s="10" t="str">
        <f>[1]!IMFB1.223</f>
        <v>-</v>
      </c>
      <c r="AD118" s="10" t="str">
        <f>[1]!IMFB1.224</f>
        <v>-</v>
      </c>
      <c r="AE118" s="10" t="str">
        <f>[1]!IMFB1.225</f>
        <v>-</v>
      </c>
      <c r="AF118" s="10" t="str">
        <f>[1]!IMFB1.231</f>
        <v>-</v>
      </c>
      <c r="AG118" s="10" t="str">
        <f>[1]!IMFB1.232</f>
        <v>-</v>
      </c>
      <c r="AH118" s="10" t="str">
        <f>[1]!IMFB1.233</f>
        <v>-</v>
      </c>
      <c r="AI118" s="10" t="str">
        <f>[1]!IMFB1.234</f>
        <v>-</v>
      </c>
      <c r="AJ118" s="10" t="str">
        <f>[1]!IMFB1.235</f>
        <v>-</v>
      </c>
    </row>
    <row r="119" spans="1:36" s="10" customFormat="1" x14ac:dyDescent="0.25">
      <c r="A119" s="10" t="str">
        <f>"QHFB1"</f>
        <v>QHFB1</v>
      </c>
      <c r="B119" s="10" t="e">
        <f>[1]!QHFB1.402</f>
        <v>#N/A</v>
      </c>
      <c r="C119" s="10">
        <f>[1]!QHFB1.123</f>
        <v>0</v>
      </c>
      <c r="D119" s="10">
        <f>[1]!QHFB1.124</f>
        <v>20878632</v>
      </c>
      <c r="E119" s="10" t="str">
        <f>[1]!QHFB1.125</f>
        <v xml:space="preserve"> </v>
      </c>
      <c r="F119" s="10">
        <f>[1]!QHFB1.128</f>
        <v>1212870150</v>
      </c>
      <c r="G119" s="10">
        <f>[1]!QHFB1.130</f>
        <v>20803788</v>
      </c>
      <c r="H119" s="10">
        <f>[1]!QHFB1.131</f>
        <v>20804690</v>
      </c>
      <c r="I119" s="10">
        <f>[1]!QHFB1.132</f>
        <v>10989732</v>
      </c>
      <c r="J119" s="10">
        <f>[1]!QHFB1.133</f>
        <v>2088371110</v>
      </c>
      <c r="K119" s="10" t="str">
        <f>[1]!QHFB1.135</f>
        <v xml:space="preserve"> -</v>
      </c>
      <c r="L119" s="10" t="str">
        <f>[1]!QHFB1.136</f>
        <v xml:space="preserve"> -</v>
      </c>
      <c r="M119" s="10" t="str">
        <f>[1]!QHFB1.437</f>
        <v xml:space="preserve"> -</v>
      </c>
      <c r="N119" s="10" t="str">
        <f>[1]!QHFB1.406</f>
        <v xml:space="preserve"> -</v>
      </c>
      <c r="O119" s="10" t="str">
        <f>[1]!QHFB1.407</f>
        <v xml:space="preserve"> -</v>
      </c>
      <c r="P119" s="10" t="str">
        <f>[1]!QHFB1.431</f>
        <v>-</v>
      </c>
      <c r="Q119" s="10" t="str">
        <f>[1]!QHFB1.201</f>
        <v xml:space="preserve"> -</v>
      </c>
      <c r="R119" s="10" t="str">
        <f>[1]!QHFB1.202</f>
        <v xml:space="preserve"> -</v>
      </c>
      <c r="S119" s="10" t="str">
        <f>[1]!QHFB1.203</f>
        <v xml:space="preserve"> -</v>
      </c>
      <c r="T119" s="10" t="str">
        <f>[1]!QHFB1.204</f>
        <v xml:space="preserve"> -</v>
      </c>
      <c r="U119" s="10" t="str">
        <f>[1]!QHFB1.205</f>
        <v xml:space="preserve"> -</v>
      </c>
      <c r="V119" s="10" t="str">
        <f>[1]!QHFB1.211</f>
        <v xml:space="preserve"> -</v>
      </c>
      <c r="W119" s="10" t="str">
        <f>[1]!QHFB1.212</f>
        <v xml:space="preserve"> -</v>
      </c>
      <c r="X119" s="10" t="str">
        <f>[1]!QHFB1.213</f>
        <v xml:space="preserve"> -</v>
      </c>
      <c r="Y119" s="10" t="str">
        <f>[1]!QHFB1.214</f>
        <v xml:space="preserve"> -</v>
      </c>
      <c r="Z119" s="10" t="str">
        <f>[1]!QHFB1.215</f>
        <v xml:space="preserve"> -</v>
      </c>
      <c r="AA119" s="10" t="str">
        <f>[1]!QHFB1.221</f>
        <v>-</v>
      </c>
      <c r="AB119" s="10" t="str">
        <f>[1]!QHFB1.222</f>
        <v>-</v>
      </c>
      <c r="AC119" s="10" t="str">
        <f>[1]!QHFB1.223</f>
        <v>-</v>
      </c>
      <c r="AD119" s="10" t="str">
        <f>[1]!QHFB1.224</f>
        <v>-</v>
      </c>
      <c r="AE119" s="10" t="str">
        <f>[1]!QHFB1.225</f>
        <v>-</v>
      </c>
      <c r="AF119" s="10" t="str">
        <f>[1]!QHFB1.231</f>
        <v>-</v>
      </c>
      <c r="AG119" s="10" t="str">
        <f>[1]!QHFB1.232</f>
        <v>-</v>
      </c>
      <c r="AH119" s="10" t="str">
        <f>[1]!QHFB1.233</f>
        <v>-</v>
      </c>
      <c r="AI119" s="10" t="str">
        <f>[1]!QHFB1.234</f>
        <v>-</v>
      </c>
      <c r="AJ119" s="10" t="str">
        <f>[1]!QHFB1.235</f>
        <v>-</v>
      </c>
    </row>
    <row r="120" spans="1:36" s="10" customFormat="1" x14ac:dyDescent="0.25">
      <c r="A120" s="10" t="str">
        <f>"IOFB1"</f>
        <v>IOFB1</v>
      </c>
      <c r="B120" s="10" t="e">
        <f>[1]!IOFB1.402</f>
        <v>#N/A</v>
      </c>
      <c r="C120" s="10">
        <f>[1]!IOFB1.123</f>
        <v>0</v>
      </c>
      <c r="D120" s="10">
        <f>[1]!IOFB1.124</f>
        <v>20878632</v>
      </c>
      <c r="E120" s="10" t="str">
        <f>[1]!IOFB1.125</f>
        <v xml:space="preserve"> </v>
      </c>
      <c r="F120" s="10">
        <f>[1]!IOFB1.128</f>
        <v>1212870150</v>
      </c>
      <c r="G120" s="10">
        <f>[1]!IOFB1.130</f>
        <v>20803788</v>
      </c>
      <c r="H120" s="10">
        <f>[1]!IOFB1.131</f>
        <v>20804690</v>
      </c>
      <c r="I120" s="10">
        <f>[1]!IOFB1.132</f>
        <v>10989732</v>
      </c>
      <c r="J120" s="10">
        <f>[1]!IOFB1.133</f>
        <v>2088371110</v>
      </c>
      <c r="K120" s="10" t="str">
        <f>[1]!IOFB1.135</f>
        <v xml:space="preserve"> -</v>
      </c>
      <c r="L120" s="10" t="str">
        <f>[1]!IOFB1.136</f>
        <v xml:space="preserve"> -</v>
      </c>
      <c r="M120" s="10" t="str">
        <f>[1]!IOFB1.437</f>
        <v xml:space="preserve"> -</v>
      </c>
      <c r="N120" s="10" t="str">
        <f>[1]!IOFB1.406</f>
        <v xml:space="preserve"> -</v>
      </c>
      <c r="O120" s="10" t="str">
        <f>[1]!IOFB1.407</f>
        <v xml:space="preserve"> -</v>
      </c>
      <c r="P120" s="10" t="str">
        <f>[1]!IOFB1.431</f>
        <v>-</v>
      </c>
      <c r="Q120" s="10" t="str">
        <f>[1]!IOFB1.201</f>
        <v xml:space="preserve"> -</v>
      </c>
      <c r="R120" s="10" t="str">
        <f>[1]!IOFB1.202</f>
        <v xml:space="preserve"> -</v>
      </c>
      <c r="S120" s="10" t="str">
        <f>[1]!IOFB1.203</f>
        <v xml:space="preserve"> -</v>
      </c>
      <c r="T120" s="10" t="str">
        <f>[1]!IOFB1.204</f>
        <v xml:space="preserve"> -</v>
      </c>
      <c r="U120" s="10" t="str">
        <f>[1]!IOFB1.205</f>
        <v xml:space="preserve"> -</v>
      </c>
      <c r="V120" s="10" t="str">
        <f>[1]!IOFB1.211</f>
        <v xml:space="preserve"> -</v>
      </c>
      <c r="W120" s="10" t="str">
        <f>[1]!IOFB1.212</f>
        <v xml:space="preserve"> -</v>
      </c>
      <c r="X120" s="10" t="str">
        <f>[1]!IOFB1.213</f>
        <v xml:space="preserve"> -</v>
      </c>
      <c r="Y120" s="10" t="str">
        <f>[1]!IOFB1.214</f>
        <v xml:space="preserve"> -</v>
      </c>
      <c r="Z120" s="10" t="str">
        <f>[1]!IOFB1.215</f>
        <v xml:space="preserve"> -</v>
      </c>
      <c r="AA120" s="10" t="str">
        <f>[1]!IOFB1.221</f>
        <v>-</v>
      </c>
      <c r="AB120" s="10" t="str">
        <f>[1]!IOFB1.222</f>
        <v>-</v>
      </c>
      <c r="AC120" s="10" t="str">
        <f>[1]!IOFB1.223</f>
        <v>-</v>
      </c>
      <c r="AD120" s="10" t="str">
        <f>[1]!IOFB1.224</f>
        <v>-</v>
      </c>
      <c r="AE120" s="10" t="str">
        <f>[1]!IOFB1.225</f>
        <v>-</v>
      </c>
      <c r="AF120" s="10" t="str">
        <f>[1]!IOFB1.231</f>
        <v>-</v>
      </c>
      <c r="AG120" s="10" t="str">
        <f>[1]!IOFB1.232</f>
        <v>-</v>
      </c>
      <c r="AH120" s="10" t="str">
        <f>[1]!IOFB1.233</f>
        <v>-</v>
      </c>
      <c r="AI120" s="10" t="str">
        <f>[1]!IOFB1.234</f>
        <v>-</v>
      </c>
      <c r="AJ120" s="10" t="str">
        <f>[1]!IOFB1.235</f>
        <v>-</v>
      </c>
    </row>
    <row r="121" spans="1:36" s="10" customFormat="1" x14ac:dyDescent="0.25">
      <c r="A121" s="10" t="str">
        <f>"IPFB1"</f>
        <v>IPFB1</v>
      </c>
      <c r="B121" s="10" t="str">
        <f>[1]!IPFB1.402</f>
        <v>不含金電</v>
      </c>
      <c r="C121" s="10">
        <f>[1]!IPFB1.123</f>
        <v>100145</v>
      </c>
      <c r="D121" s="10">
        <f>[1]!IPFB1.124</f>
        <v>13895.21</v>
      </c>
      <c r="E121" s="10">
        <f>[1]!IPFB1.125</f>
        <v>8.6300000000000008</v>
      </c>
      <c r="F121" s="10">
        <f>[1]!IPFB1.128</f>
        <v>435</v>
      </c>
      <c r="G121" s="10">
        <f>[1]!IPFB1.130</f>
        <v>13893.03</v>
      </c>
      <c r="H121" s="10">
        <f>[1]!IPFB1.131</f>
        <v>13945.78</v>
      </c>
      <c r="I121" s="10">
        <f>[1]!IPFB1.132</f>
        <v>13875.82</v>
      </c>
      <c r="J121" s="10">
        <f>[1]!IPFB1.133</f>
        <v>872940</v>
      </c>
      <c r="K121" s="10" t="str">
        <f>[1]!IPFB1.135</f>
        <v xml:space="preserve"> -</v>
      </c>
      <c r="L121" s="10" t="str">
        <f>[1]!IPFB1.136</f>
        <v xml:space="preserve"> -</v>
      </c>
      <c r="M121" s="10" t="str">
        <f>[1]!IPFB1.437</f>
        <v xml:space="preserve"> -</v>
      </c>
      <c r="N121" s="10" t="str">
        <f>[1]!IPFB1.406</f>
        <v xml:space="preserve"> -</v>
      </c>
      <c r="O121" s="10" t="str">
        <f>[1]!IPFB1.407</f>
        <v xml:space="preserve"> -</v>
      </c>
      <c r="P121" s="10" t="str">
        <f>[1]!IPFB1.431</f>
        <v>-</v>
      </c>
      <c r="Q121" s="10" t="str">
        <f>[1]!IPFB1.201</f>
        <v xml:space="preserve"> -</v>
      </c>
      <c r="R121" s="10" t="str">
        <f>[1]!IPFB1.202</f>
        <v xml:space="preserve"> -</v>
      </c>
      <c r="S121" s="10" t="str">
        <f>[1]!IPFB1.203</f>
        <v xml:space="preserve"> -</v>
      </c>
      <c r="T121" s="10" t="str">
        <f>[1]!IPFB1.204</f>
        <v xml:space="preserve"> -</v>
      </c>
      <c r="U121" s="10" t="str">
        <f>[1]!IPFB1.205</f>
        <v xml:space="preserve"> -</v>
      </c>
      <c r="V121" s="10" t="str">
        <f>[1]!IPFB1.211</f>
        <v xml:space="preserve"> -</v>
      </c>
      <c r="W121" s="10" t="str">
        <f>[1]!IPFB1.212</f>
        <v xml:space="preserve"> -</v>
      </c>
      <c r="X121" s="10" t="str">
        <f>[1]!IPFB1.213</f>
        <v xml:space="preserve"> -</v>
      </c>
      <c r="Y121" s="10" t="str">
        <f>[1]!IPFB1.214</f>
        <v xml:space="preserve"> -</v>
      </c>
      <c r="Z121" s="10" t="str">
        <f>[1]!IPFB1.215</f>
        <v xml:space="preserve"> -</v>
      </c>
      <c r="AA121" s="10" t="str">
        <f>[1]!IPFB1.221</f>
        <v>-</v>
      </c>
      <c r="AB121" s="10" t="str">
        <f>[1]!IPFB1.222</f>
        <v>-</v>
      </c>
      <c r="AC121" s="10" t="str">
        <f>[1]!IPFB1.223</f>
        <v>-</v>
      </c>
      <c r="AD121" s="10" t="str">
        <f>[1]!IPFB1.224</f>
        <v>-</v>
      </c>
      <c r="AE121" s="10" t="str">
        <f>[1]!IPFB1.225</f>
        <v>-</v>
      </c>
      <c r="AF121" s="10" t="str">
        <f>[1]!IPFB1.231</f>
        <v>-</v>
      </c>
      <c r="AG121" s="10" t="str">
        <f>[1]!IPFB1.232</f>
        <v>-</v>
      </c>
      <c r="AH121" s="10" t="str">
        <f>[1]!IPFB1.233</f>
        <v>-</v>
      </c>
      <c r="AI121" s="10" t="str">
        <f>[1]!IPFB1.234</f>
        <v>-</v>
      </c>
      <c r="AJ121" s="10" t="str">
        <f>[1]!IPFB1.235</f>
        <v>-</v>
      </c>
    </row>
    <row r="122" spans="1:36" s="10" customFormat="1" x14ac:dyDescent="0.25">
      <c r="A122" s="10" t="str">
        <f>"IQFB1"</f>
        <v>IQFB1</v>
      </c>
      <c r="B122" s="10" t="str">
        <f>[1]!IQFB1.402</f>
        <v>加權指數</v>
      </c>
      <c r="C122" s="10">
        <f>[1]!IQFB1.123</f>
        <v>100145</v>
      </c>
      <c r="D122" s="10">
        <f>[1]!IQFB1.124</f>
        <v>16422.560000000001</v>
      </c>
      <c r="E122" s="10">
        <f>[1]!IQFB1.125</f>
        <v>-20.84</v>
      </c>
      <c r="F122" s="10">
        <f>[1]!IQFB1.128</f>
        <v>1824</v>
      </c>
      <c r="G122" s="10">
        <f>[1]!IQFB1.130</f>
        <v>16329.54</v>
      </c>
      <c r="H122" s="10">
        <f>[1]!IQFB1.131</f>
        <v>16456.939999999999</v>
      </c>
      <c r="I122" s="10">
        <f>[1]!IQFB1.132</f>
        <v>16329.54</v>
      </c>
      <c r="J122" s="10">
        <f>[1]!IQFB1.133</f>
        <v>4024617</v>
      </c>
      <c r="K122" s="10" t="str">
        <f>[1]!IQFB1.135</f>
        <v xml:space="preserve"> -</v>
      </c>
      <c r="L122" s="10" t="str">
        <f>[1]!IQFB1.136</f>
        <v xml:space="preserve"> -</v>
      </c>
      <c r="M122" s="10" t="str">
        <f>[1]!IQFB1.437</f>
        <v xml:space="preserve"> -</v>
      </c>
      <c r="N122" s="10" t="str">
        <f>[1]!IQFB1.406</f>
        <v xml:space="preserve"> -</v>
      </c>
      <c r="O122" s="10" t="str">
        <f>[1]!IQFB1.407</f>
        <v xml:space="preserve"> -</v>
      </c>
      <c r="P122" s="10" t="str">
        <f>[1]!IQFB1.431</f>
        <v>-</v>
      </c>
      <c r="Q122" s="10" t="str">
        <f>[1]!IQFB1.201</f>
        <v xml:space="preserve"> -</v>
      </c>
      <c r="R122" s="10" t="str">
        <f>[1]!IQFB1.202</f>
        <v xml:space="preserve"> -</v>
      </c>
      <c r="S122" s="10" t="str">
        <f>[1]!IQFB1.203</f>
        <v xml:space="preserve"> -</v>
      </c>
      <c r="T122" s="10" t="str">
        <f>[1]!IQFB1.204</f>
        <v xml:space="preserve"> -</v>
      </c>
      <c r="U122" s="10" t="str">
        <f>[1]!IQFB1.205</f>
        <v xml:space="preserve"> -</v>
      </c>
      <c r="V122" s="10" t="str">
        <f>[1]!IQFB1.211</f>
        <v xml:space="preserve"> -</v>
      </c>
      <c r="W122" s="10" t="str">
        <f>[1]!IQFB1.212</f>
        <v xml:space="preserve"> -</v>
      </c>
      <c r="X122" s="10" t="str">
        <f>[1]!IQFB1.213</f>
        <v xml:space="preserve"> -</v>
      </c>
      <c r="Y122" s="10" t="str">
        <f>[1]!IQFB1.214</f>
        <v xml:space="preserve"> -</v>
      </c>
      <c r="Z122" s="10" t="str">
        <f>[1]!IQFB1.215</f>
        <v xml:space="preserve"> -</v>
      </c>
      <c r="AA122" s="10" t="str">
        <f>[1]!IQFB1.221</f>
        <v>-</v>
      </c>
      <c r="AB122" s="10" t="str">
        <f>[1]!IQFB1.222</f>
        <v>-</v>
      </c>
      <c r="AC122" s="10" t="str">
        <f>[1]!IQFB1.223</f>
        <v>-</v>
      </c>
      <c r="AD122" s="10" t="str">
        <f>[1]!IQFB1.224</f>
        <v>-</v>
      </c>
      <c r="AE122" s="10" t="str">
        <f>[1]!IQFB1.225</f>
        <v>-</v>
      </c>
      <c r="AF122" s="10" t="str">
        <f>[1]!IQFB1.231</f>
        <v>-</v>
      </c>
      <c r="AG122" s="10" t="str">
        <f>[1]!IQFB1.232</f>
        <v>-</v>
      </c>
      <c r="AH122" s="10" t="str">
        <f>[1]!IQFB1.233</f>
        <v>-</v>
      </c>
      <c r="AI122" s="10" t="str">
        <f>[1]!IQFB1.234</f>
        <v>-</v>
      </c>
      <c r="AJ122" s="10" t="str">
        <f>[1]!IQFB1.235</f>
        <v>-</v>
      </c>
    </row>
    <row r="123" spans="1:36" s="10" customFormat="1" x14ac:dyDescent="0.25">
      <c r="A123" s="10" t="str">
        <f>"IRFB1"</f>
        <v>IRFB1</v>
      </c>
      <c r="B123" s="10" t="str">
        <f>[1]!IRFB1.402</f>
        <v>不含金電</v>
      </c>
      <c r="C123" s="10">
        <f>[1]!IRFB1.123</f>
        <v>100140</v>
      </c>
      <c r="D123" s="10">
        <f>[1]!IRFB1.124</f>
        <v>13893.18</v>
      </c>
      <c r="E123" s="10">
        <f>[1]!IRFB1.125</f>
        <v>6.6</v>
      </c>
      <c r="F123" s="10">
        <f>[1]!IRFB1.128</f>
        <v>720</v>
      </c>
      <c r="G123" s="10">
        <f>[1]!IRFB1.130</f>
        <v>13893.03</v>
      </c>
      <c r="H123" s="10">
        <f>[1]!IRFB1.131</f>
        <v>13945.78</v>
      </c>
      <c r="I123" s="10">
        <f>[1]!IRFB1.132</f>
        <v>13875.82</v>
      </c>
      <c r="J123" s="10">
        <f>[1]!IRFB1.133</f>
        <v>872505</v>
      </c>
      <c r="K123" s="10" t="str">
        <f>[1]!IRFB1.135</f>
        <v xml:space="preserve"> -</v>
      </c>
      <c r="L123" s="10" t="str">
        <f>[1]!IRFB1.136</f>
        <v xml:space="preserve"> -</v>
      </c>
      <c r="M123" s="10" t="str">
        <f>[1]!IRFB1.437</f>
        <v xml:space="preserve"> -</v>
      </c>
      <c r="N123" s="10" t="str">
        <f>[1]!IRFB1.406</f>
        <v xml:space="preserve"> -</v>
      </c>
      <c r="O123" s="10" t="str">
        <f>[1]!IRFB1.407</f>
        <v xml:space="preserve"> -</v>
      </c>
      <c r="P123" s="10" t="str">
        <f>[1]!IRFB1.431</f>
        <v>-</v>
      </c>
      <c r="Q123" s="10" t="str">
        <f>[1]!IRFB1.201</f>
        <v xml:space="preserve"> -</v>
      </c>
      <c r="R123" s="10" t="str">
        <f>[1]!IRFB1.202</f>
        <v xml:space="preserve"> -</v>
      </c>
      <c r="S123" s="10" t="str">
        <f>[1]!IRFB1.203</f>
        <v xml:space="preserve"> -</v>
      </c>
      <c r="T123" s="10" t="str">
        <f>[1]!IRFB1.204</f>
        <v xml:space="preserve"> -</v>
      </c>
      <c r="U123" s="10" t="str">
        <f>[1]!IRFB1.205</f>
        <v xml:space="preserve"> -</v>
      </c>
      <c r="V123" s="10" t="str">
        <f>[1]!IRFB1.211</f>
        <v xml:space="preserve"> -</v>
      </c>
      <c r="W123" s="10" t="str">
        <f>[1]!IRFB1.212</f>
        <v xml:space="preserve"> -</v>
      </c>
      <c r="X123" s="10" t="str">
        <f>[1]!IRFB1.213</f>
        <v xml:space="preserve"> -</v>
      </c>
      <c r="Y123" s="10" t="str">
        <f>[1]!IRFB1.214</f>
        <v xml:space="preserve"> -</v>
      </c>
      <c r="Z123" s="10" t="str">
        <f>[1]!IRFB1.215</f>
        <v xml:space="preserve"> -</v>
      </c>
      <c r="AA123" s="10" t="str">
        <f>[1]!IRFB1.221</f>
        <v>-</v>
      </c>
      <c r="AB123" s="10" t="str">
        <f>[1]!IRFB1.222</f>
        <v>-</v>
      </c>
      <c r="AC123" s="10" t="str">
        <f>[1]!IRFB1.223</f>
        <v>-</v>
      </c>
      <c r="AD123" s="10" t="str">
        <f>[1]!IRFB1.224</f>
        <v>-</v>
      </c>
      <c r="AE123" s="10" t="str">
        <f>[1]!IRFB1.225</f>
        <v>-</v>
      </c>
      <c r="AF123" s="10" t="str">
        <f>[1]!IRFB1.231</f>
        <v>-</v>
      </c>
      <c r="AG123" s="10" t="str">
        <f>[1]!IRFB1.232</f>
        <v>-</v>
      </c>
      <c r="AH123" s="10" t="str">
        <f>[1]!IRFB1.233</f>
        <v>-</v>
      </c>
      <c r="AI123" s="10" t="str">
        <f>[1]!IRFB1.234</f>
        <v>-</v>
      </c>
      <c r="AJ123" s="10" t="str">
        <f>[1]!IRFB1.235</f>
        <v>-</v>
      </c>
    </row>
    <row r="124" spans="1:36" s="10" customFormat="1" x14ac:dyDescent="0.25">
      <c r="A124" s="10" t="str">
        <f>"ITFB1"</f>
        <v>ITFB1</v>
      </c>
      <c r="B124" s="10" t="str">
        <f>[1]!ITFB1.402</f>
        <v>加權指數</v>
      </c>
      <c r="C124" s="10">
        <f>[1]!ITFB1.123</f>
        <v>100140</v>
      </c>
      <c r="D124" s="10">
        <f>[1]!ITFB1.124</f>
        <v>16428.68</v>
      </c>
      <c r="E124" s="10">
        <f>[1]!ITFB1.125</f>
        <v>-14.72</v>
      </c>
      <c r="F124" s="10">
        <f>[1]!ITFB1.128</f>
        <v>2686</v>
      </c>
      <c r="G124" s="10">
        <f>[1]!ITFB1.130</f>
        <v>16329.54</v>
      </c>
      <c r="H124" s="10">
        <f>[1]!ITFB1.131</f>
        <v>16456.939999999999</v>
      </c>
      <c r="I124" s="10">
        <f>[1]!ITFB1.132</f>
        <v>16329.54</v>
      </c>
      <c r="J124" s="10">
        <f>[1]!ITFB1.133</f>
        <v>4022793</v>
      </c>
      <c r="K124" s="10" t="str">
        <f>[1]!ITFB1.135</f>
        <v xml:space="preserve"> -</v>
      </c>
      <c r="L124" s="10" t="str">
        <f>[1]!ITFB1.136</f>
        <v xml:space="preserve"> -</v>
      </c>
      <c r="M124" s="10" t="str">
        <f>[1]!ITFB1.437</f>
        <v xml:space="preserve"> -</v>
      </c>
      <c r="N124" s="10" t="str">
        <f>[1]!ITFB1.406</f>
        <v xml:space="preserve"> -</v>
      </c>
      <c r="O124" s="10" t="str">
        <f>[1]!ITFB1.407</f>
        <v xml:space="preserve"> -</v>
      </c>
      <c r="P124" s="10" t="str">
        <f>[1]!ITFB1.431</f>
        <v>-</v>
      </c>
      <c r="Q124" s="10" t="str">
        <f>[1]!ITFB1.201</f>
        <v xml:space="preserve"> -</v>
      </c>
      <c r="R124" s="10" t="str">
        <f>[1]!ITFB1.202</f>
        <v xml:space="preserve"> -</v>
      </c>
      <c r="S124" s="10" t="str">
        <f>[1]!ITFB1.203</f>
        <v xml:space="preserve"> -</v>
      </c>
      <c r="T124" s="10" t="str">
        <f>[1]!ITFB1.204</f>
        <v xml:space="preserve"> -</v>
      </c>
      <c r="U124" s="10" t="str">
        <f>[1]!ITFB1.205</f>
        <v xml:space="preserve"> -</v>
      </c>
      <c r="V124" s="10" t="str">
        <f>[1]!ITFB1.211</f>
        <v xml:space="preserve"> -</v>
      </c>
      <c r="W124" s="10" t="str">
        <f>[1]!ITFB1.212</f>
        <v xml:space="preserve"> -</v>
      </c>
      <c r="X124" s="10" t="str">
        <f>[1]!ITFB1.213</f>
        <v xml:space="preserve"> -</v>
      </c>
      <c r="Y124" s="10" t="str">
        <f>[1]!ITFB1.214</f>
        <v xml:space="preserve"> -</v>
      </c>
      <c r="Z124" s="10" t="str">
        <f>[1]!ITFB1.215</f>
        <v xml:space="preserve"> -</v>
      </c>
      <c r="AA124" s="10" t="str">
        <f>[1]!ITFB1.221</f>
        <v>-</v>
      </c>
      <c r="AB124" s="10" t="str">
        <f>[1]!ITFB1.222</f>
        <v>-</v>
      </c>
      <c r="AC124" s="10" t="str">
        <f>[1]!ITFB1.223</f>
        <v>-</v>
      </c>
      <c r="AD124" s="10" t="str">
        <f>[1]!ITFB1.224</f>
        <v>-</v>
      </c>
      <c r="AE124" s="10" t="str">
        <f>[1]!ITFB1.225</f>
        <v>-</v>
      </c>
      <c r="AF124" s="10" t="str">
        <f>[1]!ITFB1.231</f>
        <v>-</v>
      </c>
      <c r="AG124" s="10" t="str">
        <f>[1]!ITFB1.232</f>
        <v>-</v>
      </c>
      <c r="AH124" s="10" t="str">
        <f>[1]!ITFB1.233</f>
        <v>-</v>
      </c>
      <c r="AI124" s="10" t="str">
        <f>[1]!ITFB1.234</f>
        <v>-</v>
      </c>
      <c r="AJ124" s="10" t="str">
        <f>[1]!ITFB1.235</f>
        <v>-</v>
      </c>
    </row>
    <row r="125" spans="1:36" s="10" customFormat="1" x14ac:dyDescent="0.25">
      <c r="A125" s="10" t="str">
        <f>"LBFB1"</f>
        <v>LBFB1</v>
      </c>
      <c r="B125" s="10" t="e">
        <f>[1]!LBFB1.402</f>
        <v>#N/A</v>
      </c>
      <c r="C125" s="10">
        <f>[1]!LBFB1.123</f>
        <v>0</v>
      </c>
      <c r="D125" s="10">
        <f>[1]!LBFB1.124</f>
        <v>20878632</v>
      </c>
      <c r="E125" s="10" t="str">
        <f>[1]!LBFB1.125</f>
        <v xml:space="preserve"> </v>
      </c>
      <c r="F125" s="10">
        <f>[1]!LBFB1.128</f>
        <v>1212870150</v>
      </c>
      <c r="G125" s="10">
        <f>[1]!LBFB1.130</f>
        <v>20803788</v>
      </c>
      <c r="H125" s="10">
        <f>[1]!LBFB1.131</f>
        <v>20804690</v>
      </c>
      <c r="I125" s="10">
        <f>[1]!LBFB1.132</f>
        <v>10989732</v>
      </c>
      <c r="J125" s="10">
        <f>[1]!LBFB1.133</f>
        <v>2088371110</v>
      </c>
      <c r="K125" s="10" t="str">
        <f>[1]!LBFB1.135</f>
        <v xml:space="preserve"> -</v>
      </c>
      <c r="L125" s="10" t="str">
        <f>[1]!LBFB1.136</f>
        <v xml:space="preserve"> -</v>
      </c>
      <c r="M125" s="10" t="str">
        <f>[1]!LBFB1.437</f>
        <v xml:space="preserve"> -</v>
      </c>
      <c r="N125" s="10" t="str">
        <f>[1]!LBFB1.406</f>
        <v xml:space="preserve"> -</v>
      </c>
      <c r="O125" s="10" t="str">
        <f>[1]!LBFB1.407</f>
        <v xml:space="preserve"> -</v>
      </c>
      <c r="P125" s="10" t="str">
        <f>[1]!LBFB1.431</f>
        <v>-</v>
      </c>
      <c r="Q125" s="10" t="str">
        <f>[1]!LBFB1.201</f>
        <v xml:space="preserve"> -</v>
      </c>
      <c r="R125" s="10" t="str">
        <f>[1]!LBFB1.202</f>
        <v xml:space="preserve"> -</v>
      </c>
      <c r="S125" s="10" t="str">
        <f>[1]!LBFB1.203</f>
        <v xml:space="preserve"> -</v>
      </c>
      <c r="T125" s="10" t="str">
        <f>[1]!LBFB1.204</f>
        <v xml:space="preserve"> -</v>
      </c>
      <c r="U125" s="10" t="str">
        <f>[1]!LBFB1.205</f>
        <v xml:space="preserve"> -</v>
      </c>
      <c r="V125" s="10" t="str">
        <f>[1]!LBFB1.211</f>
        <v xml:space="preserve"> -</v>
      </c>
      <c r="W125" s="10" t="str">
        <f>[1]!LBFB1.212</f>
        <v xml:space="preserve"> -</v>
      </c>
      <c r="X125" s="10" t="str">
        <f>[1]!LBFB1.213</f>
        <v xml:space="preserve"> -</v>
      </c>
      <c r="Y125" s="10" t="str">
        <f>[1]!LBFB1.214</f>
        <v xml:space="preserve"> -</v>
      </c>
      <c r="Z125" s="10" t="str">
        <f>[1]!LBFB1.215</f>
        <v xml:space="preserve"> -</v>
      </c>
      <c r="AA125" s="10" t="str">
        <f>[1]!LBFB1.221</f>
        <v>-</v>
      </c>
      <c r="AB125" s="10" t="str">
        <f>[1]!LBFB1.222</f>
        <v>-</v>
      </c>
      <c r="AC125" s="10" t="str">
        <f>[1]!LBFB1.223</f>
        <v>-</v>
      </c>
      <c r="AD125" s="10" t="str">
        <f>[1]!LBFB1.224</f>
        <v>-</v>
      </c>
      <c r="AE125" s="10" t="str">
        <f>[1]!LBFB1.225</f>
        <v>-</v>
      </c>
      <c r="AF125" s="10" t="str">
        <f>[1]!LBFB1.231</f>
        <v>-</v>
      </c>
      <c r="AG125" s="10" t="str">
        <f>[1]!LBFB1.232</f>
        <v>-</v>
      </c>
      <c r="AH125" s="10" t="str">
        <f>[1]!LBFB1.233</f>
        <v>-</v>
      </c>
      <c r="AI125" s="10" t="str">
        <f>[1]!LBFB1.234</f>
        <v>-</v>
      </c>
      <c r="AJ125" s="10" t="str">
        <f>[1]!LBFB1.235</f>
        <v>-</v>
      </c>
    </row>
    <row r="126" spans="1:36" s="10" customFormat="1" x14ac:dyDescent="0.25">
      <c r="A126" s="10" t="str">
        <f>"LCFB1"</f>
        <v>LCFB1</v>
      </c>
      <c r="B126" s="10" t="str">
        <f>[1]!LCFB1.402</f>
        <v>加權指數</v>
      </c>
      <c r="C126" s="10">
        <f>[1]!LCFB1.123</f>
        <v>100145</v>
      </c>
      <c r="D126" s="10">
        <f>[1]!LCFB1.124</f>
        <v>16422.560000000001</v>
      </c>
      <c r="E126" s="10">
        <f>[1]!LCFB1.125</f>
        <v>-20.84</v>
      </c>
      <c r="F126" s="10">
        <f>[1]!LCFB1.128</f>
        <v>1824</v>
      </c>
      <c r="G126" s="10">
        <f>[1]!LCFB1.130</f>
        <v>16329.54</v>
      </c>
      <c r="H126" s="10">
        <f>[1]!LCFB1.131</f>
        <v>16456.939999999999</v>
      </c>
      <c r="I126" s="10">
        <f>[1]!LCFB1.132</f>
        <v>16329.54</v>
      </c>
      <c r="J126" s="10">
        <f>[1]!LCFB1.133</f>
        <v>4024617</v>
      </c>
      <c r="K126" s="10" t="str">
        <f>[1]!LCFB1.135</f>
        <v xml:space="preserve"> -</v>
      </c>
      <c r="L126" s="10" t="str">
        <f>[1]!LCFB1.136</f>
        <v xml:space="preserve"> -</v>
      </c>
      <c r="M126" s="10" t="str">
        <f>[1]!LCFB1.437</f>
        <v xml:space="preserve"> -</v>
      </c>
      <c r="N126" s="10" t="str">
        <f>[1]!LCFB1.406</f>
        <v xml:space="preserve"> -</v>
      </c>
      <c r="O126" s="10" t="str">
        <f>[1]!LCFB1.407</f>
        <v xml:space="preserve"> -</v>
      </c>
      <c r="P126" s="10" t="str">
        <f>[1]!LCFB1.431</f>
        <v>-</v>
      </c>
      <c r="Q126" s="10" t="str">
        <f>[1]!LCFB1.201</f>
        <v xml:space="preserve"> -</v>
      </c>
      <c r="R126" s="10" t="str">
        <f>[1]!LCFB1.202</f>
        <v xml:space="preserve"> -</v>
      </c>
      <c r="S126" s="10" t="str">
        <f>[1]!LCFB1.203</f>
        <v xml:space="preserve"> -</v>
      </c>
      <c r="T126" s="10" t="str">
        <f>[1]!LCFB1.204</f>
        <v xml:space="preserve"> -</v>
      </c>
      <c r="U126" s="10" t="str">
        <f>[1]!LCFB1.205</f>
        <v xml:space="preserve"> -</v>
      </c>
      <c r="V126" s="10" t="str">
        <f>[1]!LCFB1.211</f>
        <v xml:space="preserve"> -</v>
      </c>
      <c r="W126" s="10" t="str">
        <f>[1]!LCFB1.212</f>
        <v xml:space="preserve"> -</v>
      </c>
      <c r="X126" s="10" t="str">
        <f>[1]!LCFB1.213</f>
        <v xml:space="preserve"> -</v>
      </c>
      <c r="Y126" s="10" t="str">
        <f>[1]!LCFB1.214</f>
        <v xml:space="preserve"> -</v>
      </c>
      <c r="Z126" s="10" t="str">
        <f>[1]!LCFB1.215</f>
        <v xml:space="preserve"> -</v>
      </c>
      <c r="AA126" s="10" t="str">
        <f>[1]!LCFB1.221</f>
        <v>-</v>
      </c>
      <c r="AB126" s="10" t="str">
        <f>[1]!LCFB1.222</f>
        <v>-</v>
      </c>
      <c r="AC126" s="10" t="str">
        <f>[1]!LCFB1.223</f>
        <v>-</v>
      </c>
      <c r="AD126" s="10" t="str">
        <f>[1]!LCFB1.224</f>
        <v>-</v>
      </c>
      <c r="AE126" s="10" t="str">
        <f>[1]!LCFB1.225</f>
        <v>-</v>
      </c>
      <c r="AF126" s="10" t="str">
        <f>[1]!LCFB1.231</f>
        <v>-</v>
      </c>
      <c r="AG126" s="10" t="str">
        <f>[1]!LCFB1.232</f>
        <v>-</v>
      </c>
      <c r="AH126" s="10" t="str">
        <f>[1]!LCFB1.233</f>
        <v>-</v>
      </c>
      <c r="AI126" s="10" t="str">
        <f>[1]!LCFB1.234</f>
        <v>-</v>
      </c>
      <c r="AJ126" s="10" t="str">
        <f>[1]!LCFB1.235</f>
        <v>-</v>
      </c>
    </row>
    <row r="127" spans="1:36" s="10" customFormat="1" x14ac:dyDescent="0.25">
      <c r="A127" s="10" t="str">
        <f>"IXFB1"</f>
        <v>IXFB1</v>
      </c>
      <c r="B127" s="10" t="e">
        <f>[1]!IXFB1.402</f>
        <v>#N/A</v>
      </c>
      <c r="C127" s="10">
        <f>[1]!IXFB1.123</f>
        <v>0</v>
      </c>
      <c r="D127" s="10">
        <f>[1]!IXFB1.124</f>
        <v>20878632</v>
      </c>
      <c r="E127" s="10" t="str">
        <f>[1]!IXFB1.125</f>
        <v xml:space="preserve"> </v>
      </c>
      <c r="F127" s="10">
        <f>[1]!IXFB1.128</f>
        <v>1212870150</v>
      </c>
      <c r="G127" s="10">
        <f>[1]!IXFB1.130</f>
        <v>20803788</v>
      </c>
      <c r="H127" s="10">
        <f>[1]!IXFB1.131</f>
        <v>20804690</v>
      </c>
      <c r="I127" s="10">
        <f>[1]!IXFB1.132</f>
        <v>10989732</v>
      </c>
      <c r="J127" s="10">
        <f>[1]!IXFB1.133</f>
        <v>2088371110</v>
      </c>
      <c r="K127" s="10" t="str">
        <f>[1]!IXFB1.135</f>
        <v xml:space="preserve"> -</v>
      </c>
      <c r="L127" s="10" t="str">
        <f>[1]!IXFB1.136</f>
        <v xml:space="preserve"> -</v>
      </c>
      <c r="M127" s="10" t="str">
        <f>[1]!IXFB1.437</f>
        <v xml:space="preserve"> -</v>
      </c>
      <c r="N127" s="10" t="str">
        <f>[1]!IXFB1.406</f>
        <v xml:space="preserve"> -</v>
      </c>
      <c r="O127" s="10" t="str">
        <f>[1]!IXFB1.407</f>
        <v xml:space="preserve"> -</v>
      </c>
      <c r="P127" s="10" t="str">
        <f>[1]!IXFB1.431</f>
        <v>-</v>
      </c>
      <c r="Q127" s="10" t="str">
        <f>[1]!IXFB1.201</f>
        <v xml:space="preserve"> -</v>
      </c>
      <c r="R127" s="10" t="str">
        <f>[1]!IXFB1.202</f>
        <v xml:space="preserve"> -</v>
      </c>
      <c r="S127" s="10" t="str">
        <f>[1]!IXFB1.203</f>
        <v xml:space="preserve"> -</v>
      </c>
      <c r="T127" s="10" t="str">
        <f>[1]!IXFB1.204</f>
        <v xml:space="preserve"> -</v>
      </c>
      <c r="U127" s="10" t="str">
        <f>[1]!IXFB1.205</f>
        <v xml:space="preserve"> -</v>
      </c>
      <c r="V127" s="10" t="str">
        <f>[1]!IXFB1.211</f>
        <v xml:space="preserve"> -</v>
      </c>
      <c r="W127" s="10" t="str">
        <f>[1]!IXFB1.212</f>
        <v xml:space="preserve"> -</v>
      </c>
      <c r="X127" s="10" t="str">
        <f>[1]!IXFB1.213</f>
        <v xml:space="preserve"> -</v>
      </c>
      <c r="Y127" s="10" t="str">
        <f>[1]!IXFB1.214</f>
        <v xml:space="preserve"> -</v>
      </c>
      <c r="Z127" s="10" t="str">
        <f>[1]!IXFB1.215</f>
        <v xml:space="preserve"> -</v>
      </c>
      <c r="AA127" s="10" t="str">
        <f>[1]!IXFB1.221</f>
        <v>-</v>
      </c>
      <c r="AB127" s="10" t="str">
        <f>[1]!IXFB1.222</f>
        <v>-</v>
      </c>
      <c r="AC127" s="10" t="str">
        <f>[1]!IXFB1.223</f>
        <v>-</v>
      </c>
      <c r="AD127" s="10" t="str">
        <f>[1]!IXFB1.224</f>
        <v>-</v>
      </c>
      <c r="AE127" s="10" t="str">
        <f>[1]!IXFB1.225</f>
        <v>-</v>
      </c>
      <c r="AF127" s="10" t="str">
        <f>[1]!IXFB1.231</f>
        <v>-</v>
      </c>
      <c r="AG127" s="10" t="str">
        <f>[1]!IXFB1.232</f>
        <v>-</v>
      </c>
      <c r="AH127" s="10" t="str">
        <f>[1]!IXFB1.233</f>
        <v>-</v>
      </c>
      <c r="AI127" s="10" t="str">
        <f>[1]!IXFB1.234</f>
        <v>-</v>
      </c>
      <c r="AJ127" s="10" t="str">
        <f>[1]!IXFB1.235</f>
        <v>-</v>
      </c>
    </row>
    <row r="128" spans="1:36" s="10" customFormat="1" x14ac:dyDescent="0.25">
      <c r="A128" s="10" t="str">
        <f>"DXFB1"</f>
        <v>DXFB1</v>
      </c>
      <c r="B128" s="10" t="str">
        <f>[1]!DXFB1.402</f>
        <v>加權指數</v>
      </c>
      <c r="C128" s="10">
        <f>[1]!DXFB1.123</f>
        <v>100150</v>
      </c>
      <c r="D128" s="10">
        <f>[1]!DXFB1.124</f>
        <v>16421.62</v>
      </c>
      <c r="E128" s="10">
        <f>[1]!DXFB1.125</f>
        <v>-21.78</v>
      </c>
      <c r="F128" s="10">
        <f>[1]!DXFB1.128</f>
        <v>2439</v>
      </c>
      <c r="G128" s="10">
        <f>[1]!DXFB1.130</f>
        <v>16329.54</v>
      </c>
      <c r="H128" s="10">
        <f>[1]!DXFB1.131</f>
        <v>16456.939999999999</v>
      </c>
      <c r="I128" s="10">
        <f>[1]!DXFB1.132</f>
        <v>16329.54</v>
      </c>
      <c r="J128" s="10">
        <f>[1]!DXFB1.133</f>
        <v>4027056</v>
      </c>
      <c r="K128" s="10" t="str">
        <f>[1]!DXFB1.135</f>
        <v xml:space="preserve"> -</v>
      </c>
      <c r="L128" s="10" t="str">
        <f>[1]!DXFB1.136</f>
        <v xml:space="preserve"> -</v>
      </c>
      <c r="M128" s="10" t="str">
        <f>[1]!DXFB1.437</f>
        <v xml:space="preserve"> -</v>
      </c>
      <c r="N128" s="10" t="str">
        <f>[1]!DXFB1.406</f>
        <v xml:space="preserve"> -</v>
      </c>
      <c r="O128" s="10" t="str">
        <f>[1]!DXFB1.407</f>
        <v xml:space="preserve"> -</v>
      </c>
      <c r="P128" s="10" t="str">
        <f>[1]!DXFB1.431</f>
        <v>-</v>
      </c>
      <c r="Q128" s="10" t="str">
        <f>[1]!DXFB1.201</f>
        <v xml:space="preserve"> -</v>
      </c>
      <c r="R128" s="10" t="str">
        <f>[1]!DXFB1.202</f>
        <v xml:space="preserve"> -</v>
      </c>
      <c r="S128" s="10" t="str">
        <f>[1]!DXFB1.203</f>
        <v xml:space="preserve"> -</v>
      </c>
      <c r="T128" s="10" t="str">
        <f>[1]!DXFB1.204</f>
        <v xml:space="preserve"> -</v>
      </c>
      <c r="U128" s="10" t="str">
        <f>[1]!DXFB1.205</f>
        <v xml:space="preserve"> -</v>
      </c>
      <c r="V128" s="10" t="str">
        <f>[1]!DXFB1.211</f>
        <v xml:space="preserve"> -</v>
      </c>
      <c r="W128" s="10" t="str">
        <f>[1]!DXFB1.212</f>
        <v xml:space="preserve"> -</v>
      </c>
      <c r="X128" s="10" t="str">
        <f>[1]!DXFB1.213</f>
        <v xml:space="preserve"> -</v>
      </c>
      <c r="Y128" s="10" t="str">
        <f>[1]!DXFB1.214</f>
        <v xml:space="preserve"> -</v>
      </c>
      <c r="Z128" s="10" t="str">
        <f>[1]!DXFB1.215</f>
        <v xml:space="preserve"> -</v>
      </c>
      <c r="AA128" s="10" t="str">
        <f>[1]!DXFB1.221</f>
        <v>-</v>
      </c>
      <c r="AB128" s="10" t="str">
        <f>[1]!DXFB1.222</f>
        <v>-</v>
      </c>
      <c r="AC128" s="10" t="str">
        <f>[1]!DXFB1.223</f>
        <v>-</v>
      </c>
      <c r="AD128" s="10" t="str">
        <f>[1]!DXFB1.224</f>
        <v>-</v>
      </c>
      <c r="AE128" s="10" t="str">
        <f>[1]!DXFB1.225</f>
        <v>-</v>
      </c>
      <c r="AF128" s="10" t="str">
        <f>[1]!DXFB1.231</f>
        <v>-</v>
      </c>
      <c r="AG128" s="10" t="str">
        <f>[1]!DXFB1.232</f>
        <v>-</v>
      </c>
      <c r="AH128" s="10" t="str">
        <f>[1]!DXFB1.233</f>
        <v>-</v>
      </c>
      <c r="AI128" s="10" t="str">
        <f>[1]!DXFB1.234</f>
        <v>-</v>
      </c>
      <c r="AJ128" s="10" t="str">
        <f>[1]!DXFB1.235</f>
        <v>-</v>
      </c>
    </row>
    <row r="129" spans="1:36" s="10" customFormat="1" x14ac:dyDescent="0.25">
      <c r="A129" s="10" t="str">
        <f>"IYFB1"</f>
        <v>IYFB1</v>
      </c>
      <c r="B129" s="10" t="str">
        <f>[1]!IYFB1.402</f>
        <v>不含金電</v>
      </c>
      <c r="C129" s="10">
        <f>[1]!IYFB1.123</f>
        <v>100135</v>
      </c>
      <c r="D129" s="10">
        <f>[1]!IYFB1.124</f>
        <v>13893.65</v>
      </c>
      <c r="E129" s="10">
        <f>[1]!IYFB1.125</f>
        <v>7.07</v>
      </c>
      <c r="F129" s="10">
        <f>[1]!IYFB1.128</f>
        <v>611</v>
      </c>
      <c r="G129" s="10">
        <f>[1]!IYFB1.130</f>
        <v>13893.03</v>
      </c>
      <c r="H129" s="10">
        <f>[1]!IYFB1.131</f>
        <v>13945.78</v>
      </c>
      <c r="I129" s="10">
        <f>[1]!IYFB1.132</f>
        <v>13875.82</v>
      </c>
      <c r="J129" s="10">
        <f>[1]!IYFB1.133</f>
        <v>871785</v>
      </c>
      <c r="K129" s="10" t="str">
        <f>[1]!IYFB1.135</f>
        <v xml:space="preserve"> -</v>
      </c>
      <c r="L129" s="10" t="str">
        <f>[1]!IYFB1.136</f>
        <v xml:space="preserve"> -</v>
      </c>
      <c r="M129" s="10" t="str">
        <f>[1]!IYFB1.437</f>
        <v xml:space="preserve"> -</v>
      </c>
      <c r="N129" s="10" t="str">
        <f>[1]!IYFB1.406</f>
        <v xml:space="preserve"> -</v>
      </c>
      <c r="O129" s="10" t="str">
        <f>[1]!IYFB1.407</f>
        <v xml:space="preserve"> -</v>
      </c>
      <c r="P129" s="10" t="str">
        <f>[1]!IYFB1.431</f>
        <v>-</v>
      </c>
      <c r="Q129" s="10" t="str">
        <f>[1]!IYFB1.201</f>
        <v xml:space="preserve"> -</v>
      </c>
      <c r="R129" s="10" t="str">
        <f>[1]!IYFB1.202</f>
        <v xml:space="preserve"> -</v>
      </c>
      <c r="S129" s="10" t="str">
        <f>[1]!IYFB1.203</f>
        <v xml:space="preserve"> -</v>
      </c>
      <c r="T129" s="10" t="str">
        <f>[1]!IYFB1.204</f>
        <v xml:space="preserve"> -</v>
      </c>
      <c r="U129" s="10" t="str">
        <f>[1]!IYFB1.205</f>
        <v xml:space="preserve"> -</v>
      </c>
      <c r="V129" s="10" t="str">
        <f>[1]!IYFB1.211</f>
        <v xml:space="preserve"> -</v>
      </c>
      <c r="W129" s="10" t="str">
        <f>[1]!IYFB1.212</f>
        <v xml:space="preserve"> -</v>
      </c>
      <c r="X129" s="10" t="str">
        <f>[1]!IYFB1.213</f>
        <v xml:space="preserve"> -</v>
      </c>
      <c r="Y129" s="10" t="str">
        <f>[1]!IYFB1.214</f>
        <v xml:space="preserve"> -</v>
      </c>
      <c r="Z129" s="10" t="str">
        <f>[1]!IYFB1.215</f>
        <v xml:space="preserve"> -</v>
      </c>
      <c r="AA129" s="10" t="str">
        <f>[1]!IYFB1.221</f>
        <v>-</v>
      </c>
      <c r="AB129" s="10" t="str">
        <f>[1]!IYFB1.222</f>
        <v>-</v>
      </c>
      <c r="AC129" s="10" t="str">
        <f>[1]!IYFB1.223</f>
        <v>-</v>
      </c>
      <c r="AD129" s="10" t="str">
        <f>[1]!IYFB1.224</f>
        <v>-</v>
      </c>
      <c r="AE129" s="10" t="str">
        <f>[1]!IYFB1.225</f>
        <v>-</v>
      </c>
      <c r="AF129" s="10" t="str">
        <f>[1]!IYFB1.231</f>
        <v>-</v>
      </c>
      <c r="AG129" s="10" t="str">
        <f>[1]!IYFB1.232</f>
        <v>-</v>
      </c>
      <c r="AH129" s="10" t="str">
        <f>[1]!IYFB1.233</f>
        <v>-</v>
      </c>
      <c r="AI129" s="10" t="str">
        <f>[1]!IYFB1.234</f>
        <v>-</v>
      </c>
      <c r="AJ129" s="10" t="str">
        <f>[1]!IYFB1.235</f>
        <v>-</v>
      </c>
    </row>
    <row r="130" spans="1:36" s="10" customFormat="1" x14ac:dyDescent="0.25">
      <c r="A130" s="10" t="str">
        <f>"IZFB1"</f>
        <v>IZFB1</v>
      </c>
      <c r="B130" s="10" t="str">
        <f>[1]!IZFB1.402</f>
        <v>加權指數</v>
      </c>
      <c r="C130" s="10">
        <f>[1]!IZFB1.123</f>
        <v>100135</v>
      </c>
      <c r="D130" s="10">
        <f>[1]!IZFB1.124</f>
        <v>16424.64</v>
      </c>
      <c r="E130" s="10">
        <f>[1]!IZFB1.125</f>
        <v>-18.760000000000002</v>
      </c>
      <c r="F130" s="10">
        <f>[1]!IZFB1.128</f>
        <v>1648</v>
      </c>
      <c r="G130" s="10">
        <f>[1]!IZFB1.130</f>
        <v>16329.54</v>
      </c>
      <c r="H130" s="10">
        <f>[1]!IZFB1.131</f>
        <v>16456.939999999999</v>
      </c>
      <c r="I130" s="10">
        <f>[1]!IZFB1.132</f>
        <v>16329.54</v>
      </c>
      <c r="J130" s="10">
        <f>[1]!IZFB1.133</f>
        <v>4020107</v>
      </c>
      <c r="K130" s="10" t="str">
        <f>[1]!IZFB1.135</f>
        <v xml:space="preserve"> -</v>
      </c>
      <c r="L130" s="10" t="str">
        <f>[1]!IZFB1.136</f>
        <v xml:space="preserve"> -</v>
      </c>
      <c r="M130" s="10" t="str">
        <f>[1]!IZFB1.437</f>
        <v xml:space="preserve"> -</v>
      </c>
      <c r="N130" s="10" t="str">
        <f>[1]!IZFB1.406</f>
        <v xml:space="preserve"> -</v>
      </c>
      <c r="O130" s="10" t="str">
        <f>[1]!IZFB1.407</f>
        <v xml:space="preserve"> -</v>
      </c>
      <c r="P130" s="10" t="str">
        <f>[1]!IZFB1.431</f>
        <v>-</v>
      </c>
      <c r="Q130" s="10" t="str">
        <f>[1]!IZFB1.201</f>
        <v xml:space="preserve"> -</v>
      </c>
      <c r="R130" s="10" t="str">
        <f>[1]!IZFB1.202</f>
        <v xml:space="preserve"> -</v>
      </c>
      <c r="S130" s="10" t="str">
        <f>[1]!IZFB1.203</f>
        <v xml:space="preserve"> -</v>
      </c>
      <c r="T130" s="10" t="str">
        <f>[1]!IZFB1.204</f>
        <v xml:space="preserve"> -</v>
      </c>
      <c r="U130" s="10" t="str">
        <f>[1]!IZFB1.205</f>
        <v xml:space="preserve"> -</v>
      </c>
      <c r="V130" s="10" t="str">
        <f>[1]!IZFB1.211</f>
        <v xml:space="preserve"> -</v>
      </c>
      <c r="W130" s="10" t="str">
        <f>[1]!IZFB1.212</f>
        <v xml:space="preserve"> -</v>
      </c>
      <c r="X130" s="10" t="str">
        <f>[1]!IZFB1.213</f>
        <v xml:space="preserve"> -</v>
      </c>
      <c r="Y130" s="10" t="str">
        <f>[1]!IZFB1.214</f>
        <v xml:space="preserve"> -</v>
      </c>
      <c r="Z130" s="10" t="str">
        <f>[1]!IZFB1.215</f>
        <v xml:space="preserve"> -</v>
      </c>
      <c r="AA130" s="10" t="str">
        <f>[1]!IZFB1.221</f>
        <v>-</v>
      </c>
      <c r="AB130" s="10" t="str">
        <f>[1]!IZFB1.222</f>
        <v>-</v>
      </c>
      <c r="AC130" s="10" t="str">
        <f>[1]!IZFB1.223</f>
        <v>-</v>
      </c>
      <c r="AD130" s="10" t="str">
        <f>[1]!IZFB1.224</f>
        <v>-</v>
      </c>
      <c r="AE130" s="10" t="str">
        <f>[1]!IZFB1.225</f>
        <v>-</v>
      </c>
      <c r="AF130" s="10" t="str">
        <f>[1]!IZFB1.231</f>
        <v>-</v>
      </c>
      <c r="AG130" s="10" t="str">
        <f>[1]!IZFB1.232</f>
        <v>-</v>
      </c>
      <c r="AH130" s="10" t="str">
        <f>[1]!IZFB1.233</f>
        <v>-</v>
      </c>
      <c r="AI130" s="10" t="str">
        <f>[1]!IZFB1.234</f>
        <v>-</v>
      </c>
      <c r="AJ130" s="10" t="str">
        <f>[1]!IZFB1.235</f>
        <v>-</v>
      </c>
    </row>
    <row r="131" spans="1:36" s="10" customFormat="1" x14ac:dyDescent="0.25">
      <c r="A131" s="10" t="str">
        <f>"QJFB1"</f>
        <v>QJFB1</v>
      </c>
      <c r="B131" s="10" t="str">
        <f>[1]!QJFB1.402</f>
        <v>加權指數</v>
      </c>
      <c r="C131" s="10">
        <f>[1]!QJFB1.123</f>
        <v>100140</v>
      </c>
      <c r="D131" s="10">
        <f>[1]!QJFB1.124</f>
        <v>16428.68</v>
      </c>
      <c r="E131" s="10">
        <f>[1]!QJFB1.125</f>
        <v>-14.72</v>
      </c>
      <c r="F131" s="10">
        <f>[1]!QJFB1.128</f>
        <v>2686</v>
      </c>
      <c r="G131" s="10">
        <f>[1]!QJFB1.130</f>
        <v>16329.54</v>
      </c>
      <c r="H131" s="10">
        <f>[1]!QJFB1.131</f>
        <v>16456.939999999999</v>
      </c>
      <c r="I131" s="10">
        <f>[1]!QJFB1.132</f>
        <v>16329.54</v>
      </c>
      <c r="J131" s="10">
        <f>[1]!QJFB1.133</f>
        <v>4022793</v>
      </c>
      <c r="K131" s="10" t="str">
        <f>[1]!QJFB1.135</f>
        <v xml:space="preserve"> -</v>
      </c>
      <c r="L131" s="10" t="str">
        <f>[1]!QJFB1.136</f>
        <v xml:space="preserve"> -</v>
      </c>
      <c r="M131" s="10" t="str">
        <f>[1]!QJFB1.437</f>
        <v xml:space="preserve"> -</v>
      </c>
      <c r="N131" s="10" t="str">
        <f>[1]!QJFB1.406</f>
        <v xml:space="preserve"> -</v>
      </c>
      <c r="O131" s="10" t="str">
        <f>[1]!QJFB1.407</f>
        <v xml:space="preserve"> -</v>
      </c>
      <c r="P131" s="10" t="str">
        <f>[1]!QJFB1.431</f>
        <v>-</v>
      </c>
      <c r="Q131" s="10" t="str">
        <f>[1]!QJFB1.201</f>
        <v xml:space="preserve"> -</v>
      </c>
      <c r="R131" s="10" t="str">
        <f>[1]!QJFB1.202</f>
        <v xml:space="preserve"> -</v>
      </c>
      <c r="S131" s="10" t="str">
        <f>[1]!QJFB1.203</f>
        <v xml:space="preserve"> -</v>
      </c>
      <c r="T131" s="10" t="str">
        <f>[1]!QJFB1.204</f>
        <v xml:space="preserve"> -</v>
      </c>
      <c r="U131" s="10" t="str">
        <f>[1]!QJFB1.205</f>
        <v xml:space="preserve"> -</v>
      </c>
      <c r="V131" s="10" t="str">
        <f>[1]!QJFB1.211</f>
        <v xml:space="preserve"> -</v>
      </c>
      <c r="W131" s="10" t="str">
        <f>[1]!QJFB1.212</f>
        <v xml:space="preserve"> -</v>
      </c>
      <c r="X131" s="10" t="str">
        <f>[1]!QJFB1.213</f>
        <v xml:space="preserve"> -</v>
      </c>
      <c r="Y131" s="10" t="str">
        <f>[1]!QJFB1.214</f>
        <v xml:space="preserve"> -</v>
      </c>
      <c r="Z131" s="10" t="str">
        <f>[1]!QJFB1.215</f>
        <v xml:space="preserve"> -</v>
      </c>
      <c r="AA131" s="10" t="str">
        <f>[1]!QJFB1.221</f>
        <v>-</v>
      </c>
      <c r="AB131" s="10" t="str">
        <f>[1]!QJFB1.222</f>
        <v>-</v>
      </c>
      <c r="AC131" s="10" t="str">
        <f>[1]!QJFB1.223</f>
        <v>-</v>
      </c>
      <c r="AD131" s="10" t="str">
        <f>[1]!QJFB1.224</f>
        <v>-</v>
      </c>
      <c r="AE131" s="10" t="str">
        <f>[1]!QJFB1.225</f>
        <v>-</v>
      </c>
      <c r="AF131" s="10" t="str">
        <f>[1]!QJFB1.231</f>
        <v>-</v>
      </c>
      <c r="AG131" s="10" t="str">
        <f>[1]!QJFB1.232</f>
        <v>-</v>
      </c>
      <c r="AH131" s="10" t="str">
        <f>[1]!QJFB1.233</f>
        <v>-</v>
      </c>
      <c r="AI131" s="10" t="str">
        <f>[1]!QJFB1.234</f>
        <v>-</v>
      </c>
      <c r="AJ131" s="10" t="str">
        <f>[1]!QJFB1.235</f>
        <v>-</v>
      </c>
    </row>
    <row r="132" spans="1:36" s="10" customFormat="1" x14ac:dyDescent="0.25">
      <c r="A132" s="10" t="str">
        <f>"LEFB1"</f>
        <v>LEFB1</v>
      </c>
      <c r="B132" s="10" t="str">
        <f>[1]!LEFB1.402</f>
        <v>加權指數</v>
      </c>
      <c r="C132" s="10">
        <f>[1]!LEFB1.123</f>
        <v>100140</v>
      </c>
      <c r="D132" s="10">
        <f>[1]!LEFB1.124</f>
        <v>16428.68</v>
      </c>
      <c r="E132" s="10">
        <f>[1]!LEFB1.125</f>
        <v>-14.72</v>
      </c>
      <c r="F132" s="10">
        <f>[1]!LEFB1.128</f>
        <v>2686</v>
      </c>
      <c r="G132" s="10">
        <f>[1]!LEFB1.130</f>
        <v>16329.54</v>
      </c>
      <c r="H132" s="10">
        <f>[1]!LEFB1.131</f>
        <v>16456.939999999999</v>
      </c>
      <c r="I132" s="10">
        <f>[1]!LEFB1.132</f>
        <v>16329.54</v>
      </c>
      <c r="J132" s="10">
        <f>[1]!LEFB1.133</f>
        <v>4022793</v>
      </c>
      <c r="K132" s="10" t="str">
        <f>[1]!LEFB1.135</f>
        <v xml:space="preserve"> -</v>
      </c>
      <c r="L132" s="10" t="str">
        <f>[1]!LEFB1.136</f>
        <v xml:space="preserve"> -</v>
      </c>
      <c r="M132" s="10" t="str">
        <f>[1]!LEFB1.437</f>
        <v xml:space="preserve"> -</v>
      </c>
      <c r="N132" s="10" t="str">
        <f>[1]!LEFB1.406</f>
        <v xml:space="preserve"> -</v>
      </c>
      <c r="O132" s="10" t="str">
        <f>[1]!LEFB1.407</f>
        <v xml:space="preserve"> -</v>
      </c>
      <c r="P132" s="10" t="str">
        <f>[1]!LEFB1.431</f>
        <v>-</v>
      </c>
      <c r="Q132" s="10" t="str">
        <f>[1]!LEFB1.201</f>
        <v xml:space="preserve"> -</v>
      </c>
      <c r="R132" s="10" t="str">
        <f>[1]!LEFB1.202</f>
        <v xml:space="preserve"> -</v>
      </c>
      <c r="S132" s="10" t="str">
        <f>[1]!LEFB1.203</f>
        <v xml:space="preserve"> -</v>
      </c>
      <c r="T132" s="10" t="str">
        <f>[1]!LEFB1.204</f>
        <v xml:space="preserve"> -</v>
      </c>
      <c r="U132" s="10" t="str">
        <f>[1]!LEFB1.205</f>
        <v xml:space="preserve"> -</v>
      </c>
      <c r="V132" s="10" t="str">
        <f>[1]!LEFB1.211</f>
        <v xml:space="preserve"> -</v>
      </c>
      <c r="W132" s="10" t="str">
        <f>[1]!LEFB1.212</f>
        <v xml:space="preserve"> -</v>
      </c>
      <c r="X132" s="10" t="str">
        <f>[1]!LEFB1.213</f>
        <v xml:space="preserve"> -</v>
      </c>
      <c r="Y132" s="10" t="str">
        <f>[1]!LEFB1.214</f>
        <v xml:space="preserve"> -</v>
      </c>
      <c r="Z132" s="10" t="str">
        <f>[1]!LEFB1.215</f>
        <v xml:space="preserve"> -</v>
      </c>
      <c r="AA132" s="10" t="str">
        <f>[1]!LEFB1.221</f>
        <v>-</v>
      </c>
      <c r="AB132" s="10" t="str">
        <f>[1]!LEFB1.222</f>
        <v>-</v>
      </c>
      <c r="AC132" s="10" t="str">
        <f>[1]!LEFB1.223</f>
        <v>-</v>
      </c>
      <c r="AD132" s="10" t="str">
        <f>[1]!LEFB1.224</f>
        <v>-</v>
      </c>
      <c r="AE132" s="10" t="str">
        <f>[1]!LEFB1.225</f>
        <v>-</v>
      </c>
      <c r="AF132" s="10" t="str">
        <f>[1]!LEFB1.231</f>
        <v>-</v>
      </c>
      <c r="AG132" s="10" t="str">
        <f>[1]!LEFB1.232</f>
        <v>-</v>
      </c>
      <c r="AH132" s="10" t="str">
        <f>[1]!LEFB1.233</f>
        <v>-</v>
      </c>
      <c r="AI132" s="10" t="str">
        <f>[1]!LEFB1.234</f>
        <v>-</v>
      </c>
      <c r="AJ132" s="10" t="str">
        <f>[1]!LEFB1.235</f>
        <v>-</v>
      </c>
    </row>
    <row r="133" spans="1:36" s="10" customFormat="1" x14ac:dyDescent="0.25">
      <c r="A133" s="10" t="str">
        <f>"JBFB1"</f>
        <v>JBFB1</v>
      </c>
      <c r="B133" s="10" t="str">
        <f>[1]!JBFB1.402</f>
        <v>加權指數</v>
      </c>
      <c r="C133" s="10">
        <f>[1]!JBFB1.123</f>
        <v>100140</v>
      </c>
      <c r="D133" s="10">
        <f>[1]!JBFB1.124</f>
        <v>16428.68</v>
      </c>
      <c r="E133" s="10">
        <f>[1]!JBFB1.125</f>
        <v>-14.72</v>
      </c>
      <c r="F133" s="10">
        <f>[1]!JBFB1.128</f>
        <v>2686</v>
      </c>
      <c r="G133" s="10">
        <f>[1]!JBFB1.130</f>
        <v>16329.54</v>
      </c>
      <c r="H133" s="10">
        <f>[1]!JBFB1.131</f>
        <v>16456.939999999999</v>
      </c>
      <c r="I133" s="10">
        <f>[1]!JBFB1.132</f>
        <v>16329.54</v>
      </c>
      <c r="J133" s="10">
        <f>[1]!JBFB1.133</f>
        <v>4022793</v>
      </c>
      <c r="K133" s="10" t="str">
        <f>[1]!JBFB1.135</f>
        <v xml:space="preserve"> -</v>
      </c>
      <c r="L133" s="10" t="str">
        <f>[1]!JBFB1.136</f>
        <v xml:space="preserve"> -</v>
      </c>
      <c r="M133" s="10" t="str">
        <f>[1]!JBFB1.437</f>
        <v xml:space="preserve"> -</v>
      </c>
      <c r="N133" s="10" t="str">
        <f>[1]!JBFB1.406</f>
        <v xml:space="preserve"> -</v>
      </c>
      <c r="O133" s="10" t="str">
        <f>[1]!JBFB1.407</f>
        <v xml:space="preserve"> -</v>
      </c>
      <c r="P133" s="10" t="str">
        <f>[1]!JBFB1.431</f>
        <v>-</v>
      </c>
      <c r="Q133" s="10" t="str">
        <f>[1]!JBFB1.201</f>
        <v xml:space="preserve"> -</v>
      </c>
      <c r="R133" s="10" t="str">
        <f>[1]!JBFB1.202</f>
        <v xml:space="preserve"> -</v>
      </c>
      <c r="S133" s="10" t="str">
        <f>[1]!JBFB1.203</f>
        <v xml:space="preserve"> -</v>
      </c>
      <c r="T133" s="10" t="str">
        <f>[1]!JBFB1.204</f>
        <v xml:space="preserve"> -</v>
      </c>
      <c r="U133" s="10" t="str">
        <f>[1]!JBFB1.205</f>
        <v xml:space="preserve"> -</v>
      </c>
      <c r="V133" s="10" t="str">
        <f>[1]!JBFB1.211</f>
        <v xml:space="preserve"> -</v>
      </c>
      <c r="W133" s="10" t="str">
        <f>[1]!JBFB1.212</f>
        <v xml:space="preserve"> -</v>
      </c>
      <c r="X133" s="10" t="str">
        <f>[1]!JBFB1.213</f>
        <v xml:space="preserve"> -</v>
      </c>
      <c r="Y133" s="10" t="str">
        <f>[1]!JBFB1.214</f>
        <v xml:space="preserve"> -</v>
      </c>
      <c r="Z133" s="10" t="str">
        <f>[1]!JBFB1.215</f>
        <v xml:space="preserve"> -</v>
      </c>
      <c r="AA133" s="10" t="str">
        <f>[1]!JBFB1.221</f>
        <v>-</v>
      </c>
      <c r="AB133" s="10" t="str">
        <f>[1]!JBFB1.222</f>
        <v>-</v>
      </c>
      <c r="AC133" s="10" t="str">
        <f>[1]!JBFB1.223</f>
        <v>-</v>
      </c>
      <c r="AD133" s="10" t="str">
        <f>[1]!JBFB1.224</f>
        <v>-</v>
      </c>
      <c r="AE133" s="10" t="str">
        <f>[1]!JBFB1.225</f>
        <v>-</v>
      </c>
      <c r="AF133" s="10" t="str">
        <f>[1]!JBFB1.231</f>
        <v>-</v>
      </c>
      <c r="AG133" s="10" t="str">
        <f>[1]!JBFB1.232</f>
        <v>-</v>
      </c>
      <c r="AH133" s="10" t="str">
        <f>[1]!JBFB1.233</f>
        <v>-</v>
      </c>
      <c r="AI133" s="10" t="str">
        <f>[1]!JBFB1.234</f>
        <v>-</v>
      </c>
      <c r="AJ133" s="10" t="str">
        <f>[1]!JBFB1.235</f>
        <v>-</v>
      </c>
    </row>
    <row r="134" spans="1:36" s="10" customFormat="1" x14ac:dyDescent="0.25">
      <c r="A134" s="10" t="str">
        <f>"DQFB1"</f>
        <v>DQFB1</v>
      </c>
      <c r="B134" s="10" t="e">
        <f>[1]!DQFB1.402</f>
        <v>#N/A</v>
      </c>
      <c r="C134" s="10">
        <f>[1]!DQFB1.123</f>
        <v>0</v>
      </c>
      <c r="D134" s="10">
        <f>[1]!DQFB1.124</f>
        <v>20878632</v>
      </c>
      <c r="E134" s="10" t="str">
        <f>[1]!DQFB1.125</f>
        <v xml:space="preserve"> </v>
      </c>
      <c r="F134" s="10">
        <f>[1]!DQFB1.128</f>
        <v>1212870150</v>
      </c>
      <c r="G134" s="10">
        <f>[1]!DQFB1.130</f>
        <v>20803788</v>
      </c>
      <c r="H134" s="10">
        <f>[1]!DQFB1.131</f>
        <v>20804690</v>
      </c>
      <c r="I134" s="10">
        <f>[1]!DQFB1.132</f>
        <v>10989732</v>
      </c>
      <c r="J134" s="10">
        <f>[1]!DQFB1.133</f>
        <v>2088371110</v>
      </c>
      <c r="K134" s="10" t="str">
        <f>[1]!DQFB1.135</f>
        <v xml:space="preserve"> -</v>
      </c>
      <c r="L134" s="10" t="str">
        <f>[1]!DQFB1.136</f>
        <v xml:space="preserve"> -</v>
      </c>
      <c r="M134" s="10" t="str">
        <f>[1]!DQFB1.437</f>
        <v xml:space="preserve"> -</v>
      </c>
      <c r="N134" s="10" t="str">
        <f>[1]!DQFB1.406</f>
        <v xml:space="preserve"> -</v>
      </c>
      <c r="O134" s="10" t="str">
        <f>[1]!DQFB1.407</f>
        <v xml:space="preserve"> -</v>
      </c>
      <c r="P134" s="10" t="str">
        <f>[1]!DQFB1.431</f>
        <v>-</v>
      </c>
      <c r="Q134" s="10" t="str">
        <f>[1]!DQFB1.201</f>
        <v xml:space="preserve"> -</v>
      </c>
      <c r="R134" s="10" t="str">
        <f>[1]!DQFB1.202</f>
        <v xml:space="preserve"> -</v>
      </c>
      <c r="S134" s="10" t="str">
        <f>[1]!DQFB1.203</f>
        <v xml:space="preserve"> -</v>
      </c>
      <c r="T134" s="10" t="str">
        <f>[1]!DQFB1.204</f>
        <v xml:space="preserve"> -</v>
      </c>
      <c r="U134" s="10" t="str">
        <f>[1]!DQFB1.205</f>
        <v xml:space="preserve"> -</v>
      </c>
      <c r="V134" s="10" t="str">
        <f>[1]!DQFB1.211</f>
        <v xml:space="preserve"> -</v>
      </c>
      <c r="W134" s="10" t="str">
        <f>[1]!DQFB1.212</f>
        <v xml:space="preserve"> -</v>
      </c>
      <c r="X134" s="10" t="str">
        <f>[1]!DQFB1.213</f>
        <v xml:space="preserve"> -</v>
      </c>
      <c r="Y134" s="10" t="str">
        <f>[1]!DQFB1.214</f>
        <v xml:space="preserve"> -</v>
      </c>
      <c r="Z134" s="10" t="str">
        <f>[1]!DQFB1.215</f>
        <v xml:space="preserve"> -</v>
      </c>
      <c r="AA134" s="10" t="str">
        <f>[1]!DQFB1.221</f>
        <v>-</v>
      </c>
      <c r="AB134" s="10" t="str">
        <f>[1]!DQFB1.222</f>
        <v>-</v>
      </c>
      <c r="AC134" s="10" t="str">
        <f>[1]!DQFB1.223</f>
        <v>-</v>
      </c>
      <c r="AD134" s="10" t="str">
        <f>[1]!DQFB1.224</f>
        <v>-</v>
      </c>
      <c r="AE134" s="10" t="str">
        <f>[1]!DQFB1.225</f>
        <v>-</v>
      </c>
      <c r="AF134" s="10" t="str">
        <f>[1]!DQFB1.231</f>
        <v>-</v>
      </c>
      <c r="AG134" s="10" t="str">
        <f>[1]!DQFB1.232</f>
        <v>-</v>
      </c>
      <c r="AH134" s="10" t="str">
        <f>[1]!DQFB1.233</f>
        <v>-</v>
      </c>
      <c r="AI134" s="10" t="str">
        <f>[1]!DQFB1.234</f>
        <v>-</v>
      </c>
      <c r="AJ134" s="10" t="str">
        <f>[1]!DQFB1.235</f>
        <v>-</v>
      </c>
    </row>
    <row r="135" spans="1:36" s="10" customFormat="1" x14ac:dyDescent="0.25">
      <c r="A135" s="10" t="str">
        <f>"QDFB1"</f>
        <v>QDFB1</v>
      </c>
      <c r="B135" s="10" t="str">
        <f>[1]!QDFB1.402</f>
        <v>加權指數</v>
      </c>
      <c r="C135" s="10">
        <f>[1]!QDFB1.123</f>
        <v>100150</v>
      </c>
      <c r="D135" s="10">
        <f>[1]!QDFB1.124</f>
        <v>16421.62</v>
      </c>
      <c r="E135" s="10">
        <f>[1]!QDFB1.125</f>
        <v>-21.78</v>
      </c>
      <c r="F135" s="10">
        <f>[1]!QDFB1.128</f>
        <v>2439</v>
      </c>
      <c r="G135" s="10">
        <f>[1]!QDFB1.130</f>
        <v>16329.54</v>
      </c>
      <c r="H135" s="10">
        <f>[1]!QDFB1.131</f>
        <v>16456.939999999999</v>
      </c>
      <c r="I135" s="10">
        <f>[1]!QDFB1.132</f>
        <v>16329.54</v>
      </c>
      <c r="J135" s="10">
        <f>[1]!QDFB1.133</f>
        <v>4027056</v>
      </c>
      <c r="K135" s="10" t="str">
        <f>[1]!QDFB1.135</f>
        <v xml:space="preserve"> -</v>
      </c>
      <c r="L135" s="10" t="str">
        <f>[1]!QDFB1.136</f>
        <v xml:space="preserve"> -</v>
      </c>
      <c r="M135" s="10" t="str">
        <f>[1]!QDFB1.437</f>
        <v xml:space="preserve"> -</v>
      </c>
      <c r="N135" s="10" t="str">
        <f>[1]!QDFB1.406</f>
        <v xml:space="preserve"> -</v>
      </c>
      <c r="O135" s="10" t="str">
        <f>[1]!QDFB1.407</f>
        <v xml:space="preserve"> -</v>
      </c>
      <c r="P135" s="10" t="str">
        <f>[1]!QDFB1.431</f>
        <v>-</v>
      </c>
      <c r="Q135" s="10" t="str">
        <f>[1]!QDFB1.201</f>
        <v xml:space="preserve"> -</v>
      </c>
      <c r="R135" s="10" t="str">
        <f>[1]!QDFB1.202</f>
        <v xml:space="preserve"> -</v>
      </c>
      <c r="S135" s="10" t="str">
        <f>[1]!QDFB1.203</f>
        <v xml:space="preserve"> -</v>
      </c>
      <c r="T135" s="10" t="str">
        <f>[1]!QDFB1.204</f>
        <v xml:space="preserve"> -</v>
      </c>
      <c r="U135" s="10" t="str">
        <f>[1]!QDFB1.205</f>
        <v xml:space="preserve"> -</v>
      </c>
      <c r="V135" s="10" t="str">
        <f>[1]!QDFB1.211</f>
        <v xml:space="preserve"> -</v>
      </c>
      <c r="W135" s="10" t="str">
        <f>[1]!QDFB1.212</f>
        <v xml:space="preserve"> -</v>
      </c>
      <c r="X135" s="10" t="str">
        <f>[1]!QDFB1.213</f>
        <v xml:space="preserve"> -</v>
      </c>
      <c r="Y135" s="10" t="str">
        <f>[1]!QDFB1.214</f>
        <v xml:space="preserve"> -</v>
      </c>
      <c r="Z135" s="10" t="str">
        <f>[1]!QDFB1.215</f>
        <v xml:space="preserve"> -</v>
      </c>
      <c r="AA135" s="10" t="str">
        <f>[1]!QDFB1.221</f>
        <v>-</v>
      </c>
      <c r="AB135" s="10" t="str">
        <f>[1]!QDFB1.222</f>
        <v>-</v>
      </c>
      <c r="AC135" s="10" t="str">
        <f>[1]!QDFB1.223</f>
        <v>-</v>
      </c>
      <c r="AD135" s="10" t="str">
        <f>[1]!QDFB1.224</f>
        <v>-</v>
      </c>
      <c r="AE135" s="10" t="str">
        <f>[1]!QDFB1.225</f>
        <v>-</v>
      </c>
      <c r="AF135" s="10" t="str">
        <f>[1]!QDFB1.231</f>
        <v>-</v>
      </c>
      <c r="AG135" s="10" t="str">
        <f>[1]!QDFB1.232</f>
        <v>-</v>
      </c>
      <c r="AH135" s="10" t="str">
        <f>[1]!QDFB1.233</f>
        <v>-</v>
      </c>
      <c r="AI135" s="10" t="str">
        <f>[1]!QDFB1.234</f>
        <v>-</v>
      </c>
      <c r="AJ135" s="10" t="str">
        <f>[1]!QDFB1.235</f>
        <v>-</v>
      </c>
    </row>
    <row r="136" spans="1:36" s="10" customFormat="1" x14ac:dyDescent="0.25">
      <c r="A136" s="10" t="str">
        <f>"JFFB1"</f>
        <v>JFFB1</v>
      </c>
      <c r="B136" s="10" t="str">
        <f>[1]!JFFB1.402</f>
        <v>加權指數</v>
      </c>
      <c r="C136" s="10">
        <f>[1]!JFFB1.123</f>
        <v>100135</v>
      </c>
      <c r="D136" s="10">
        <f>[1]!JFFB1.124</f>
        <v>16424.64</v>
      </c>
      <c r="E136" s="10">
        <f>[1]!JFFB1.125</f>
        <v>-18.760000000000002</v>
      </c>
      <c r="F136" s="10">
        <f>[1]!JFFB1.128</f>
        <v>1648</v>
      </c>
      <c r="G136" s="10">
        <f>[1]!JFFB1.130</f>
        <v>16329.54</v>
      </c>
      <c r="H136" s="10">
        <f>[1]!JFFB1.131</f>
        <v>16456.939999999999</v>
      </c>
      <c r="I136" s="10">
        <f>[1]!JFFB1.132</f>
        <v>16329.54</v>
      </c>
      <c r="J136" s="10">
        <f>[1]!JFFB1.133</f>
        <v>4020107</v>
      </c>
      <c r="K136" s="10" t="str">
        <f>[1]!JFFB1.135</f>
        <v xml:space="preserve"> -</v>
      </c>
      <c r="L136" s="10" t="str">
        <f>[1]!JFFB1.136</f>
        <v xml:space="preserve"> -</v>
      </c>
      <c r="M136" s="10" t="str">
        <f>[1]!JFFB1.437</f>
        <v xml:space="preserve"> -</v>
      </c>
      <c r="N136" s="10" t="str">
        <f>[1]!JFFB1.406</f>
        <v xml:space="preserve"> -</v>
      </c>
      <c r="O136" s="10" t="str">
        <f>[1]!JFFB1.407</f>
        <v xml:space="preserve"> -</v>
      </c>
      <c r="P136" s="10" t="str">
        <f>[1]!JFFB1.431</f>
        <v>-</v>
      </c>
      <c r="Q136" s="10" t="str">
        <f>[1]!JFFB1.201</f>
        <v xml:space="preserve"> -</v>
      </c>
      <c r="R136" s="10" t="str">
        <f>[1]!JFFB1.202</f>
        <v xml:space="preserve"> -</v>
      </c>
      <c r="S136" s="10" t="str">
        <f>[1]!JFFB1.203</f>
        <v xml:space="preserve"> -</v>
      </c>
      <c r="T136" s="10" t="str">
        <f>[1]!JFFB1.204</f>
        <v xml:space="preserve"> -</v>
      </c>
      <c r="U136" s="10" t="str">
        <f>[1]!JFFB1.205</f>
        <v xml:space="preserve"> -</v>
      </c>
      <c r="V136" s="10" t="str">
        <f>[1]!JFFB1.211</f>
        <v xml:space="preserve"> -</v>
      </c>
      <c r="W136" s="10" t="str">
        <f>[1]!JFFB1.212</f>
        <v xml:space="preserve"> -</v>
      </c>
      <c r="X136" s="10" t="str">
        <f>[1]!JFFB1.213</f>
        <v xml:space="preserve"> -</v>
      </c>
      <c r="Y136" s="10" t="str">
        <f>[1]!JFFB1.214</f>
        <v xml:space="preserve"> -</v>
      </c>
      <c r="Z136" s="10" t="str">
        <f>[1]!JFFB1.215</f>
        <v xml:space="preserve"> -</v>
      </c>
      <c r="AA136" s="10" t="str">
        <f>[1]!JFFB1.221</f>
        <v>-</v>
      </c>
      <c r="AB136" s="10" t="str">
        <f>[1]!JFFB1.222</f>
        <v>-</v>
      </c>
      <c r="AC136" s="10" t="str">
        <f>[1]!JFFB1.223</f>
        <v>-</v>
      </c>
      <c r="AD136" s="10" t="str">
        <f>[1]!JFFB1.224</f>
        <v>-</v>
      </c>
      <c r="AE136" s="10" t="str">
        <f>[1]!JFFB1.225</f>
        <v>-</v>
      </c>
      <c r="AF136" s="10" t="str">
        <f>[1]!JFFB1.231</f>
        <v>-</v>
      </c>
      <c r="AG136" s="10" t="str">
        <f>[1]!JFFB1.232</f>
        <v>-</v>
      </c>
      <c r="AH136" s="10" t="str">
        <f>[1]!JFFB1.233</f>
        <v>-</v>
      </c>
      <c r="AI136" s="10" t="str">
        <f>[1]!JFFB1.234</f>
        <v>-</v>
      </c>
      <c r="AJ136" s="10" t="str">
        <f>[1]!JFFB1.235</f>
        <v>-</v>
      </c>
    </row>
    <row r="137" spans="1:36" s="10" customFormat="1" x14ac:dyDescent="0.25">
      <c r="A137" s="10" t="str">
        <f>"JMFB1"</f>
        <v>JMFB1</v>
      </c>
      <c r="B137" s="10" t="e">
        <f>[1]!JMFB1.402</f>
        <v>#N/A</v>
      </c>
      <c r="C137" s="10">
        <f>[1]!JMFB1.123</f>
        <v>0</v>
      </c>
      <c r="D137" s="10">
        <f>[1]!JMFB1.124</f>
        <v>20878632</v>
      </c>
      <c r="E137" s="10" t="str">
        <f>[1]!JMFB1.125</f>
        <v xml:space="preserve"> </v>
      </c>
      <c r="F137" s="10">
        <f>[1]!JMFB1.128</f>
        <v>1212870150</v>
      </c>
      <c r="G137" s="10">
        <f>[1]!JMFB1.130</f>
        <v>20803788</v>
      </c>
      <c r="H137" s="10">
        <f>[1]!JMFB1.131</f>
        <v>20804690</v>
      </c>
      <c r="I137" s="10">
        <f>[1]!JMFB1.132</f>
        <v>10989732</v>
      </c>
      <c r="J137" s="10">
        <f>[1]!JMFB1.133</f>
        <v>2088371110</v>
      </c>
      <c r="K137" s="10" t="str">
        <f>[1]!JMFB1.135</f>
        <v xml:space="preserve"> -</v>
      </c>
      <c r="L137" s="10" t="str">
        <f>[1]!JMFB1.136</f>
        <v xml:space="preserve"> -</v>
      </c>
      <c r="M137" s="10" t="str">
        <f>[1]!JMFB1.437</f>
        <v xml:space="preserve"> -</v>
      </c>
      <c r="N137" s="10" t="str">
        <f>[1]!JMFB1.406</f>
        <v xml:space="preserve"> -</v>
      </c>
      <c r="O137" s="10" t="str">
        <f>[1]!JMFB1.407</f>
        <v xml:space="preserve"> -</v>
      </c>
      <c r="P137" s="10" t="str">
        <f>[1]!JMFB1.431</f>
        <v>-</v>
      </c>
      <c r="Q137" s="10" t="str">
        <f>[1]!JMFB1.201</f>
        <v xml:space="preserve"> -</v>
      </c>
      <c r="R137" s="10" t="str">
        <f>[1]!JMFB1.202</f>
        <v xml:space="preserve"> -</v>
      </c>
      <c r="S137" s="10" t="str">
        <f>[1]!JMFB1.203</f>
        <v xml:space="preserve"> -</v>
      </c>
      <c r="T137" s="10" t="str">
        <f>[1]!JMFB1.204</f>
        <v xml:space="preserve"> -</v>
      </c>
      <c r="U137" s="10" t="str">
        <f>[1]!JMFB1.205</f>
        <v xml:space="preserve"> -</v>
      </c>
      <c r="V137" s="10" t="str">
        <f>[1]!JMFB1.211</f>
        <v xml:space="preserve"> -</v>
      </c>
      <c r="W137" s="10" t="str">
        <f>[1]!JMFB1.212</f>
        <v xml:space="preserve"> -</v>
      </c>
      <c r="X137" s="10" t="str">
        <f>[1]!JMFB1.213</f>
        <v xml:space="preserve"> -</v>
      </c>
      <c r="Y137" s="10" t="str">
        <f>[1]!JMFB1.214</f>
        <v xml:space="preserve"> -</v>
      </c>
      <c r="Z137" s="10" t="str">
        <f>[1]!JMFB1.215</f>
        <v xml:space="preserve"> -</v>
      </c>
      <c r="AA137" s="10" t="str">
        <f>[1]!JMFB1.221</f>
        <v>-</v>
      </c>
      <c r="AB137" s="10" t="str">
        <f>[1]!JMFB1.222</f>
        <v>-</v>
      </c>
      <c r="AC137" s="10" t="str">
        <f>[1]!JMFB1.223</f>
        <v>-</v>
      </c>
      <c r="AD137" s="10" t="str">
        <f>[1]!JMFB1.224</f>
        <v>-</v>
      </c>
      <c r="AE137" s="10" t="str">
        <f>[1]!JMFB1.225</f>
        <v>-</v>
      </c>
      <c r="AF137" s="10" t="str">
        <f>[1]!JMFB1.231</f>
        <v>-</v>
      </c>
      <c r="AG137" s="10" t="str">
        <f>[1]!JMFB1.232</f>
        <v>-</v>
      </c>
      <c r="AH137" s="10" t="str">
        <f>[1]!JMFB1.233</f>
        <v>-</v>
      </c>
      <c r="AI137" s="10" t="str">
        <f>[1]!JMFB1.234</f>
        <v>-</v>
      </c>
      <c r="AJ137" s="10" t="str">
        <f>[1]!JMFB1.235</f>
        <v>-</v>
      </c>
    </row>
    <row r="138" spans="1:36" s="10" customFormat="1" x14ac:dyDescent="0.25">
      <c r="A138" s="10" t="str">
        <f>"JNFB1"</f>
        <v>JNFB1</v>
      </c>
      <c r="B138" s="10" t="e">
        <f>[1]!JNFB1.402</f>
        <v>#N/A</v>
      </c>
      <c r="C138" s="10">
        <f>[1]!JNFB1.123</f>
        <v>0</v>
      </c>
      <c r="D138" s="10">
        <f>[1]!JNFB1.124</f>
        <v>20878632</v>
      </c>
      <c r="E138" s="10" t="str">
        <f>[1]!JNFB1.125</f>
        <v xml:space="preserve"> </v>
      </c>
      <c r="F138" s="10">
        <f>[1]!JNFB1.128</f>
        <v>1212870150</v>
      </c>
      <c r="G138" s="10">
        <f>[1]!JNFB1.130</f>
        <v>20803788</v>
      </c>
      <c r="H138" s="10">
        <f>[1]!JNFB1.131</f>
        <v>20804690</v>
      </c>
      <c r="I138" s="10">
        <f>[1]!JNFB1.132</f>
        <v>10989732</v>
      </c>
      <c r="J138" s="10">
        <f>[1]!JNFB1.133</f>
        <v>2088371110</v>
      </c>
      <c r="K138" s="10" t="str">
        <f>[1]!JNFB1.135</f>
        <v xml:space="preserve"> -</v>
      </c>
      <c r="L138" s="10" t="str">
        <f>[1]!JNFB1.136</f>
        <v xml:space="preserve"> -</v>
      </c>
      <c r="M138" s="10" t="str">
        <f>[1]!JNFB1.437</f>
        <v xml:space="preserve"> -</v>
      </c>
      <c r="N138" s="10" t="str">
        <f>[1]!JNFB1.406</f>
        <v xml:space="preserve"> -</v>
      </c>
      <c r="O138" s="10" t="str">
        <f>[1]!JNFB1.407</f>
        <v xml:space="preserve"> -</v>
      </c>
      <c r="P138" s="10" t="str">
        <f>[1]!JNFB1.431</f>
        <v>-</v>
      </c>
      <c r="Q138" s="10" t="str">
        <f>[1]!JNFB1.201</f>
        <v xml:space="preserve"> -</v>
      </c>
      <c r="R138" s="10" t="str">
        <f>[1]!JNFB1.202</f>
        <v xml:space="preserve"> -</v>
      </c>
      <c r="S138" s="10" t="str">
        <f>[1]!JNFB1.203</f>
        <v xml:space="preserve"> -</v>
      </c>
      <c r="T138" s="10" t="str">
        <f>[1]!JNFB1.204</f>
        <v xml:space="preserve"> -</v>
      </c>
      <c r="U138" s="10" t="str">
        <f>[1]!JNFB1.205</f>
        <v xml:space="preserve"> -</v>
      </c>
      <c r="V138" s="10" t="str">
        <f>[1]!JNFB1.211</f>
        <v xml:space="preserve"> -</v>
      </c>
      <c r="W138" s="10" t="str">
        <f>[1]!JNFB1.212</f>
        <v xml:space="preserve"> -</v>
      </c>
      <c r="X138" s="10" t="str">
        <f>[1]!JNFB1.213</f>
        <v xml:space="preserve"> -</v>
      </c>
      <c r="Y138" s="10" t="str">
        <f>[1]!JNFB1.214</f>
        <v xml:space="preserve"> -</v>
      </c>
      <c r="Z138" s="10" t="str">
        <f>[1]!JNFB1.215</f>
        <v xml:space="preserve"> -</v>
      </c>
      <c r="AA138" s="10" t="str">
        <f>[1]!JNFB1.221</f>
        <v>-</v>
      </c>
      <c r="AB138" s="10" t="str">
        <f>[1]!JNFB1.222</f>
        <v>-</v>
      </c>
      <c r="AC138" s="10" t="str">
        <f>[1]!JNFB1.223</f>
        <v>-</v>
      </c>
      <c r="AD138" s="10" t="str">
        <f>[1]!JNFB1.224</f>
        <v>-</v>
      </c>
      <c r="AE138" s="10" t="str">
        <f>[1]!JNFB1.225</f>
        <v>-</v>
      </c>
      <c r="AF138" s="10" t="str">
        <f>[1]!JNFB1.231</f>
        <v>-</v>
      </c>
      <c r="AG138" s="10" t="str">
        <f>[1]!JNFB1.232</f>
        <v>-</v>
      </c>
      <c r="AH138" s="10" t="str">
        <f>[1]!JNFB1.233</f>
        <v>-</v>
      </c>
      <c r="AI138" s="10" t="str">
        <f>[1]!JNFB1.234</f>
        <v>-</v>
      </c>
      <c r="AJ138" s="10" t="str">
        <f>[1]!JNFB1.235</f>
        <v>-</v>
      </c>
    </row>
    <row r="139" spans="1:36" s="10" customFormat="1" x14ac:dyDescent="0.25">
      <c r="A139" s="10" t="str">
        <f>"JPFB1"</f>
        <v>JPFB1</v>
      </c>
      <c r="B139" s="10" t="str">
        <f>[1]!JPFB1.402</f>
        <v>加權指數</v>
      </c>
      <c r="C139" s="10">
        <f>[1]!JPFB1.123</f>
        <v>100145</v>
      </c>
      <c r="D139" s="10">
        <f>[1]!JPFB1.124</f>
        <v>16422.560000000001</v>
      </c>
      <c r="E139" s="10">
        <f>[1]!JPFB1.125</f>
        <v>-20.84</v>
      </c>
      <c r="F139" s="10">
        <f>[1]!JPFB1.128</f>
        <v>1824</v>
      </c>
      <c r="G139" s="10">
        <f>[1]!JPFB1.130</f>
        <v>16329.54</v>
      </c>
      <c r="H139" s="10">
        <f>[1]!JPFB1.131</f>
        <v>16456.939999999999</v>
      </c>
      <c r="I139" s="10">
        <f>[1]!JPFB1.132</f>
        <v>16329.54</v>
      </c>
      <c r="J139" s="10">
        <f>[1]!JPFB1.133</f>
        <v>4024617</v>
      </c>
      <c r="K139" s="10" t="str">
        <f>[1]!JPFB1.135</f>
        <v xml:space="preserve"> -</v>
      </c>
      <c r="L139" s="10" t="str">
        <f>[1]!JPFB1.136</f>
        <v xml:space="preserve"> -</v>
      </c>
      <c r="M139" s="10" t="str">
        <f>[1]!JPFB1.437</f>
        <v xml:space="preserve"> -</v>
      </c>
      <c r="N139" s="10" t="str">
        <f>[1]!JPFB1.406</f>
        <v xml:space="preserve"> -</v>
      </c>
      <c r="O139" s="10" t="str">
        <f>[1]!JPFB1.407</f>
        <v xml:space="preserve"> -</v>
      </c>
      <c r="P139" s="10" t="str">
        <f>[1]!JPFB1.431</f>
        <v>-</v>
      </c>
      <c r="Q139" s="10" t="str">
        <f>[1]!JPFB1.201</f>
        <v xml:space="preserve"> -</v>
      </c>
      <c r="R139" s="10" t="str">
        <f>[1]!JPFB1.202</f>
        <v xml:space="preserve"> -</v>
      </c>
      <c r="S139" s="10" t="str">
        <f>[1]!JPFB1.203</f>
        <v xml:space="preserve"> -</v>
      </c>
      <c r="T139" s="10" t="str">
        <f>[1]!JPFB1.204</f>
        <v xml:space="preserve"> -</v>
      </c>
      <c r="U139" s="10" t="str">
        <f>[1]!JPFB1.205</f>
        <v xml:space="preserve"> -</v>
      </c>
      <c r="V139" s="10" t="str">
        <f>[1]!JPFB1.211</f>
        <v xml:space="preserve"> -</v>
      </c>
      <c r="W139" s="10" t="str">
        <f>[1]!JPFB1.212</f>
        <v xml:space="preserve"> -</v>
      </c>
      <c r="X139" s="10" t="str">
        <f>[1]!JPFB1.213</f>
        <v xml:space="preserve"> -</v>
      </c>
      <c r="Y139" s="10" t="str">
        <f>[1]!JPFB1.214</f>
        <v xml:space="preserve"> -</v>
      </c>
      <c r="Z139" s="10" t="str">
        <f>[1]!JPFB1.215</f>
        <v xml:space="preserve"> -</v>
      </c>
      <c r="AA139" s="10" t="str">
        <f>[1]!JPFB1.221</f>
        <v>-</v>
      </c>
      <c r="AB139" s="10" t="str">
        <f>[1]!JPFB1.222</f>
        <v>-</v>
      </c>
      <c r="AC139" s="10" t="str">
        <f>[1]!JPFB1.223</f>
        <v>-</v>
      </c>
      <c r="AD139" s="10" t="str">
        <f>[1]!JPFB1.224</f>
        <v>-</v>
      </c>
      <c r="AE139" s="10" t="str">
        <f>[1]!JPFB1.225</f>
        <v>-</v>
      </c>
      <c r="AF139" s="10" t="str">
        <f>[1]!JPFB1.231</f>
        <v>-</v>
      </c>
      <c r="AG139" s="10" t="str">
        <f>[1]!JPFB1.232</f>
        <v>-</v>
      </c>
      <c r="AH139" s="10" t="str">
        <f>[1]!JPFB1.233</f>
        <v>-</v>
      </c>
      <c r="AI139" s="10" t="str">
        <f>[1]!JPFB1.234</f>
        <v>-</v>
      </c>
      <c r="AJ139" s="10" t="str">
        <f>[1]!JPFB1.235</f>
        <v>-</v>
      </c>
    </row>
    <row r="140" spans="1:36" s="10" customFormat="1" x14ac:dyDescent="0.25">
      <c r="A140" s="10" t="str">
        <f>"PSFB1"</f>
        <v>PSFB1</v>
      </c>
      <c r="B140" s="10" t="e">
        <f>[1]!PSFB1.402</f>
        <v>#N/A</v>
      </c>
      <c r="C140" s="10">
        <f>[1]!PSFB1.123</f>
        <v>0</v>
      </c>
      <c r="D140" s="10">
        <f>[1]!PSFB1.124</f>
        <v>20878632</v>
      </c>
      <c r="E140" s="10" t="str">
        <f>[1]!PSFB1.125</f>
        <v xml:space="preserve"> </v>
      </c>
      <c r="F140" s="10">
        <f>[1]!PSFB1.128</f>
        <v>1212870150</v>
      </c>
      <c r="G140" s="10">
        <f>[1]!PSFB1.130</f>
        <v>20803788</v>
      </c>
      <c r="H140" s="10">
        <f>[1]!PSFB1.131</f>
        <v>20804690</v>
      </c>
      <c r="I140" s="10">
        <f>[1]!PSFB1.132</f>
        <v>10989732</v>
      </c>
      <c r="J140" s="10">
        <f>[1]!PSFB1.133</f>
        <v>2088371110</v>
      </c>
      <c r="K140" s="10" t="str">
        <f>[1]!PSFB1.135</f>
        <v xml:space="preserve"> -</v>
      </c>
      <c r="L140" s="10" t="str">
        <f>[1]!PSFB1.136</f>
        <v xml:space="preserve"> -</v>
      </c>
      <c r="M140" s="10" t="str">
        <f>[1]!PSFB1.437</f>
        <v xml:space="preserve"> -</v>
      </c>
      <c r="N140" s="10" t="str">
        <f>[1]!PSFB1.406</f>
        <v xml:space="preserve"> -</v>
      </c>
      <c r="O140" s="10" t="str">
        <f>[1]!PSFB1.407</f>
        <v xml:space="preserve"> -</v>
      </c>
      <c r="P140" s="10" t="str">
        <f>[1]!PSFB1.431</f>
        <v>-</v>
      </c>
      <c r="Q140" s="10" t="str">
        <f>[1]!PSFB1.201</f>
        <v xml:space="preserve"> -</v>
      </c>
      <c r="R140" s="10" t="str">
        <f>[1]!PSFB1.202</f>
        <v xml:space="preserve"> -</v>
      </c>
      <c r="S140" s="10" t="str">
        <f>[1]!PSFB1.203</f>
        <v xml:space="preserve"> -</v>
      </c>
      <c r="T140" s="10" t="str">
        <f>[1]!PSFB1.204</f>
        <v xml:space="preserve"> -</v>
      </c>
      <c r="U140" s="10" t="str">
        <f>[1]!PSFB1.205</f>
        <v xml:space="preserve"> -</v>
      </c>
      <c r="V140" s="10" t="str">
        <f>[1]!PSFB1.211</f>
        <v xml:space="preserve"> -</v>
      </c>
      <c r="W140" s="10" t="str">
        <f>[1]!PSFB1.212</f>
        <v xml:space="preserve"> -</v>
      </c>
      <c r="X140" s="10" t="str">
        <f>[1]!PSFB1.213</f>
        <v xml:space="preserve"> -</v>
      </c>
      <c r="Y140" s="10" t="str">
        <f>[1]!PSFB1.214</f>
        <v xml:space="preserve"> -</v>
      </c>
      <c r="Z140" s="10" t="str">
        <f>[1]!PSFB1.215</f>
        <v xml:space="preserve"> -</v>
      </c>
      <c r="AA140" s="10" t="str">
        <f>[1]!PSFB1.221</f>
        <v>-</v>
      </c>
      <c r="AB140" s="10" t="str">
        <f>[1]!PSFB1.222</f>
        <v>-</v>
      </c>
      <c r="AC140" s="10" t="str">
        <f>[1]!PSFB1.223</f>
        <v>-</v>
      </c>
      <c r="AD140" s="10" t="str">
        <f>[1]!PSFB1.224</f>
        <v>-</v>
      </c>
      <c r="AE140" s="10" t="str">
        <f>[1]!PSFB1.225</f>
        <v>-</v>
      </c>
      <c r="AF140" s="10" t="str">
        <f>[1]!PSFB1.231</f>
        <v>-</v>
      </c>
      <c r="AG140" s="10" t="str">
        <f>[1]!PSFB1.232</f>
        <v>-</v>
      </c>
      <c r="AH140" s="10" t="str">
        <f>[1]!PSFB1.233</f>
        <v>-</v>
      </c>
      <c r="AI140" s="10" t="str">
        <f>[1]!PSFB1.234</f>
        <v>-</v>
      </c>
      <c r="AJ140" s="10" t="str">
        <f>[1]!PSFB1.235</f>
        <v>-</v>
      </c>
    </row>
    <row r="141" spans="1:36" s="10" customFormat="1" x14ac:dyDescent="0.25">
      <c r="A141" s="10" t="str">
        <f>"OZFB1"</f>
        <v>OZFB1</v>
      </c>
      <c r="B141" s="10" t="str">
        <f>[1]!OZFB1.402</f>
        <v>加權指數</v>
      </c>
      <c r="C141" s="10">
        <f>[1]!OZFB1.123</f>
        <v>100140</v>
      </c>
      <c r="D141" s="10">
        <f>[1]!OZFB1.124</f>
        <v>16428.68</v>
      </c>
      <c r="E141" s="10">
        <f>[1]!OZFB1.125</f>
        <v>-14.72</v>
      </c>
      <c r="F141" s="10">
        <f>[1]!OZFB1.128</f>
        <v>2686</v>
      </c>
      <c r="G141" s="10">
        <f>[1]!OZFB1.130</f>
        <v>16329.54</v>
      </c>
      <c r="H141" s="10">
        <f>[1]!OZFB1.131</f>
        <v>16456.939999999999</v>
      </c>
      <c r="I141" s="10">
        <f>[1]!OZFB1.132</f>
        <v>16329.54</v>
      </c>
      <c r="J141" s="10">
        <f>[1]!OZFB1.133</f>
        <v>4022793</v>
      </c>
      <c r="K141" s="10" t="str">
        <f>[1]!OZFB1.135</f>
        <v xml:space="preserve"> -</v>
      </c>
      <c r="L141" s="10" t="str">
        <f>[1]!OZFB1.136</f>
        <v xml:space="preserve"> -</v>
      </c>
      <c r="M141" s="10" t="str">
        <f>[1]!OZFB1.437</f>
        <v xml:space="preserve"> -</v>
      </c>
      <c r="N141" s="10" t="str">
        <f>[1]!OZFB1.406</f>
        <v xml:space="preserve"> -</v>
      </c>
      <c r="O141" s="10" t="str">
        <f>[1]!OZFB1.407</f>
        <v xml:space="preserve"> -</v>
      </c>
      <c r="P141" s="10" t="str">
        <f>[1]!OZFB1.431</f>
        <v>-</v>
      </c>
      <c r="Q141" s="10" t="str">
        <f>[1]!OZFB1.201</f>
        <v xml:space="preserve"> -</v>
      </c>
      <c r="R141" s="10" t="str">
        <f>[1]!OZFB1.202</f>
        <v xml:space="preserve"> -</v>
      </c>
      <c r="S141" s="10" t="str">
        <f>[1]!OZFB1.203</f>
        <v xml:space="preserve"> -</v>
      </c>
      <c r="T141" s="10" t="str">
        <f>[1]!OZFB1.204</f>
        <v xml:space="preserve"> -</v>
      </c>
      <c r="U141" s="10" t="str">
        <f>[1]!OZFB1.205</f>
        <v xml:space="preserve"> -</v>
      </c>
      <c r="V141" s="10" t="str">
        <f>[1]!OZFB1.211</f>
        <v xml:space="preserve"> -</v>
      </c>
      <c r="W141" s="10" t="str">
        <f>[1]!OZFB1.212</f>
        <v xml:space="preserve"> -</v>
      </c>
      <c r="X141" s="10" t="str">
        <f>[1]!OZFB1.213</f>
        <v xml:space="preserve"> -</v>
      </c>
      <c r="Y141" s="10" t="str">
        <f>[1]!OZFB1.214</f>
        <v xml:space="preserve"> -</v>
      </c>
      <c r="Z141" s="10" t="str">
        <f>[1]!OZFB1.215</f>
        <v xml:space="preserve"> -</v>
      </c>
      <c r="AA141" s="10" t="str">
        <f>[1]!OZFB1.221</f>
        <v>-</v>
      </c>
      <c r="AB141" s="10" t="str">
        <f>[1]!OZFB1.222</f>
        <v>-</v>
      </c>
      <c r="AC141" s="10" t="str">
        <f>[1]!OZFB1.223</f>
        <v>-</v>
      </c>
      <c r="AD141" s="10" t="str">
        <f>[1]!OZFB1.224</f>
        <v>-</v>
      </c>
      <c r="AE141" s="10" t="str">
        <f>[1]!OZFB1.225</f>
        <v>-</v>
      </c>
      <c r="AF141" s="10" t="str">
        <f>[1]!OZFB1.231</f>
        <v>-</v>
      </c>
      <c r="AG141" s="10" t="str">
        <f>[1]!OZFB1.232</f>
        <v>-</v>
      </c>
      <c r="AH141" s="10" t="str">
        <f>[1]!OZFB1.233</f>
        <v>-</v>
      </c>
      <c r="AI141" s="10" t="str">
        <f>[1]!OZFB1.234</f>
        <v>-</v>
      </c>
      <c r="AJ141" s="10" t="str">
        <f>[1]!OZFB1.235</f>
        <v>-</v>
      </c>
    </row>
    <row r="142" spans="1:36" s="10" customFormat="1" x14ac:dyDescent="0.25">
      <c r="A142" s="10" t="str">
        <f>"QBFB1"</f>
        <v>QBFB1</v>
      </c>
      <c r="B142" s="10" t="str">
        <f>[1]!QBFB1.402</f>
        <v>加權指數</v>
      </c>
      <c r="C142" s="10">
        <f>[1]!QBFB1.123</f>
        <v>100130</v>
      </c>
      <c r="D142" s="10">
        <f>[1]!QBFB1.124</f>
        <v>16422.080000000002</v>
      </c>
      <c r="E142" s="10">
        <f>[1]!QBFB1.125</f>
        <v>-21.32</v>
      </c>
      <c r="F142" s="10">
        <f>[1]!QBFB1.128</f>
        <v>3347</v>
      </c>
      <c r="G142" s="10">
        <f>[1]!QBFB1.130</f>
        <v>16329.54</v>
      </c>
      <c r="H142" s="10">
        <f>[1]!QBFB1.131</f>
        <v>16456.939999999999</v>
      </c>
      <c r="I142" s="10">
        <f>[1]!QBFB1.132</f>
        <v>16329.54</v>
      </c>
      <c r="J142" s="10">
        <f>[1]!QBFB1.133</f>
        <v>4018459</v>
      </c>
      <c r="K142" s="10" t="str">
        <f>[1]!QBFB1.135</f>
        <v xml:space="preserve"> -</v>
      </c>
      <c r="L142" s="10" t="str">
        <f>[1]!QBFB1.136</f>
        <v xml:space="preserve"> -</v>
      </c>
      <c r="M142" s="10" t="str">
        <f>[1]!QBFB1.437</f>
        <v xml:space="preserve"> -</v>
      </c>
      <c r="N142" s="10" t="str">
        <f>[1]!QBFB1.406</f>
        <v xml:space="preserve"> -</v>
      </c>
      <c r="O142" s="10" t="str">
        <f>[1]!QBFB1.407</f>
        <v xml:space="preserve"> -</v>
      </c>
      <c r="P142" s="10" t="str">
        <f>[1]!QBFB1.431</f>
        <v>-</v>
      </c>
      <c r="Q142" s="10" t="str">
        <f>[1]!QBFB1.201</f>
        <v xml:space="preserve"> -</v>
      </c>
      <c r="R142" s="10" t="str">
        <f>[1]!QBFB1.202</f>
        <v xml:space="preserve"> -</v>
      </c>
      <c r="S142" s="10" t="str">
        <f>[1]!QBFB1.203</f>
        <v xml:space="preserve"> -</v>
      </c>
      <c r="T142" s="10" t="str">
        <f>[1]!QBFB1.204</f>
        <v xml:space="preserve"> -</v>
      </c>
      <c r="U142" s="10" t="str">
        <f>[1]!QBFB1.205</f>
        <v xml:space="preserve"> -</v>
      </c>
      <c r="V142" s="10" t="str">
        <f>[1]!QBFB1.211</f>
        <v xml:space="preserve"> -</v>
      </c>
      <c r="W142" s="10" t="str">
        <f>[1]!QBFB1.212</f>
        <v xml:space="preserve"> -</v>
      </c>
      <c r="X142" s="10" t="str">
        <f>[1]!QBFB1.213</f>
        <v xml:space="preserve"> -</v>
      </c>
      <c r="Y142" s="10" t="str">
        <f>[1]!QBFB1.214</f>
        <v xml:space="preserve"> -</v>
      </c>
      <c r="Z142" s="10" t="str">
        <f>[1]!QBFB1.215</f>
        <v xml:space="preserve"> -</v>
      </c>
      <c r="AA142" s="10" t="str">
        <f>[1]!QBFB1.221</f>
        <v>-</v>
      </c>
      <c r="AB142" s="10" t="str">
        <f>[1]!QBFB1.222</f>
        <v>-</v>
      </c>
      <c r="AC142" s="10" t="str">
        <f>[1]!QBFB1.223</f>
        <v>-</v>
      </c>
      <c r="AD142" s="10" t="str">
        <f>[1]!QBFB1.224</f>
        <v>-</v>
      </c>
      <c r="AE142" s="10" t="str">
        <f>[1]!QBFB1.225</f>
        <v>-</v>
      </c>
      <c r="AF142" s="10" t="str">
        <f>[1]!QBFB1.231</f>
        <v>-</v>
      </c>
      <c r="AG142" s="10" t="str">
        <f>[1]!QBFB1.232</f>
        <v>-</v>
      </c>
      <c r="AH142" s="10" t="str">
        <f>[1]!QBFB1.233</f>
        <v>-</v>
      </c>
      <c r="AI142" s="10" t="str">
        <f>[1]!QBFB1.234</f>
        <v>-</v>
      </c>
      <c r="AJ142" s="10" t="str">
        <f>[1]!QBFB1.235</f>
        <v>-</v>
      </c>
    </row>
    <row r="143" spans="1:36" s="10" customFormat="1" x14ac:dyDescent="0.25">
      <c r="A143" s="10" t="str">
        <f>"QB2C1"</f>
        <v>QB2C1</v>
      </c>
      <c r="B143" s="10" t="str">
        <f>[1]!QB2C1.402</f>
        <v>富采2-03</v>
      </c>
      <c r="C143" s="10">
        <f>[1]!QB2C1.123</f>
        <v>113343</v>
      </c>
      <c r="D143" s="10">
        <f>[1]!QB2C1.124</f>
        <v>85.4</v>
      </c>
      <c r="E143" s="10">
        <f>[1]!QB2C1.125</f>
        <v>-0.3</v>
      </c>
      <c r="F143" s="10">
        <f>[1]!QB2C1.128</f>
        <v>1</v>
      </c>
      <c r="G143" s="10">
        <f>[1]!QB2C1.130</f>
        <v>86.4</v>
      </c>
      <c r="H143" s="10">
        <f>[1]!QB2C1.131</f>
        <v>86.4</v>
      </c>
      <c r="I143" s="10">
        <f>[1]!QB2C1.132</f>
        <v>85.4</v>
      </c>
      <c r="J143" s="10">
        <f>[1]!QB2C1.133</f>
        <v>3</v>
      </c>
      <c r="K143" s="10">
        <f>[1]!QB2C1.135</f>
        <v>83.8</v>
      </c>
      <c r="L143" s="10">
        <f>[1]!QB2C1.136</f>
        <v>87.5</v>
      </c>
      <c r="M143" s="10">
        <f>[1]!QB2C1.437</f>
        <v>85.39</v>
      </c>
      <c r="N143" s="10">
        <f>[1]!QB2C1.406</f>
        <v>94.2</v>
      </c>
      <c r="O143" s="10">
        <f>[1]!QB2C1.407</f>
        <v>77.2</v>
      </c>
      <c r="P143" s="10">
        <f>[1]!QB2C1.431</f>
        <v>20210224</v>
      </c>
      <c r="Q143" s="10">
        <f>[1]!QB2C1.201</f>
        <v>83.8</v>
      </c>
      <c r="R143" s="10" t="str">
        <f>[1]!QB2C1.202</f>
        <v xml:space="preserve"> </v>
      </c>
      <c r="S143" s="10" t="str">
        <f>[1]!QB2C1.203</f>
        <v xml:space="preserve"> </v>
      </c>
      <c r="T143" s="10" t="str">
        <f>[1]!QB2C1.204</f>
        <v xml:space="preserve"> </v>
      </c>
      <c r="U143" s="10" t="str">
        <f>[1]!QB2C1.205</f>
        <v xml:space="preserve"> </v>
      </c>
      <c r="V143" s="10">
        <f>[1]!QB2C1.211</f>
        <v>87.5</v>
      </c>
      <c r="W143" s="10" t="str">
        <f>[1]!QB2C1.212</f>
        <v xml:space="preserve"> </v>
      </c>
      <c r="X143" s="10" t="str">
        <f>[1]!QB2C1.213</f>
        <v xml:space="preserve"> </v>
      </c>
      <c r="Y143" s="10" t="str">
        <f>[1]!QB2C1.214</f>
        <v xml:space="preserve"> </v>
      </c>
      <c r="Z143" s="10" t="str">
        <f>[1]!QB2C1.215</f>
        <v xml:space="preserve"> </v>
      </c>
      <c r="AA143" s="10">
        <f>[1]!QB2C1.221</f>
        <v>2</v>
      </c>
      <c r="AB143" s="10">
        <f>[1]!QB2C1.222</f>
        <v>0</v>
      </c>
      <c r="AC143" s="10">
        <f>[1]!QB2C1.223</f>
        <v>0</v>
      </c>
      <c r="AD143" s="10">
        <f>[1]!QB2C1.224</f>
        <v>0</v>
      </c>
      <c r="AE143" s="10">
        <f>[1]!QB2C1.225</f>
        <v>0</v>
      </c>
      <c r="AF143" s="10">
        <f>[1]!QB2C1.231</f>
        <v>2</v>
      </c>
      <c r="AG143" s="10">
        <f>[1]!QB2C1.232</f>
        <v>0</v>
      </c>
      <c r="AH143" s="10">
        <f>[1]!QB2C1.233</f>
        <v>0</v>
      </c>
      <c r="AI143" s="10">
        <f>[1]!QB2C1.234</f>
        <v>0</v>
      </c>
      <c r="AJ143" s="10">
        <f>[1]!QB2C1.235</f>
        <v>0</v>
      </c>
    </row>
    <row r="144" spans="1:36" s="10" customFormat="1" x14ac:dyDescent="0.25">
      <c r="A144" s="10" t="str">
        <f>"QB1C1"</f>
        <v>QB1C1</v>
      </c>
      <c r="B144" s="10" t="str">
        <f>[1]!QB1C1.402</f>
        <v>富采1-03</v>
      </c>
      <c r="C144" s="10">
        <f>[1]!QB1C1.123</f>
        <v>111524</v>
      </c>
      <c r="D144" s="10">
        <f>[1]!QB1C1.124</f>
        <v>86</v>
      </c>
      <c r="E144" s="10">
        <f>[1]!QB1C1.125</f>
        <v>0.3</v>
      </c>
      <c r="F144" s="10">
        <f>[1]!QB1C1.128</f>
        <v>1</v>
      </c>
      <c r="G144" s="10">
        <f>[1]!QB1C1.130</f>
        <v>86.5</v>
      </c>
      <c r="H144" s="10">
        <f>[1]!QB1C1.131</f>
        <v>86.5</v>
      </c>
      <c r="I144" s="10">
        <f>[1]!QB1C1.132</f>
        <v>86</v>
      </c>
      <c r="J144" s="10">
        <f>[1]!QB1C1.133</f>
        <v>3</v>
      </c>
      <c r="K144" s="10">
        <f>[1]!QB1C1.135</f>
        <v>83.8</v>
      </c>
      <c r="L144" s="10">
        <f>[1]!QB1C1.136</f>
        <v>85.7</v>
      </c>
      <c r="M144" s="10">
        <f>[1]!QB1C1.437</f>
        <v>85.89</v>
      </c>
      <c r="N144" s="10">
        <f>[1]!QB1C1.406</f>
        <v>94.2</v>
      </c>
      <c r="O144" s="10">
        <f>[1]!QB1C1.407</f>
        <v>77.2</v>
      </c>
      <c r="P144" s="10">
        <f>[1]!QB1C1.431</f>
        <v>20210224</v>
      </c>
      <c r="Q144" s="10">
        <f>[1]!QB1C1.201</f>
        <v>83.8</v>
      </c>
      <c r="R144" s="10" t="str">
        <f>[1]!QB1C1.202</f>
        <v xml:space="preserve"> </v>
      </c>
      <c r="S144" s="10" t="str">
        <f>[1]!QB1C1.203</f>
        <v xml:space="preserve"> </v>
      </c>
      <c r="T144" s="10" t="str">
        <f>[1]!QB1C1.204</f>
        <v xml:space="preserve"> </v>
      </c>
      <c r="U144" s="10" t="str">
        <f>[1]!QB1C1.205</f>
        <v xml:space="preserve"> </v>
      </c>
      <c r="V144" s="10">
        <f>[1]!QB1C1.211</f>
        <v>85.7</v>
      </c>
      <c r="W144" s="10" t="str">
        <f>[1]!QB1C1.212</f>
        <v xml:space="preserve"> </v>
      </c>
      <c r="X144" s="10" t="str">
        <f>[1]!QB1C1.213</f>
        <v xml:space="preserve"> </v>
      </c>
      <c r="Y144" s="10" t="str">
        <f>[1]!QB1C1.214</f>
        <v xml:space="preserve"> </v>
      </c>
      <c r="Z144" s="10" t="str">
        <f>[1]!QB1C1.215</f>
        <v xml:space="preserve"> </v>
      </c>
      <c r="AA144" s="10">
        <f>[1]!QB1C1.221</f>
        <v>2</v>
      </c>
      <c r="AB144" s="10">
        <f>[1]!QB1C1.222</f>
        <v>0</v>
      </c>
      <c r="AC144" s="10">
        <f>[1]!QB1C1.223</f>
        <v>0</v>
      </c>
      <c r="AD144" s="10">
        <f>[1]!QB1C1.224</f>
        <v>0</v>
      </c>
      <c r="AE144" s="10">
        <f>[1]!QB1C1.225</f>
        <v>0</v>
      </c>
      <c r="AF144" s="10">
        <f>[1]!QB1C1.231</f>
        <v>1</v>
      </c>
      <c r="AG144" s="10">
        <f>[1]!QB1C1.232</f>
        <v>0</v>
      </c>
      <c r="AH144" s="10">
        <f>[1]!QB1C1.233</f>
        <v>0</v>
      </c>
      <c r="AI144" s="10">
        <f>[1]!QB1C1.234</f>
        <v>0</v>
      </c>
      <c r="AJ144" s="10">
        <f>[1]!QB1C1.235</f>
        <v>0</v>
      </c>
    </row>
    <row r="145" spans="1:36" s="10" customFormat="1" x14ac:dyDescent="0.25">
      <c r="A145" s="10" t="str">
        <f>"LTFB1"</f>
        <v>LTFB1</v>
      </c>
      <c r="B145" s="10" t="str">
        <f>[1]!LTFB1.402</f>
        <v>加權指數</v>
      </c>
      <c r="C145" s="10">
        <f>[1]!LTFB1.123</f>
        <v>100145</v>
      </c>
      <c r="D145" s="10">
        <f>[1]!LTFB1.124</f>
        <v>16422.560000000001</v>
      </c>
      <c r="E145" s="10">
        <f>[1]!LTFB1.125</f>
        <v>-20.84</v>
      </c>
      <c r="F145" s="10">
        <f>[1]!LTFB1.128</f>
        <v>1824</v>
      </c>
      <c r="G145" s="10">
        <f>[1]!LTFB1.130</f>
        <v>16329.54</v>
      </c>
      <c r="H145" s="10">
        <f>[1]!LTFB1.131</f>
        <v>16456.939999999999</v>
      </c>
      <c r="I145" s="10">
        <f>[1]!LTFB1.132</f>
        <v>16329.54</v>
      </c>
      <c r="J145" s="10">
        <f>[1]!LTFB1.133</f>
        <v>4024617</v>
      </c>
      <c r="K145" s="10" t="str">
        <f>[1]!LTFB1.135</f>
        <v xml:space="preserve"> -</v>
      </c>
      <c r="L145" s="10" t="str">
        <f>[1]!LTFB1.136</f>
        <v xml:space="preserve"> -</v>
      </c>
      <c r="M145" s="10" t="str">
        <f>[1]!LTFB1.437</f>
        <v xml:space="preserve"> -</v>
      </c>
      <c r="N145" s="10" t="str">
        <f>[1]!LTFB1.406</f>
        <v xml:space="preserve"> -</v>
      </c>
      <c r="O145" s="10" t="str">
        <f>[1]!LTFB1.407</f>
        <v xml:space="preserve"> -</v>
      </c>
      <c r="P145" s="10" t="str">
        <f>[1]!LTFB1.431</f>
        <v>-</v>
      </c>
      <c r="Q145" s="10" t="str">
        <f>[1]!LTFB1.201</f>
        <v xml:space="preserve"> -</v>
      </c>
      <c r="R145" s="10" t="str">
        <f>[1]!LTFB1.202</f>
        <v xml:space="preserve"> -</v>
      </c>
      <c r="S145" s="10" t="str">
        <f>[1]!LTFB1.203</f>
        <v xml:space="preserve"> -</v>
      </c>
      <c r="T145" s="10" t="str">
        <f>[1]!LTFB1.204</f>
        <v xml:space="preserve"> -</v>
      </c>
      <c r="U145" s="10" t="str">
        <f>[1]!LTFB1.205</f>
        <v xml:space="preserve"> -</v>
      </c>
      <c r="V145" s="10" t="str">
        <f>[1]!LTFB1.211</f>
        <v xml:space="preserve"> -</v>
      </c>
      <c r="W145" s="10" t="str">
        <f>[1]!LTFB1.212</f>
        <v xml:space="preserve"> -</v>
      </c>
      <c r="X145" s="10" t="str">
        <f>[1]!LTFB1.213</f>
        <v xml:space="preserve"> -</v>
      </c>
      <c r="Y145" s="10" t="str">
        <f>[1]!LTFB1.214</f>
        <v xml:space="preserve"> -</v>
      </c>
      <c r="Z145" s="10" t="str">
        <f>[1]!LTFB1.215</f>
        <v xml:space="preserve"> -</v>
      </c>
      <c r="AA145" s="10" t="str">
        <f>[1]!LTFB1.221</f>
        <v>-</v>
      </c>
      <c r="AB145" s="10" t="str">
        <f>[1]!LTFB1.222</f>
        <v>-</v>
      </c>
      <c r="AC145" s="10" t="str">
        <f>[1]!LTFB1.223</f>
        <v>-</v>
      </c>
      <c r="AD145" s="10" t="str">
        <f>[1]!LTFB1.224</f>
        <v>-</v>
      </c>
      <c r="AE145" s="10" t="str">
        <f>[1]!LTFB1.225</f>
        <v>-</v>
      </c>
      <c r="AF145" s="10" t="str">
        <f>[1]!LTFB1.231</f>
        <v>-</v>
      </c>
      <c r="AG145" s="10" t="str">
        <f>[1]!LTFB1.232</f>
        <v>-</v>
      </c>
      <c r="AH145" s="10" t="str">
        <f>[1]!LTFB1.233</f>
        <v>-</v>
      </c>
      <c r="AI145" s="10" t="str">
        <f>[1]!LTFB1.234</f>
        <v>-</v>
      </c>
      <c r="AJ145" s="10" t="str">
        <f>[1]!LTFB1.235</f>
        <v>-</v>
      </c>
    </row>
    <row r="146" spans="1:36" s="10" customFormat="1" x14ac:dyDescent="0.25">
      <c r="A146" s="10" t="str">
        <f>"JSFB1"</f>
        <v>JSFB1</v>
      </c>
      <c r="B146" s="10" t="str">
        <f>[1]!JSFB1.402</f>
        <v>加權指數</v>
      </c>
      <c r="C146" s="10">
        <f>[1]!JSFB1.123</f>
        <v>100140</v>
      </c>
      <c r="D146" s="10">
        <f>[1]!JSFB1.124</f>
        <v>16428.68</v>
      </c>
      <c r="E146" s="10">
        <f>[1]!JSFB1.125</f>
        <v>-14.72</v>
      </c>
      <c r="F146" s="10">
        <f>[1]!JSFB1.128</f>
        <v>2686</v>
      </c>
      <c r="G146" s="10">
        <f>[1]!JSFB1.130</f>
        <v>16329.54</v>
      </c>
      <c r="H146" s="10">
        <f>[1]!JSFB1.131</f>
        <v>16456.939999999999</v>
      </c>
      <c r="I146" s="10">
        <f>[1]!JSFB1.132</f>
        <v>16329.54</v>
      </c>
      <c r="J146" s="10">
        <f>[1]!JSFB1.133</f>
        <v>4022793</v>
      </c>
      <c r="K146" s="10" t="str">
        <f>[1]!JSFB1.135</f>
        <v xml:space="preserve"> -</v>
      </c>
      <c r="L146" s="10" t="str">
        <f>[1]!JSFB1.136</f>
        <v xml:space="preserve"> -</v>
      </c>
      <c r="M146" s="10" t="str">
        <f>[1]!JSFB1.437</f>
        <v xml:space="preserve"> -</v>
      </c>
      <c r="N146" s="10" t="str">
        <f>[1]!JSFB1.406</f>
        <v xml:space="preserve"> -</v>
      </c>
      <c r="O146" s="10" t="str">
        <f>[1]!JSFB1.407</f>
        <v xml:space="preserve"> -</v>
      </c>
      <c r="P146" s="10" t="str">
        <f>[1]!JSFB1.431</f>
        <v>-</v>
      </c>
      <c r="Q146" s="10" t="str">
        <f>[1]!JSFB1.201</f>
        <v xml:space="preserve"> -</v>
      </c>
      <c r="R146" s="10" t="str">
        <f>[1]!JSFB1.202</f>
        <v xml:space="preserve"> -</v>
      </c>
      <c r="S146" s="10" t="str">
        <f>[1]!JSFB1.203</f>
        <v xml:space="preserve"> -</v>
      </c>
      <c r="T146" s="10" t="str">
        <f>[1]!JSFB1.204</f>
        <v xml:space="preserve"> -</v>
      </c>
      <c r="U146" s="10" t="str">
        <f>[1]!JSFB1.205</f>
        <v xml:space="preserve"> -</v>
      </c>
      <c r="V146" s="10" t="str">
        <f>[1]!JSFB1.211</f>
        <v xml:space="preserve"> -</v>
      </c>
      <c r="W146" s="10" t="str">
        <f>[1]!JSFB1.212</f>
        <v xml:space="preserve"> -</v>
      </c>
      <c r="X146" s="10" t="str">
        <f>[1]!JSFB1.213</f>
        <v xml:space="preserve"> -</v>
      </c>
      <c r="Y146" s="10" t="str">
        <f>[1]!JSFB1.214</f>
        <v xml:space="preserve"> -</v>
      </c>
      <c r="Z146" s="10" t="str">
        <f>[1]!JSFB1.215</f>
        <v xml:space="preserve"> -</v>
      </c>
      <c r="AA146" s="10" t="str">
        <f>[1]!JSFB1.221</f>
        <v>-</v>
      </c>
      <c r="AB146" s="10" t="str">
        <f>[1]!JSFB1.222</f>
        <v>-</v>
      </c>
      <c r="AC146" s="10" t="str">
        <f>[1]!JSFB1.223</f>
        <v>-</v>
      </c>
      <c r="AD146" s="10" t="str">
        <f>[1]!JSFB1.224</f>
        <v>-</v>
      </c>
      <c r="AE146" s="10" t="str">
        <f>[1]!JSFB1.225</f>
        <v>-</v>
      </c>
      <c r="AF146" s="10" t="str">
        <f>[1]!JSFB1.231</f>
        <v>-</v>
      </c>
      <c r="AG146" s="10" t="str">
        <f>[1]!JSFB1.232</f>
        <v>-</v>
      </c>
      <c r="AH146" s="10" t="str">
        <f>[1]!JSFB1.233</f>
        <v>-</v>
      </c>
      <c r="AI146" s="10" t="str">
        <f>[1]!JSFB1.234</f>
        <v>-</v>
      </c>
      <c r="AJ146" s="10" t="str">
        <f>[1]!JSFB1.235</f>
        <v>-</v>
      </c>
    </row>
    <row r="147" spans="1:36" s="10" customFormat="1" x14ac:dyDescent="0.25">
      <c r="A147" s="10" t="str">
        <f>"LUFB1"</f>
        <v>LUFB1</v>
      </c>
      <c r="B147" s="10" t="e">
        <f>[1]!LUFB1.402</f>
        <v>#N/A</v>
      </c>
      <c r="C147" s="10">
        <f>[1]!LUFB1.123</f>
        <v>0</v>
      </c>
      <c r="D147" s="10">
        <f>[1]!LUFB1.124</f>
        <v>20878632</v>
      </c>
      <c r="E147" s="10" t="str">
        <f>[1]!LUFB1.125</f>
        <v xml:space="preserve"> </v>
      </c>
      <c r="F147" s="10">
        <f>[1]!LUFB1.128</f>
        <v>1212870150</v>
      </c>
      <c r="G147" s="10">
        <f>[1]!LUFB1.130</f>
        <v>20803788</v>
      </c>
      <c r="H147" s="10">
        <f>[1]!LUFB1.131</f>
        <v>20804690</v>
      </c>
      <c r="I147" s="10">
        <f>[1]!LUFB1.132</f>
        <v>10989732</v>
      </c>
      <c r="J147" s="10">
        <f>[1]!LUFB1.133</f>
        <v>2088371110</v>
      </c>
      <c r="K147" s="10" t="str">
        <f>[1]!LUFB1.135</f>
        <v xml:space="preserve"> -</v>
      </c>
      <c r="L147" s="10" t="str">
        <f>[1]!LUFB1.136</f>
        <v xml:space="preserve"> -</v>
      </c>
      <c r="M147" s="10" t="str">
        <f>[1]!LUFB1.437</f>
        <v xml:space="preserve"> -</v>
      </c>
      <c r="N147" s="10" t="str">
        <f>[1]!LUFB1.406</f>
        <v xml:space="preserve"> -</v>
      </c>
      <c r="O147" s="10" t="str">
        <f>[1]!LUFB1.407</f>
        <v xml:space="preserve"> -</v>
      </c>
      <c r="P147" s="10" t="str">
        <f>[1]!LUFB1.431</f>
        <v>-</v>
      </c>
      <c r="Q147" s="10" t="str">
        <f>[1]!LUFB1.201</f>
        <v xml:space="preserve"> -</v>
      </c>
      <c r="R147" s="10" t="str">
        <f>[1]!LUFB1.202</f>
        <v xml:space="preserve"> -</v>
      </c>
      <c r="S147" s="10" t="str">
        <f>[1]!LUFB1.203</f>
        <v xml:space="preserve"> -</v>
      </c>
      <c r="T147" s="10" t="str">
        <f>[1]!LUFB1.204</f>
        <v xml:space="preserve"> -</v>
      </c>
      <c r="U147" s="10" t="str">
        <f>[1]!LUFB1.205</f>
        <v xml:space="preserve"> -</v>
      </c>
      <c r="V147" s="10" t="str">
        <f>[1]!LUFB1.211</f>
        <v xml:space="preserve"> -</v>
      </c>
      <c r="W147" s="10" t="str">
        <f>[1]!LUFB1.212</f>
        <v xml:space="preserve"> -</v>
      </c>
      <c r="X147" s="10" t="str">
        <f>[1]!LUFB1.213</f>
        <v xml:space="preserve"> -</v>
      </c>
      <c r="Y147" s="10" t="str">
        <f>[1]!LUFB1.214</f>
        <v xml:space="preserve"> -</v>
      </c>
      <c r="Z147" s="10" t="str">
        <f>[1]!LUFB1.215</f>
        <v xml:space="preserve"> -</v>
      </c>
      <c r="AA147" s="10" t="str">
        <f>[1]!LUFB1.221</f>
        <v>-</v>
      </c>
      <c r="AB147" s="10" t="str">
        <f>[1]!LUFB1.222</f>
        <v>-</v>
      </c>
      <c r="AC147" s="10" t="str">
        <f>[1]!LUFB1.223</f>
        <v>-</v>
      </c>
      <c r="AD147" s="10" t="str">
        <f>[1]!LUFB1.224</f>
        <v>-</v>
      </c>
      <c r="AE147" s="10" t="str">
        <f>[1]!LUFB1.225</f>
        <v>-</v>
      </c>
      <c r="AF147" s="10" t="str">
        <f>[1]!LUFB1.231</f>
        <v>-</v>
      </c>
      <c r="AG147" s="10" t="str">
        <f>[1]!LUFB1.232</f>
        <v>-</v>
      </c>
      <c r="AH147" s="10" t="str">
        <f>[1]!LUFB1.233</f>
        <v>-</v>
      </c>
      <c r="AI147" s="10" t="str">
        <f>[1]!LUFB1.234</f>
        <v>-</v>
      </c>
      <c r="AJ147" s="10" t="str">
        <f>[1]!LUFB1.235</f>
        <v>-</v>
      </c>
    </row>
    <row r="148" spans="1:36" s="10" customFormat="1" x14ac:dyDescent="0.25">
      <c r="A148" s="10" t="str">
        <f>"PNFB1"</f>
        <v>PNFB1</v>
      </c>
      <c r="B148" s="10" t="str">
        <f>[1]!PNFB1.402</f>
        <v>加權指數</v>
      </c>
      <c r="C148" s="10">
        <f>[1]!PNFB1.123</f>
        <v>100135</v>
      </c>
      <c r="D148" s="10">
        <f>[1]!PNFB1.124</f>
        <v>16424.64</v>
      </c>
      <c r="E148" s="10">
        <f>[1]!PNFB1.125</f>
        <v>-18.760000000000002</v>
      </c>
      <c r="F148" s="10">
        <f>[1]!PNFB1.128</f>
        <v>1648</v>
      </c>
      <c r="G148" s="10">
        <f>[1]!PNFB1.130</f>
        <v>16329.54</v>
      </c>
      <c r="H148" s="10">
        <f>[1]!PNFB1.131</f>
        <v>16456.939999999999</v>
      </c>
      <c r="I148" s="10">
        <f>[1]!PNFB1.132</f>
        <v>16329.54</v>
      </c>
      <c r="J148" s="10">
        <f>[1]!PNFB1.133</f>
        <v>4020107</v>
      </c>
      <c r="K148" s="10" t="str">
        <f>[1]!PNFB1.135</f>
        <v xml:space="preserve"> -</v>
      </c>
      <c r="L148" s="10" t="str">
        <f>[1]!PNFB1.136</f>
        <v xml:space="preserve"> -</v>
      </c>
      <c r="M148" s="10" t="str">
        <f>[1]!PNFB1.437</f>
        <v xml:space="preserve"> -</v>
      </c>
      <c r="N148" s="10" t="str">
        <f>[1]!PNFB1.406</f>
        <v xml:space="preserve"> -</v>
      </c>
      <c r="O148" s="10" t="str">
        <f>[1]!PNFB1.407</f>
        <v xml:space="preserve"> -</v>
      </c>
      <c r="P148" s="10" t="str">
        <f>[1]!PNFB1.431</f>
        <v>-</v>
      </c>
      <c r="Q148" s="10" t="str">
        <f>[1]!PNFB1.201</f>
        <v xml:space="preserve"> -</v>
      </c>
      <c r="R148" s="10" t="str">
        <f>[1]!PNFB1.202</f>
        <v xml:space="preserve"> -</v>
      </c>
      <c r="S148" s="10" t="str">
        <f>[1]!PNFB1.203</f>
        <v xml:space="preserve"> -</v>
      </c>
      <c r="T148" s="10" t="str">
        <f>[1]!PNFB1.204</f>
        <v xml:space="preserve"> -</v>
      </c>
      <c r="U148" s="10" t="str">
        <f>[1]!PNFB1.205</f>
        <v xml:space="preserve"> -</v>
      </c>
      <c r="V148" s="10" t="str">
        <f>[1]!PNFB1.211</f>
        <v xml:space="preserve"> -</v>
      </c>
      <c r="W148" s="10" t="str">
        <f>[1]!PNFB1.212</f>
        <v xml:space="preserve"> -</v>
      </c>
      <c r="X148" s="10" t="str">
        <f>[1]!PNFB1.213</f>
        <v xml:space="preserve"> -</v>
      </c>
      <c r="Y148" s="10" t="str">
        <f>[1]!PNFB1.214</f>
        <v xml:space="preserve"> -</v>
      </c>
      <c r="Z148" s="10" t="str">
        <f>[1]!PNFB1.215</f>
        <v xml:space="preserve"> -</v>
      </c>
      <c r="AA148" s="10" t="str">
        <f>[1]!PNFB1.221</f>
        <v>-</v>
      </c>
      <c r="AB148" s="10" t="str">
        <f>[1]!PNFB1.222</f>
        <v>-</v>
      </c>
      <c r="AC148" s="10" t="str">
        <f>[1]!PNFB1.223</f>
        <v>-</v>
      </c>
      <c r="AD148" s="10" t="str">
        <f>[1]!PNFB1.224</f>
        <v>-</v>
      </c>
      <c r="AE148" s="10" t="str">
        <f>[1]!PNFB1.225</f>
        <v>-</v>
      </c>
      <c r="AF148" s="10" t="str">
        <f>[1]!PNFB1.231</f>
        <v>-</v>
      </c>
      <c r="AG148" s="10" t="str">
        <f>[1]!PNFB1.232</f>
        <v>-</v>
      </c>
      <c r="AH148" s="10" t="str">
        <f>[1]!PNFB1.233</f>
        <v>-</v>
      </c>
      <c r="AI148" s="10" t="str">
        <f>[1]!PNFB1.234</f>
        <v>-</v>
      </c>
      <c r="AJ148" s="10" t="str">
        <f>[1]!PNFB1.235</f>
        <v>-</v>
      </c>
    </row>
    <row r="149" spans="1:36" s="10" customFormat="1" x14ac:dyDescent="0.25">
      <c r="A149" s="10" t="str">
        <f>"PHFB1"</f>
        <v>PHFB1</v>
      </c>
      <c r="B149" s="10" t="e">
        <f>[1]!PHFB1.402</f>
        <v>#N/A</v>
      </c>
      <c r="C149" s="10">
        <f>[1]!PHFB1.123</f>
        <v>0</v>
      </c>
      <c r="D149" s="10">
        <f>[1]!PHFB1.124</f>
        <v>20878632</v>
      </c>
      <c r="E149" s="10" t="str">
        <f>[1]!PHFB1.125</f>
        <v xml:space="preserve"> </v>
      </c>
      <c r="F149" s="10">
        <f>[1]!PHFB1.128</f>
        <v>1212870150</v>
      </c>
      <c r="G149" s="10">
        <f>[1]!PHFB1.130</f>
        <v>20803788</v>
      </c>
      <c r="H149" s="10">
        <f>[1]!PHFB1.131</f>
        <v>20804690</v>
      </c>
      <c r="I149" s="10">
        <f>[1]!PHFB1.132</f>
        <v>10989732</v>
      </c>
      <c r="J149" s="10">
        <f>[1]!PHFB1.133</f>
        <v>2088371110</v>
      </c>
      <c r="K149" s="10" t="str">
        <f>[1]!PHFB1.135</f>
        <v xml:space="preserve"> -</v>
      </c>
      <c r="L149" s="10" t="str">
        <f>[1]!PHFB1.136</f>
        <v xml:space="preserve"> -</v>
      </c>
      <c r="M149" s="10" t="str">
        <f>[1]!PHFB1.437</f>
        <v xml:space="preserve"> -</v>
      </c>
      <c r="N149" s="10" t="str">
        <f>[1]!PHFB1.406</f>
        <v xml:space="preserve"> -</v>
      </c>
      <c r="O149" s="10" t="str">
        <f>[1]!PHFB1.407</f>
        <v xml:space="preserve"> -</v>
      </c>
      <c r="P149" s="10" t="str">
        <f>[1]!PHFB1.431</f>
        <v>-</v>
      </c>
      <c r="Q149" s="10" t="str">
        <f>[1]!PHFB1.201</f>
        <v xml:space="preserve"> -</v>
      </c>
      <c r="R149" s="10" t="str">
        <f>[1]!PHFB1.202</f>
        <v xml:space="preserve"> -</v>
      </c>
      <c r="S149" s="10" t="str">
        <f>[1]!PHFB1.203</f>
        <v xml:space="preserve"> -</v>
      </c>
      <c r="T149" s="10" t="str">
        <f>[1]!PHFB1.204</f>
        <v xml:space="preserve"> -</v>
      </c>
      <c r="U149" s="10" t="str">
        <f>[1]!PHFB1.205</f>
        <v xml:space="preserve"> -</v>
      </c>
      <c r="V149" s="10" t="str">
        <f>[1]!PHFB1.211</f>
        <v xml:space="preserve"> -</v>
      </c>
      <c r="W149" s="10" t="str">
        <f>[1]!PHFB1.212</f>
        <v xml:space="preserve"> -</v>
      </c>
      <c r="X149" s="10" t="str">
        <f>[1]!PHFB1.213</f>
        <v xml:space="preserve"> -</v>
      </c>
      <c r="Y149" s="10" t="str">
        <f>[1]!PHFB1.214</f>
        <v xml:space="preserve"> -</v>
      </c>
      <c r="Z149" s="10" t="str">
        <f>[1]!PHFB1.215</f>
        <v xml:space="preserve"> -</v>
      </c>
      <c r="AA149" s="10" t="str">
        <f>[1]!PHFB1.221</f>
        <v>-</v>
      </c>
      <c r="AB149" s="10" t="str">
        <f>[1]!PHFB1.222</f>
        <v>-</v>
      </c>
      <c r="AC149" s="10" t="str">
        <f>[1]!PHFB1.223</f>
        <v>-</v>
      </c>
      <c r="AD149" s="10" t="str">
        <f>[1]!PHFB1.224</f>
        <v>-</v>
      </c>
      <c r="AE149" s="10" t="str">
        <f>[1]!PHFB1.225</f>
        <v>-</v>
      </c>
      <c r="AF149" s="10" t="str">
        <f>[1]!PHFB1.231</f>
        <v>-</v>
      </c>
      <c r="AG149" s="10" t="str">
        <f>[1]!PHFB1.232</f>
        <v>-</v>
      </c>
      <c r="AH149" s="10" t="str">
        <f>[1]!PHFB1.233</f>
        <v>-</v>
      </c>
      <c r="AI149" s="10" t="str">
        <f>[1]!PHFB1.234</f>
        <v>-</v>
      </c>
      <c r="AJ149" s="10" t="str">
        <f>[1]!PHFB1.235</f>
        <v>-</v>
      </c>
    </row>
    <row r="150" spans="1:36" s="10" customFormat="1" x14ac:dyDescent="0.25">
      <c r="A150" s="10" t="str">
        <f>"JWFB1"</f>
        <v>JWFB1</v>
      </c>
      <c r="B150" s="10" t="str">
        <f>[1]!JWFB1.402</f>
        <v>加權指數</v>
      </c>
      <c r="C150" s="10">
        <f>[1]!JWFB1.123</f>
        <v>100135</v>
      </c>
      <c r="D150" s="10">
        <f>[1]!JWFB1.124</f>
        <v>16424.64</v>
      </c>
      <c r="E150" s="10">
        <f>[1]!JWFB1.125</f>
        <v>-18.760000000000002</v>
      </c>
      <c r="F150" s="10">
        <f>[1]!JWFB1.128</f>
        <v>1648</v>
      </c>
      <c r="G150" s="10">
        <f>[1]!JWFB1.130</f>
        <v>16329.54</v>
      </c>
      <c r="H150" s="10">
        <f>[1]!JWFB1.131</f>
        <v>16456.939999999999</v>
      </c>
      <c r="I150" s="10">
        <f>[1]!JWFB1.132</f>
        <v>16329.54</v>
      </c>
      <c r="J150" s="10">
        <f>[1]!JWFB1.133</f>
        <v>4020107</v>
      </c>
      <c r="K150" s="10" t="str">
        <f>[1]!JWFB1.135</f>
        <v xml:space="preserve"> -</v>
      </c>
      <c r="L150" s="10" t="str">
        <f>[1]!JWFB1.136</f>
        <v xml:space="preserve"> -</v>
      </c>
      <c r="M150" s="10" t="str">
        <f>[1]!JWFB1.437</f>
        <v xml:space="preserve"> -</v>
      </c>
      <c r="N150" s="10" t="str">
        <f>[1]!JWFB1.406</f>
        <v xml:space="preserve"> -</v>
      </c>
      <c r="O150" s="10" t="str">
        <f>[1]!JWFB1.407</f>
        <v xml:space="preserve"> -</v>
      </c>
      <c r="P150" s="10" t="str">
        <f>[1]!JWFB1.431</f>
        <v>-</v>
      </c>
      <c r="Q150" s="10" t="str">
        <f>[1]!JWFB1.201</f>
        <v xml:space="preserve"> -</v>
      </c>
      <c r="R150" s="10" t="str">
        <f>[1]!JWFB1.202</f>
        <v xml:space="preserve"> -</v>
      </c>
      <c r="S150" s="10" t="str">
        <f>[1]!JWFB1.203</f>
        <v xml:space="preserve"> -</v>
      </c>
      <c r="T150" s="10" t="str">
        <f>[1]!JWFB1.204</f>
        <v xml:space="preserve"> -</v>
      </c>
      <c r="U150" s="10" t="str">
        <f>[1]!JWFB1.205</f>
        <v xml:space="preserve"> -</v>
      </c>
      <c r="V150" s="10" t="str">
        <f>[1]!JWFB1.211</f>
        <v xml:space="preserve"> -</v>
      </c>
      <c r="W150" s="10" t="str">
        <f>[1]!JWFB1.212</f>
        <v xml:space="preserve"> -</v>
      </c>
      <c r="X150" s="10" t="str">
        <f>[1]!JWFB1.213</f>
        <v xml:space="preserve"> -</v>
      </c>
      <c r="Y150" s="10" t="str">
        <f>[1]!JWFB1.214</f>
        <v xml:space="preserve"> -</v>
      </c>
      <c r="Z150" s="10" t="str">
        <f>[1]!JWFB1.215</f>
        <v xml:space="preserve"> -</v>
      </c>
      <c r="AA150" s="10" t="str">
        <f>[1]!JWFB1.221</f>
        <v>-</v>
      </c>
      <c r="AB150" s="10" t="str">
        <f>[1]!JWFB1.222</f>
        <v>-</v>
      </c>
      <c r="AC150" s="10" t="str">
        <f>[1]!JWFB1.223</f>
        <v>-</v>
      </c>
      <c r="AD150" s="10" t="str">
        <f>[1]!JWFB1.224</f>
        <v>-</v>
      </c>
      <c r="AE150" s="10" t="str">
        <f>[1]!JWFB1.225</f>
        <v>-</v>
      </c>
      <c r="AF150" s="10" t="str">
        <f>[1]!JWFB1.231</f>
        <v>-</v>
      </c>
      <c r="AG150" s="10" t="str">
        <f>[1]!JWFB1.232</f>
        <v>-</v>
      </c>
      <c r="AH150" s="10" t="str">
        <f>[1]!JWFB1.233</f>
        <v>-</v>
      </c>
      <c r="AI150" s="10" t="str">
        <f>[1]!JWFB1.234</f>
        <v>-</v>
      </c>
      <c r="AJ150" s="10" t="str">
        <f>[1]!JWFB1.235</f>
        <v>-</v>
      </c>
    </row>
    <row r="151" spans="1:36" s="10" customFormat="1" x14ac:dyDescent="0.25">
      <c r="A151" s="10" t="str">
        <f>"LVFB1"</f>
        <v>LVFB1</v>
      </c>
      <c r="B151" s="10" t="str">
        <f>[1]!LVFB1.402</f>
        <v>加權指數</v>
      </c>
      <c r="C151" s="10">
        <f>[1]!LVFB1.123</f>
        <v>100140</v>
      </c>
      <c r="D151" s="10">
        <f>[1]!LVFB1.124</f>
        <v>16428.68</v>
      </c>
      <c r="E151" s="10">
        <f>[1]!LVFB1.125</f>
        <v>-14.72</v>
      </c>
      <c r="F151" s="10">
        <f>[1]!LVFB1.128</f>
        <v>2686</v>
      </c>
      <c r="G151" s="10">
        <f>[1]!LVFB1.130</f>
        <v>16329.54</v>
      </c>
      <c r="H151" s="10">
        <f>[1]!LVFB1.131</f>
        <v>16456.939999999999</v>
      </c>
      <c r="I151" s="10">
        <f>[1]!LVFB1.132</f>
        <v>16329.54</v>
      </c>
      <c r="J151" s="10">
        <f>[1]!LVFB1.133</f>
        <v>4022793</v>
      </c>
      <c r="K151" s="10" t="str">
        <f>[1]!LVFB1.135</f>
        <v xml:space="preserve"> -</v>
      </c>
      <c r="L151" s="10" t="str">
        <f>[1]!LVFB1.136</f>
        <v xml:space="preserve"> -</v>
      </c>
      <c r="M151" s="10" t="str">
        <f>[1]!LVFB1.437</f>
        <v xml:space="preserve"> -</v>
      </c>
      <c r="N151" s="10" t="str">
        <f>[1]!LVFB1.406</f>
        <v xml:space="preserve"> -</v>
      </c>
      <c r="O151" s="10" t="str">
        <f>[1]!LVFB1.407</f>
        <v xml:space="preserve"> -</v>
      </c>
      <c r="P151" s="10" t="str">
        <f>[1]!LVFB1.431</f>
        <v>-</v>
      </c>
      <c r="Q151" s="10" t="str">
        <f>[1]!LVFB1.201</f>
        <v xml:space="preserve"> -</v>
      </c>
      <c r="R151" s="10" t="str">
        <f>[1]!LVFB1.202</f>
        <v xml:space="preserve"> -</v>
      </c>
      <c r="S151" s="10" t="str">
        <f>[1]!LVFB1.203</f>
        <v xml:space="preserve"> -</v>
      </c>
      <c r="T151" s="10" t="str">
        <f>[1]!LVFB1.204</f>
        <v xml:space="preserve"> -</v>
      </c>
      <c r="U151" s="10" t="str">
        <f>[1]!LVFB1.205</f>
        <v xml:space="preserve"> -</v>
      </c>
      <c r="V151" s="10" t="str">
        <f>[1]!LVFB1.211</f>
        <v xml:space="preserve"> -</v>
      </c>
      <c r="W151" s="10" t="str">
        <f>[1]!LVFB1.212</f>
        <v xml:space="preserve"> -</v>
      </c>
      <c r="X151" s="10" t="str">
        <f>[1]!LVFB1.213</f>
        <v xml:space="preserve"> -</v>
      </c>
      <c r="Y151" s="10" t="str">
        <f>[1]!LVFB1.214</f>
        <v xml:space="preserve"> -</v>
      </c>
      <c r="Z151" s="10" t="str">
        <f>[1]!LVFB1.215</f>
        <v xml:space="preserve"> -</v>
      </c>
      <c r="AA151" s="10" t="str">
        <f>[1]!LVFB1.221</f>
        <v>-</v>
      </c>
      <c r="AB151" s="10" t="str">
        <f>[1]!LVFB1.222</f>
        <v>-</v>
      </c>
      <c r="AC151" s="10" t="str">
        <f>[1]!LVFB1.223</f>
        <v>-</v>
      </c>
      <c r="AD151" s="10" t="str">
        <f>[1]!LVFB1.224</f>
        <v>-</v>
      </c>
      <c r="AE151" s="10" t="str">
        <f>[1]!LVFB1.225</f>
        <v>-</v>
      </c>
      <c r="AF151" s="10" t="str">
        <f>[1]!LVFB1.231</f>
        <v>-</v>
      </c>
      <c r="AG151" s="10" t="str">
        <f>[1]!LVFB1.232</f>
        <v>-</v>
      </c>
      <c r="AH151" s="10" t="str">
        <f>[1]!LVFB1.233</f>
        <v>-</v>
      </c>
      <c r="AI151" s="10" t="str">
        <f>[1]!LVFB1.234</f>
        <v>-</v>
      </c>
      <c r="AJ151" s="10" t="str">
        <f>[1]!LVFB1.235</f>
        <v>-</v>
      </c>
    </row>
    <row r="152" spans="1:36" s="10" customFormat="1" x14ac:dyDescent="0.25">
      <c r="A152" s="10" t="str">
        <f>"LOFB1"</f>
        <v>LOFB1</v>
      </c>
      <c r="B152" s="10" t="str">
        <f>[1]!LOFB1.402</f>
        <v>加權指數</v>
      </c>
      <c r="C152" s="10">
        <f>[1]!LOFB1.123</f>
        <v>100150</v>
      </c>
      <c r="D152" s="10">
        <f>[1]!LOFB1.124</f>
        <v>16421.62</v>
      </c>
      <c r="E152" s="10">
        <f>[1]!LOFB1.125</f>
        <v>-21.78</v>
      </c>
      <c r="F152" s="10">
        <f>[1]!LOFB1.128</f>
        <v>2439</v>
      </c>
      <c r="G152" s="10">
        <f>[1]!LOFB1.130</f>
        <v>16329.54</v>
      </c>
      <c r="H152" s="10">
        <f>[1]!LOFB1.131</f>
        <v>16456.939999999999</v>
      </c>
      <c r="I152" s="10">
        <f>[1]!LOFB1.132</f>
        <v>16329.54</v>
      </c>
      <c r="J152" s="10">
        <f>[1]!LOFB1.133</f>
        <v>4027056</v>
      </c>
      <c r="K152" s="10" t="str">
        <f>[1]!LOFB1.135</f>
        <v xml:space="preserve"> -</v>
      </c>
      <c r="L152" s="10" t="str">
        <f>[1]!LOFB1.136</f>
        <v xml:space="preserve"> -</v>
      </c>
      <c r="M152" s="10" t="str">
        <f>[1]!LOFB1.437</f>
        <v xml:space="preserve"> -</v>
      </c>
      <c r="N152" s="10" t="str">
        <f>[1]!LOFB1.406</f>
        <v xml:space="preserve"> -</v>
      </c>
      <c r="O152" s="10" t="str">
        <f>[1]!LOFB1.407</f>
        <v xml:space="preserve"> -</v>
      </c>
      <c r="P152" s="10" t="str">
        <f>[1]!LOFB1.431</f>
        <v>-</v>
      </c>
      <c r="Q152" s="10" t="str">
        <f>[1]!LOFB1.201</f>
        <v xml:space="preserve"> -</v>
      </c>
      <c r="R152" s="10" t="str">
        <f>[1]!LOFB1.202</f>
        <v xml:space="preserve"> -</v>
      </c>
      <c r="S152" s="10" t="str">
        <f>[1]!LOFB1.203</f>
        <v xml:space="preserve"> -</v>
      </c>
      <c r="T152" s="10" t="str">
        <f>[1]!LOFB1.204</f>
        <v xml:space="preserve"> -</v>
      </c>
      <c r="U152" s="10" t="str">
        <f>[1]!LOFB1.205</f>
        <v xml:space="preserve"> -</v>
      </c>
      <c r="V152" s="10" t="str">
        <f>[1]!LOFB1.211</f>
        <v xml:space="preserve"> -</v>
      </c>
      <c r="W152" s="10" t="str">
        <f>[1]!LOFB1.212</f>
        <v xml:space="preserve"> -</v>
      </c>
      <c r="X152" s="10" t="str">
        <f>[1]!LOFB1.213</f>
        <v xml:space="preserve"> -</v>
      </c>
      <c r="Y152" s="10" t="str">
        <f>[1]!LOFB1.214</f>
        <v xml:space="preserve"> -</v>
      </c>
      <c r="Z152" s="10" t="str">
        <f>[1]!LOFB1.215</f>
        <v xml:space="preserve"> -</v>
      </c>
      <c r="AA152" s="10" t="str">
        <f>[1]!LOFB1.221</f>
        <v>-</v>
      </c>
      <c r="AB152" s="10" t="str">
        <f>[1]!LOFB1.222</f>
        <v>-</v>
      </c>
      <c r="AC152" s="10" t="str">
        <f>[1]!LOFB1.223</f>
        <v>-</v>
      </c>
      <c r="AD152" s="10" t="str">
        <f>[1]!LOFB1.224</f>
        <v>-</v>
      </c>
      <c r="AE152" s="10" t="str">
        <f>[1]!LOFB1.225</f>
        <v>-</v>
      </c>
      <c r="AF152" s="10" t="str">
        <f>[1]!LOFB1.231</f>
        <v>-</v>
      </c>
      <c r="AG152" s="10" t="str">
        <f>[1]!LOFB1.232</f>
        <v>-</v>
      </c>
      <c r="AH152" s="10" t="str">
        <f>[1]!LOFB1.233</f>
        <v>-</v>
      </c>
      <c r="AI152" s="10" t="str">
        <f>[1]!LOFB1.234</f>
        <v>-</v>
      </c>
      <c r="AJ152" s="10" t="str">
        <f>[1]!LOFB1.235</f>
        <v>-</v>
      </c>
    </row>
    <row r="153" spans="1:36" s="10" customFormat="1" x14ac:dyDescent="0.25">
      <c r="A153" s="10" t="str">
        <f>"OEFB1"</f>
        <v>OEFB1</v>
      </c>
      <c r="B153" s="10" t="str">
        <f>[1]!OEFB1.402</f>
        <v>加權指數</v>
      </c>
      <c r="C153" s="10">
        <f>[1]!OEFB1.123</f>
        <v>100145</v>
      </c>
      <c r="D153" s="10">
        <f>[1]!OEFB1.124</f>
        <v>16422.560000000001</v>
      </c>
      <c r="E153" s="10">
        <f>[1]!OEFB1.125</f>
        <v>-20.84</v>
      </c>
      <c r="F153" s="10">
        <f>[1]!OEFB1.128</f>
        <v>1824</v>
      </c>
      <c r="G153" s="10">
        <f>[1]!OEFB1.130</f>
        <v>16329.54</v>
      </c>
      <c r="H153" s="10">
        <f>[1]!OEFB1.131</f>
        <v>16456.939999999999</v>
      </c>
      <c r="I153" s="10">
        <f>[1]!OEFB1.132</f>
        <v>16329.54</v>
      </c>
      <c r="J153" s="10">
        <f>[1]!OEFB1.133</f>
        <v>4024617</v>
      </c>
      <c r="K153" s="10" t="str">
        <f>[1]!OEFB1.135</f>
        <v xml:space="preserve"> -</v>
      </c>
      <c r="L153" s="10" t="str">
        <f>[1]!OEFB1.136</f>
        <v xml:space="preserve"> -</v>
      </c>
      <c r="M153" s="10" t="str">
        <f>[1]!OEFB1.437</f>
        <v xml:space="preserve"> -</v>
      </c>
      <c r="N153" s="10" t="str">
        <f>[1]!OEFB1.406</f>
        <v xml:space="preserve"> -</v>
      </c>
      <c r="O153" s="10" t="str">
        <f>[1]!OEFB1.407</f>
        <v xml:space="preserve"> -</v>
      </c>
      <c r="P153" s="10" t="str">
        <f>[1]!OEFB1.431</f>
        <v>-</v>
      </c>
      <c r="Q153" s="10" t="str">
        <f>[1]!OEFB1.201</f>
        <v xml:space="preserve"> -</v>
      </c>
      <c r="R153" s="10" t="str">
        <f>[1]!OEFB1.202</f>
        <v xml:space="preserve"> -</v>
      </c>
      <c r="S153" s="10" t="str">
        <f>[1]!OEFB1.203</f>
        <v xml:space="preserve"> -</v>
      </c>
      <c r="T153" s="10" t="str">
        <f>[1]!OEFB1.204</f>
        <v xml:space="preserve"> -</v>
      </c>
      <c r="U153" s="10" t="str">
        <f>[1]!OEFB1.205</f>
        <v xml:space="preserve"> -</v>
      </c>
      <c r="V153" s="10" t="str">
        <f>[1]!OEFB1.211</f>
        <v xml:space="preserve"> -</v>
      </c>
      <c r="W153" s="10" t="str">
        <f>[1]!OEFB1.212</f>
        <v xml:space="preserve"> -</v>
      </c>
      <c r="X153" s="10" t="str">
        <f>[1]!OEFB1.213</f>
        <v xml:space="preserve"> -</v>
      </c>
      <c r="Y153" s="10" t="str">
        <f>[1]!OEFB1.214</f>
        <v xml:space="preserve"> -</v>
      </c>
      <c r="Z153" s="10" t="str">
        <f>[1]!OEFB1.215</f>
        <v xml:space="preserve"> -</v>
      </c>
      <c r="AA153" s="10" t="str">
        <f>[1]!OEFB1.221</f>
        <v>-</v>
      </c>
      <c r="AB153" s="10" t="str">
        <f>[1]!OEFB1.222</f>
        <v>-</v>
      </c>
      <c r="AC153" s="10" t="str">
        <f>[1]!OEFB1.223</f>
        <v>-</v>
      </c>
      <c r="AD153" s="10" t="str">
        <f>[1]!OEFB1.224</f>
        <v>-</v>
      </c>
      <c r="AE153" s="10" t="str">
        <f>[1]!OEFB1.225</f>
        <v>-</v>
      </c>
      <c r="AF153" s="10" t="str">
        <f>[1]!OEFB1.231</f>
        <v>-</v>
      </c>
      <c r="AG153" s="10" t="str">
        <f>[1]!OEFB1.232</f>
        <v>-</v>
      </c>
      <c r="AH153" s="10" t="str">
        <f>[1]!OEFB1.233</f>
        <v>-</v>
      </c>
      <c r="AI153" s="10" t="str">
        <f>[1]!OEFB1.234</f>
        <v>-</v>
      </c>
      <c r="AJ153" s="10" t="str">
        <f>[1]!OEFB1.235</f>
        <v>-</v>
      </c>
    </row>
    <row r="154" spans="1:36" s="10" customFormat="1" x14ac:dyDescent="0.25">
      <c r="A154" s="10" t="str">
        <f>"JZFB1"</f>
        <v>JZFB1</v>
      </c>
      <c r="B154" s="10" t="str">
        <f>[1]!JZFB1.402</f>
        <v>加權指數</v>
      </c>
      <c r="C154" s="10">
        <f>[1]!JZFB1.123</f>
        <v>100135</v>
      </c>
      <c r="D154" s="10">
        <f>[1]!JZFB1.124</f>
        <v>16424.64</v>
      </c>
      <c r="E154" s="10">
        <f>[1]!JZFB1.125</f>
        <v>-18.760000000000002</v>
      </c>
      <c r="F154" s="10">
        <f>[1]!JZFB1.128</f>
        <v>1648</v>
      </c>
      <c r="G154" s="10">
        <f>[1]!JZFB1.130</f>
        <v>16329.54</v>
      </c>
      <c r="H154" s="10">
        <f>[1]!JZFB1.131</f>
        <v>16456.939999999999</v>
      </c>
      <c r="I154" s="10">
        <f>[1]!JZFB1.132</f>
        <v>16329.54</v>
      </c>
      <c r="J154" s="10">
        <f>[1]!JZFB1.133</f>
        <v>4020107</v>
      </c>
      <c r="K154" s="10" t="str">
        <f>[1]!JZFB1.135</f>
        <v xml:space="preserve"> -</v>
      </c>
      <c r="L154" s="10" t="str">
        <f>[1]!JZFB1.136</f>
        <v xml:space="preserve"> -</v>
      </c>
      <c r="M154" s="10" t="str">
        <f>[1]!JZFB1.437</f>
        <v xml:space="preserve"> -</v>
      </c>
      <c r="N154" s="10" t="str">
        <f>[1]!JZFB1.406</f>
        <v xml:space="preserve"> -</v>
      </c>
      <c r="O154" s="10" t="str">
        <f>[1]!JZFB1.407</f>
        <v xml:space="preserve"> -</v>
      </c>
      <c r="P154" s="10" t="str">
        <f>[1]!JZFB1.431</f>
        <v>-</v>
      </c>
      <c r="Q154" s="10" t="str">
        <f>[1]!JZFB1.201</f>
        <v xml:space="preserve"> -</v>
      </c>
      <c r="R154" s="10" t="str">
        <f>[1]!JZFB1.202</f>
        <v xml:space="preserve"> -</v>
      </c>
      <c r="S154" s="10" t="str">
        <f>[1]!JZFB1.203</f>
        <v xml:space="preserve"> -</v>
      </c>
      <c r="T154" s="10" t="str">
        <f>[1]!JZFB1.204</f>
        <v xml:space="preserve"> -</v>
      </c>
      <c r="U154" s="10" t="str">
        <f>[1]!JZFB1.205</f>
        <v xml:space="preserve"> -</v>
      </c>
      <c r="V154" s="10" t="str">
        <f>[1]!JZFB1.211</f>
        <v xml:space="preserve"> -</v>
      </c>
      <c r="W154" s="10" t="str">
        <f>[1]!JZFB1.212</f>
        <v xml:space="preserve"> -</v>
      </c>
      <c r="X154" s="10" t="str">
        <f>[1]!JZFB1.213</f>
        <v xml:space="preserve"> -</v>
      </c>
      <c r="Y154" s="10" t="str">
        <f>[1]!JZFB1.214</f>
        <v xml:space="preserve"> -</v>
      </c>
      <c r="Z154" s="10" t="str">
        <f>[1]!JZFB1.215</f>
        <v xml:space="preserve"> -</v>
      </c>
      <c r="AA154" s="10" t="str">
        <f>[1]!JZFB1.221</f>
        <v>-</v>
      </c>
      <c r="AB154" s="10" t="str">
        <f>[1]!JZFB1.222</f>
        <v>-</v>
      </c>
      <c r="AC154" s="10" t="str">
        <f>[1]!JZFB1.223</f>
        <v>-</v>
      </c>
      <c r="AD154" s="10" t="str">
        <f>[1]!JZFB1.224</f>
        <v>-</v>
      </c>
      <c r="AE154" s="10" t="str">
        <f>[1]!JZFB1.225</f>
        <v>-</v>
      </c>
      <c r="AF154" s="10" t="str">
        <f>[1]!JZFB1.231</f>
        <v>-</v>
      </c>
      <c r="AG154" s="10" t="str">
        <f>[1]!JZFB1.232</f>
        <v>-</v>
      </c>
      <c r="AH154" s="10" t="str">
        <f>[1]!JZFB1.233</f>
        <v>-</v>
      </c>
      <c r="AI154" s="10" t="str">
        <f>[1]!JZFB1.234</f>
        <v>-</v>
      </c>
      <c r="AJ154" s="10" t="str">
        <f>[1]!JZFB1.235</f>
        <v>-</v>
      </c>
    </row>
    <row r="155" spans="1:36" s="10" customFormat="1" x14ac:dyDescent="0.25">
      <c r="A155" s="10" t="str">
        <f>"KAFB1"</f>
        <v>KAFB1</v>
      </c>
      <c r="B155" s="10" t="str">
        <f>[1]!KAFB1.402</f>
        <v>加權指數</v>
      </c>
      <c r="C155" s="10">
        <f>[1]!KAFB1.123</f>
        <v>100145</v>
      </c>
      <c r="D155" s="10">
        <f>[1]!KAFB1.124</f>
        <v>16422.560000000001</v>
      </c>
      <c r="E155" s="10">
        <f>[1]!KAFB1.125</f>
        <v>-20.84</v>
      </c>
      <c r="F155" s="10">
        <f>[1]!KAFB1.128</f>
        <v>1824</v>
      </c>
      <c r="G155" s="10">
        <f>[1]!KAFB1.130</f>
        <v>16329.54</v>
      </c>
      <c r="H155" s="10">
        <f>[1]!KAFB1.131</f>
        <v>16456.939999999999</v>
      </c>
      <c r="I155" s="10">
        <f>[1]!KAFB1.132</f>
        <v>16329.54</v>
      </c>
      <c r="J155" s="10">
        <f>[1]!KAFB1.133</f>
        <v>4024617</v>
      </c>
      <c r="K155" s="10" t="str">
        <f>[1]!KAFB1.135</f>
        <v xml:space="preserve"> -</v>
      </c>
      <c r="L155" s="10" t="str">
        <f>[1]!KAFB1.136</f>
        <v xml:space="preserve"> -</v>
      </c>
      <c r="M155" s="10" t="str">
        <f>[1]!KAFB1.437</f>
        <v xml:space="preserve"> -</v>
      </c>
      <c r="N155" s="10" t="str">
        <f>[1]!KAFB1.406</f>
        <v xml:space="preserve"> -</v>
      </c>
      <c r="O155" s="10" t="str">
        <f>[1]!KAFB1.407</f>
        <v xml:space="preserve"> -</v>
      </c>
      <c r="P155" s="10" t="str">
        <f>[1]!KAFB1.431</f>
        <v>-</v>
      </c>
      <c r="Q155" s="10" t="str">
        <f>[1]!KAFB1.201</f>
        <v xml:space="preserve"> -</v>
      </c>
      <c r="R155" s="10" t="str">
        <f>[1]!KAFB1.202</f>
        <v xml:space="preserve"> -</v>
      </c>
      <c r="S155" s="10" t="str">
        <f>[1]!KAFB1.203</f>
        <v xml:space="preserve"> -</v>
      </c>
      <c r="T155" s="10" t="str">
        <f>[1]!KAFB1.204</f>
        <v xml:space="preserve"> -</v>
      </c>
      <c r="U155" s="10" t="str">
        <f>[1]!KAFB1.205</f>
        <v xml:space="preserve"> -</v>
      </c>
      <c r="V155" s="10" t="str">
        <f>[1]!KAFB1.211</f>
        <v xml:space="preserve"> -</v>
      </c>
      <c r="W155" s="10" t="str">
        <f>[1]!KAFB1.212</f>
        <v xml:space="preserve"> -</v>
      </c>
      <c r="X155" s="10" t="str">
        <f>[1]!KAFB1.213</f>
        <v xml:space="preserve"> -</v>
      </c>
      <c r="Y155" s="10" t="str">
        <f>[1]!KAFB1.214</f>
        <v xml:space="preserve"> -</v>
      </c>
      <c r="Z155" s="10" t="str">
        <f>[1]!KAFB1.215</f>
        <v xml:space="preserve"> -</v>
      </c>
      <c r="AA155" s="10" t="str">
        <f>[1]!KAFB1.221</f>
        <v>-</v>
      </c>
      <c r="AB155" s="10" t="str">
        <f>[1]!KAFB1.222</f>
        <v>-</v>
      </c>
      <c r="AC155" s="10" t="str">
        <f>[1]!KAFB1.223</f>
        <v>-</v>
      </c>
      <c r="AD155" s="10" t="str">
        <f>[1]!KAFB1.224</f>
        <v>-</v>
      </c>
      <c r="AE155" s="10" t="str">
        <f>[1]!KAFB1.225</f>
        <v>-</v>
      </c>
      <c r="AF155" s="10" t="str">
        <f>[1]!KAFB1.231</f>
        <v>-</v>
      </c>
      <c r="AG155" s="10" t="str">
        <f>[1]!KAFB1.232</f>
        <v>-</v>
      </c>
      <c r="AH155" s="10" t="str">
        <f>[1]!KAFB1.233</f>
        <v>-</v>
      </c>
      <c r="AI155" s="10" t="str">
        <f>[1]!KAFB1.234</f>
        <v>-</v>
      </c>
      <c r="AJ155" s="10" t="str">
        <f>[1]!KAFB1.235</f>
        <v>-</v>
      </c>
    </row>
    <row r="156" spans="1:36" s="10" customFormat="1" x14ac:dyDescent="0.25">
      <c r="A156" s="10" t="str">
        <f>"KBFB1"</f>
        <v>KBFB1</v>
      </c>
      <c r="B156" s="10" t="e">
        <f>[1]!KBFB1.402</f>
        <v>#N/A</v>
      </c>
      <c r="C156" s="10">
        <f>[1]!KBFB1.123</f>
        <v>0</v>
      </c>
      <c r="D156" s="10">
        <f>[1]!KBFB1.124</f>
        <v>20878632</v>
      </c>
      <c r="E156" s="10" t="str">
        <f>[1]!KBFB1.125</f>
        <v xml:space="preserve"> </v>
      </c>
      <c r="F156" s="10">
        <f>[1]!KBFB1.128</f>
        <v>1212870150</v>
      </c>
      <c r="G156" s="10">
        <f>[1]!KBFB1.130</f>
        <v>20803788</v>
      </c>
      <c r="H156" s="10">
        <f>[1]!KBFB1.131</f>
        <v>20804690</v>
      </c>
      <c r="I156" s="10">
        <f>[1]!KBFB1.132</f>
        <v>10989732</v>
      </c>
      <c r="J156" s="10">
        <f>[1]!KBFB1.133</f>
        <v>2088371110</v>
      </c>
      <c r="K156" s="10" t="str">
        <f>[1]!KBFB1.135</f>
        <v xml:space="preserve"> -</v>
      </c>
      <c r="L156" s="10" t="str">
        <f>[1]!KBFB1.136</f>
        <v xml:space="preserve"> -</v>
      </c>
      <c r="M156" s="10" t="str">
        <f>[1]!KBFB1.437</f>
        <v xml:space="preserve"> -</v>
      </c>
      <c r="N156" s="10" t="str">
        <f>[1]!KBFB1.406</f>
        <v xml:space="preserve"> -</v>
      </c>
      <c r="O156" s="10" t="str">
        <f>[1]!KBFB1.407</f>
        <v xml:space="preserve"> -</v>
      </c>
      <c r="P156" s="10" t="str">
        <f>[1]!KBFB1.431</f>
        <v>-</v>
      </c>
      <c r="Q156" s="10" t="str">
        <f>[1]!KBFB1.201</f>
        <v xml:space="preserve"> -</v>
      </c>
      <c r="R156" s="10" t="str">
        <f>[1]!KBFB1.202</f>
        <v xml:space="preserve"> -</v>
      </c>
      <c r="S156" s="10" t="str">
        <f>[1]!KBFB1.203</f>
        <v xml:space="preserve"> -</v>
      </c>
      <c r="T156" s="10" t="str">
        <f>[1]!KBFB1.204</f>
        <v xml:space="preserve"> -</v>
      </c>
      <c r="U156" s="10" t="str">
        <f>[1]!KBFB1.205</f>
        <v xml:space="preserve"> -</v>
      </c>
      <c r="V156" s="10" t="str">
        <f>[1]!KBFB1.211</f>
        <v xml:space="preserve"> -</v>
      </c>
      <c r="W156" s="10" t="str">
        <f>[1]!KBFB1.212</f>
        <v xml:space="preserve"> -</v>
      </c>
      <c r="X156" s="10" t="str">
        <f>[1]!KBFB1.213</f>
        <v xml:space="preserve"> -</v>
      </c>
      <c r="Y156" s="10" t="str">
        <f>[1]!KBFB1.214</f>
        <v xml:space="preserve"> -</v>
      </c>
      <c r="Z156" s="10" t="str">
        <f>[1]!KBFB1.215</f>
        <v xml:space="preserve"> -</v>
      </c>
      <c r="AA156" s="10" t="str">
        <f>[1]!KBFB1.221</f>
        <v>-</v>
      </c>
      <c r="AB156" s="10" t="str">
        <f>[1]!KBFB1.222</f>
        <v>-</v>
      </c>
      <c r="AC156" s="10" t="str">
        <f>[1]!KBFB1.223</f>
        <v>-</v>
      </c>
      <c r="AD156" s="10" t="str">
        <f>[1]!KBFB1.224</f>
        <v>-</v>
      </c>
      <c r="AE156" s="10" t="str">
        <f>[1]!KBFB1.225</f>
        <v>-</v>
      </c>
      <c r="AF156" s="10" t="str">
        <f>[1]!KBFB1.231</f>
        <v>-</v>
      </c>
      <c r="AG156" s="10" t="str">
        <f>[1]!KBFB1.232</f>
        <v>-</v>
      </c>
      <c r="AH156" s="10" t="str">
        <f>[1]!KBFB1.233</f>
        <v>-</v>
      </c>
      <c r="AI156" s="10" t="str">
        <f>[1]!KBFB1.234</f>
        <v>-</v>
      </c>
      <c r="AJ156" s="10" t="str">
        <f>[1]!KBFB1.235</f>
        <v>-</v>
      </c>
    </row>
    <row r="157" spans="1:36" s="10" customFormat="1" x14ac:dyDescent="0.25">
      <c r="A157" s="10" t="str">
        <f>"MPFB1"</f>
        <v>MPFB1</v>
      </c>
      <c r="B157" s="10" t="str">
        <f>[1]!MPFB1.402</f>
        <v>不含金電</v>
      </c>
      <c r="C157" s="10">
        <f>[1]!MPFB1.123</f>
        <v>100150</v>
      </c>
      <c r="D157" s="10">
        <f>[1]!MPFB1.124</f>
        <v>13900.72</v>
      </c>
      <c r="E157" s="10">
        <f>[1]!MPFB1.125</f>
        <v>14.14</v>
      </c>
      <c r="F157" s="10">
        <f>[1]!MPFB1.128</f>
        <v>887</v>
      </c>
      <c r="G157" s="10">
        <f>[1]!MPFB1.130</f>
        <v>13893.03</v>
      </c>
      <c r="H157" s="10">
        <f>[1]!MPFB1.131</f>
        <v>13945.78</v>
      </c>
      <c r="I157" s="10">
        <f>[1]!MPFB1.132</f>
        <v>13875.82</v>
      </c>
      <c r="J157" s="10">
        <f>[1]!MPFB1.133</f>
        <v>873827</v>
      </c>
      <c r="K157" s="10" t="str">
        <f>[1]!MPFB1.135</f>
        <v xml:space="preserve"> -</v>
      </c>
      <c r="L157" s="10" t="str">
        <f>[1]!MPFB1.136</f>
        <v xml:space="preserve"> -</v>
      </c>
      <c r="M157" s="10" t="str">
        <f>[1]!MPFB1.437</f>
        <v xml:space="preserve"> -</v>
      </c>
      <c r="N157" s="10" t="str">
        <f>[1]!MPFB1.406</f>
        <v xml:space="preserve"> -</v>
      </c>
      <c r="O157" s="10" t="str">
        <f>[1]!MPFB1.407</f>
        <v xml:space="preserve"> -</v>
      </c>
      <c r="P157" s="10" t="str">
        <f>[1]!MPFB1.431</f>
        <v>-</v>
      </c>
      <c r="Q157" s="10" t="str">
        <f>[1]!MPFB1.201</f>
        <v xml:space="preserve"> -</v>
      </c>
      <c r="R157" s="10" t="str">
        <f>[1]!MPFB1.202</f>
        <v xml:space="preserve"> -</v>
      </c>
      <c r="S157" s="10" t="str">
        <f>[1]!MPFB1.203</f>
        <v xml:space="preserve"> -</v>
      </c>
      <c r="T157" s="10" t="str">
        <f>[1]!MPFB1.204</f>
        <v xml:space="preserve"> -</v>
      </c>
      <c r="U157" s="10" t="str">
        <f>[1]!MPFB1.205</f>
        <v xml:space="preserve"> -</v>
      </c>
      <c r="V157" s="10" t="str">
        <f>[1]!MPFB1.211</f>
        <v xml:space="preserve"> -</v>
      </c>
      <c r="W157" s="10" t="str">
        <f>[1]!MPFB1.212</f>
        <v xml:space="preserve"> -</v>
      </c>
      <c r="X157" s="10" t="str">
        <f>[1]!MPFB1.213</f>
        <v xml:space="preserve"> -</v>
      </c>
      <c r="Y157" s="10" t="str">
        <f>[1]!MPFB1.214</f>
        <v xml:space="preserve"> -</v>
      </c>
      <c r="Z157" s="10" t="str">
        <f>[1]!MPFB1.215</f>
        <v xml:space="preserve"> -</v>
      </c>
      <c r="AA157" s="10" t="str">
        <f>[1]!MPFB1.221</f>
        <v>-</v>
      </c>
      <c r="AB157" s="10" t="str">
        <f>[1]!MPFB1.222</f>
        <v>-</v>
      </c>
      <c r="AC157" s="10" t="str">
        <f>[1]!MPFB1.223</f>
        <v>-</v>
      </c>
      <c r="AD157" s="10" t="str">
        <f>[1]!MPFB1.224</f>
        <v>-</v>
      </c>
      <c r="AE157" s="10" t="str">
        <f>[1]!MPFB1.225</f>
        <v>-</v>
      </c>
      <c r="AF157" s="10" t="str">
        <f>[1]!MPFB1.231</f>
        <v>-</v>
      </c>
      <c r="AG157" s="10" t="str">
        <f>[1]!MPFB1.232</f>
        <v>-</v>
      </c>
      <c r="AH157" s="10" t="str">
        <f>[1]!MPFB1.233</f>
        <v>-</v>
      </c>
      <c r="AI157" s="10" t="str">
        <f>[1]!MPFB1.234</f>
        <v>-</v>
      </c>
      <c r="AJ157" s="10" t="str">
        <f>[1]!MPFB1.235</f>
        <v>-</v>
      </c>
    </row>
    <row r="158" spans="1:36" s="10" customFormat="1" x14ac:dyDescent="0.25">
      <c r="A158" s="10" t="str">
        <f>"KCFB1"</f>
        <v>KCFB1</v>
      </c>
      <c r="B158" s="10" t="str">
        <f>[1]!KCFB1.402</f>
        <v>加權指數</v>
      </c>
      <c r="C158" s="10">
        <f>[1]!KCFB1.123</f>
        <v>100140</v>
      </c>
      <c r="D158" s="10">
        <f>[1]!KCFB1.124</f>
        <v>16428.68</v>
      </c>
      <c r="E158" s="10">
        <f>[1]!KCFB1.125</f>
        <v>-14.72</v>
      </c>
      <c r="F158" s="10">
        <f>[1]!KCFB1.128</f>
        <v>2686</v>
      </c>
      <c r="G158" s="10">
        <f>[1]!KCFB1.130</f>
        <v>16329.54</v>
      </c>
      <c r="H158" s="10">
        <f>[1]!KCFB1.131</f>
        <v>16456.939999999999</v>
      </c>
      <c r="I158" s="10">
        <f>[1]!KCFB1.132</f>
        <v>16329.54</v>
      </c>
      <c r="J158" s="10">
        <f>[1]!KCFB1.133</f>
        <v>4022793</v>
      </c>
      <c r="K158" s="10" t="str">
        <f>[1]!KCFB1.135</f>
        <v xml:space="preserve"> -</v>
      </c>
      <c r="L158" s="10" t="str">
        <f>[1]!KCFB1.136</f>
        <v xml:space="preserve"> -</v>
      </c>
      <c r="M158" s="10" t="str">
        <f>[1]!KCFB1.437</f>
        <v xml:space="preserve"> -</v>
      </c>
      <c r="N158" s="10" t="str">
        <f>[1]!KCFB1.406</f>
        <v xml:space="preserve"> -</v>
      </c>
      <c r="O158" s="10" t="str">
        <f>[1]!KCFB1.407</f>
        <v xml:space="preserve"> -</v>
      </c>
      <c r="P158" s="10" t="str">
        <f>[1]!KCFB1.431</f>
        <v>-</v>
      </c>
      <c r="Q158" s="10" t="str">
        <f>[1]!KCFB1.201</f>
        <v xml:space="preserve"> -</v>
      </c>
      <c r="R158" s="10" t="str">
        <f>[1]!KCFB1.202</f>
        <v xml:space="preserve"> -</v>
      </c>
      <c r="S158" s="10" t="str">
        <f>[1]!KCFB1.203</f>
        <v xml:space="preserve"> -</v>
      </c>
      <c r="T158" s="10" t="str">
        <f>[1]!KCFB1.204</f>
        <v xml:space="preserve"> -</v>
      </c>
      <c r="U158" s="10" t="str">
        <f>[1]!KCFB1.205</f>
        <v xml:space="preserve"> -</v>
      </c>
      <c r="V158" s="10" t="str">
        <f>[1]!KCFB1.211</f>
        <v xml:space="preserve"> -</v>
      </c>
      <c r="W158" s="10" t="str">
        <f>[1]!KCFB1.212</f>
        <v xml:space="preserve"> -</v>
      </c>
      <c r="X158" s="10" t="str">
        <f>[1]!KCFB1.213</f>
        <v xml:space="preserve"> -</v>
      </c>
      <c r="Y158" s="10" t="str">
        <f>[1]!KCFB1.214</f>
        <v xml:space="preserve"> -</v>
      </c>
      <c r="Z158" s="10" t="str">
        <f>[1]!KCFB1.215</f>
        <v xml:space="preserve"> -</v>
      </c>
      <c r="AA158" s="10" t="str">
        <f>[1]!KCFB1.221</f>
        <v>-</v>
      </c>
      <c r="AB158" s="10" t="str">
        <f>[1]!KCFB1.222</f>
        <v>-</v>
      </c>
      <c r="AC158" s="10" t="str">
        <f>[1]!KCFB1.223</f>
        <v>-</v>
      </c>
      <c r="AD158" s="10" t="str">
        <f>[1]!KCFB1.224</f>
        <v>-</v>
      </c>
      <c r="AE158" s="10" t="str">
        <f>[1]!KCFB1.225</f>
        <v>-</v>
      </c>
      <c r="AF158" s="10" t="str">
        <f>[1]!KCFB1.231</f>
        <v>-</v>
      </c>
      <c r="AG158" s="10" t="str">
        <f>[1]!KCFB1.232</f>
        <v>-</v>
      </c>
      <c r="AH158" s="10" t="str">
        <f>[1]!KCFB1.233</f>
        <v>-</v>
      </c>
      <c r="AI158" s="10" t="str">
        <f>[1]!KCFB1.234</f>
        <v>-</v>
      </c>
      <c r="AJ158" s="10" t="str">
        <f>[1]!KCFB1.235</f>
        <v>-</v>
      </c>
    </row>
    <row r="159" spans="1:36" s="10" customFormat="1" x14ac:dyDescent="0.25">
      <c r="A159" s="10" t="str">
        <f>"MQFB1"</f>
        <v>MQFB1</v>
      </c>
      <c r="B159" s="10" t="str">
        <f>[1]!MQFB1.402</f>
        <v>加權指數</v>
      </c>
      <c r="C159" s="10">
        <f>[1]!MQFB1.123</f>
        <v>100150</v>
      </c>
      <c r="D159" s="10">
        <f>[1]!MQFB1.124</f>
        <v>16421.62</v>
      </c>
      <c r="E159" s="10">
        <f>[1]!MQFB1.125</f>
        <v>-21.78</v>
      </c>
      <c r="F159" s="10">
        <f>[1]!MQFB1.128</f>
        <v>2439</v>
      </c>
      <c r="G159" s="10">
        <f>[1]!MQFB1.130</f>
        <v>16329.54</v>
      </c>
      <c r="H159" s="10">
        <f>[1]!MQFB1.131</f>
        <v>16456.939999999999</v>
      </c>
      <c r="I159" s="10">
        <f>[1]!MQFB1.132</f>
        <v>16329.54</v>
      </c>
      <c r="J159" s="10">
        <f>[1]!MQFB1.133</f>
        <v>4027056</v>
      </c>
      <c r="K159" s="10" t="str">
        <f>[1]!MQFB1.135</f>
        <v xml:space="preserve"> -</v>
      </c>
      <c r="L159" s="10" t="str">
        <f>[1]!MQFB1.136</f>
        <v xml:space="preserve"> -</v>
      </c>
      <c r="M159" s="10" t="str">
        <f>[1]!MQFB1.437</f>
        <v xml:space="preserve"> -</v>
      </c>
      <c r="N159" s="10" t="str">
        <f>[1]!MQFB1.406</f>
        <v xml:space="preserve"> -</v>
      </c>
      <c r="O159" s="10" t="str">
        <f>[1]!MQFB1.407</f>
        <v xml:space="preserve"> -</v>
      </c>
      <c r="P159" s="10" t="str">
        <f>[1]!MQFB1.431</f>
        <v>-</v>
      </c>
      <c r="Q159" s="10" t="str">
        <f>[1]!MQFB1.201</f>
        <v xml:space="preserve"> -</v>
      </c>
      <c r="R159" s="10" t="str">
        <f>[1]!MQFB1.202</f>
        <v xml:space="preserve"> -</v>
      </c>
      <c r="S159" s="10" t="str">
        <f>[1]!MQFB1.203</f>
        <v xml:space="preserve"> -</v>
      </c>
      <c r="T159" s="10" t="str">
        <f>[1]!MQFB1.204</f>
        <v xml:space="preserve"> -</v>
      </c>
      <c r="U159" s="10" t="str">
        <f>[1]!MQFB1.205</f>
        <v xml:space="preserve"> -</v>
      </c>
      <c r="V159" s="10" t="str">
        <f>[1]!MQFB1.211</f>
        <v xml:space="preserve"> -</v>
      </c>
      <c r="W159" s="10" t="str">
        <f>[1]!MQFB1.212</f>
        <v xml:space="preserve"> -</v>
      </c>
      <c r="X159" s="10" t="str">
        <f>[1]!MQFB1.213</f>
        <v xml:space="preserve"> -</v>
      </c>
      <c r="Y159" s="10" t="str">
        <f>[1]!MQFB1.214</f>
        <v xml:space="preserve"> -</v>
      </c>
      <c r="Z159" s="10" t="str">
        <f>[1]!MQFB1.215</f>
        <v xml:space="preserve"> -</v>
      </c>
      <c r="AA159" s="10" t="str">
        <f>[1]!MQFB1.221</f>
        <v>-</v>
      </c>
      <c r="AB159" s="10" t="str">
        <f>[1]!MQFB1.222</f>
        <v>-</v>
      </c>
      <c r="AC159" s="10" t="str">
        <f>[1]!MQFB1.223</f>
        <v>-</v>
      </c>
      <c r="AD159" s="10" t="str">
        <f>[1]!MQFB1.224</f>
        <v>-</v>
      </c>
      <c r="AE159" s="10" t="str">
        <f>[1]!MQFB1.225</f>
        <v>-</v>
      </c>
      <c r="AF159" s="10" t="str">
        <f>[1]!MQFB1.231</f>
        <v>-</v>
      </c>
      <c r="AG159" s="10" t="str">
        <f>[1]!MQFB1.232</f>
        <v>-</v>
      </c>
      <c r="AH159" s="10" t="str">
        <f>[1]!MQFB1.233</f>
        <v>-</v>
      </c>
      <c r="AI159" s="10" t="str">
        <f>[1]!MQFB1.234</f>
        <v>-</v>
      </c>
      <c r="AJ159" s="10" t="str">
        <f>[1]!MQFB1.235</f>
        <v>-</v>
      </c>
    </row>
    <row r="160" spans="1:36" s="10" customFormat="1" x14ac:dyDescent="0.25">
      <c r="A160" s="10" t="str">
        <f>"LIFB1"</f>
        <v>LIFB1</v>
      </c>
      <c r="B160" s="10" t="str">
        <f>[1]!LIFB1.402</f>
        <v>不含金電</v>
      </c>
      <c r="C160" s="10">
        <f>[1]!LIFB1.123</f>
        <v>100135</v>
      </c>
      <c r="D160" s="10">
        <f>[1]!LIFB1.124</f>
        <v>13893.65</v>
      </c>
      <c r="E160" s="10">
        <f>[1]!LIFB1.125</f>
        <v>7.07</v>
      </c>
      <c r="F160" s="10">
        <f>[1]!LIFB1.128</f>
        <v>611</v>
      </c>
      <c r="G160" s="10">
        <f>[1]!LIFB1.130</f>
        <v>13893.03</v>
      </c>
      <c r="H160" s="10">
        <f>[1]!LIFB1.131</f>
        <v>13945.78</v>
      </c>
      <c r="I160" s="10">
        <f>[1]!LIFB1.132</f>
        <v>13875.82</v>
      </c>
      <c r="J160" s="10">
        <f>[1]!LIFB1.133</f>
        <v>871785</v>
      </c>
      <c r="K160" s="10" t="str">
        <f>[1]!LIFB1.135</f>
        <v xml:space="preserve"> -</v>
      </c>
      <c r="L160" s="10" t="str">
        <f>[1]!LIFB1.136</f>
        <v xml:space="preserve"> -</v>
      </c>
      <c r="M160" s="10" t="str">
        <f>[1]!LIFB1.437</f>
        <v xml:space="preserve"> -</v>
      </c>
      <c r="N160" s="10" t="str">
        <f>[1]!LIFB1.406</f>
        <v xml:space="preserve"> -</v>
      </c>
      <c r="O160" s="10" t="str">
        <f>[1]!LIFB1.407</f>
        <v xml:space="preserve"> -</v>
      </c>
      <c r="P160" s="10" t="str">
        <f>[1]!LIFB1.431</f>
        <v>-</v>
      </c>
      <c r="Q160" s="10" t="str">
        <f>[1]!LIFB1.201</f>
        <v xml:space="preserve"> -</v>
      </c>
      <c r="R160" s="10" t="str">
        <f>[1]!LIFB1.202</f>
        <v xml:space="preserve"> -</v>
      </c>
      <c r="S160" s="10" t="str">
        <f>[1]!LIFB1.203</f>
        <v xml:space="preserve"> -</v>
      </c>
      <c r="T160" s="10" t="str">
        <f>[1]!LIFB1.204</f>
        <v xml:space="preserve"> -</v>
      </c>
      <c r="U160" s="10" t="str">
        <f>[1]!LIFB1.205</f>
        <v xml:space="preserve"> -</v>
      </c>
      <c r="V160" s="10" t="str">
        <f>[1]!LIFB1.211</f>
        <v xml:space="preserve"> -</v>
      </c>
      <c r="W160" s="10" t="str">
        <f>[1]!LIFB1.212</f>
        <v xml:space="preserve"> -</v>
      </c>
      <c r="X160" s="10" t="str">
        <f>[1]!LIFB1.213</f>
        <v xml:space="preserve"> -</v>
      </c>
      <c r="Y160" s="10" t="str">
        <f>[1]!LIFB1.214</f>
        <v xml:space="preserve"> -</v>
      </c>
      <c r="Z160" s="10" t="str">
        <f>[1]!LIFB1.215</f>
        <v xml:space="preserve"> -</v>
      </c>
      <c r="AA160" s="10" t="str">
        <f>[1]!LIFB1.221</f>
        <v>-</v>
      </c>
      <c r="AB160" s="10" t="str">
        <f>[1]!LIFB1.222</f>
        <v>-</v>
      </c>
      <c r="AC160" s="10" t="str">
        <f>[1]!LIFB1.223</f>
        <v>-</v>
      </c>
      <c r="AD160" s="10" t="str">
        <f>[1]!LIFB1.224</f>
        <v>-</v>
      </c>
      <c r="AE160" s="10" t="str">
        <f>[1]!LIFB1.225</f>
        <v>-</v>
      </c>
      <c r="AF160" s="10" t="str">
        <f>[1]!LIFB1.231</f>
        <v>-</v>
      </c>
      <c r="AG160" s="10" t="str">
        <f>[1]!LIFB1.232</f>
        <v>-</v>
      </c>
      <c r="AH160" s="10" t="str">
        <f>[1]!LIFB1.233</f>
        <v>-</v>
      </c>
      <c r="AI160" s="10" t="str">
        <f>[1]!LIFB1.234</f>
        <v>-</v>
      </c>
      <c r="AJ160" s="10" t="str">
        <f>[1]!LIFB1.235</f>
        <v>-</v>
      </c>
    </row>
    <row r="161" spans="1:36" s="10" customFormat="1" x14ac:dyDescent="0.25">
      <c r="A161" s="10" t="str">
        <f>"KDFB1"</f>
        <v>KDFB1</v>
      </c>
      <c r="B161" s="10" t="str">
        <f>[1]!KDFB1.402</f>
        <v>不含金電</v>
      </c>
      <c r="C161" s="10">
        <f>[1]!KDFB1.123</f>
        <v>100140</v>
      </c>
      <c r="D161" s="10">
        <f>[1]!KDFB1.124</f>
        <v>13893.18</v>
      </c>
      <c r="E161" s="10">
        <f>[1]!KDFB1.125</f>
        <v>6.6</v>
      </c>
      <c r="F161" s="10">
        <f>[1]!KDFB1.128</f>
        <v>720</v>
      </c>
      <c r="G161" s="10">
        <f>[1]!KDFB1.130</f>
        <v>13893.03</v>
      </c>
      <c r="H161" s="10">
        <f>[1]!KDFB1.131</f>
        <v>13945.78</v>
      </c>
      <c r="I161" s="10">
        <f>[1]!KDFB1.132</f>
        <v>13875.82</v>
      </c>
      <c r="J161" s="10">
        <f>[1]!KDFB1.133</f>
        <v>872505</v>
      </c>
      <c r="K161" s="10" t="str">
        <f>[1]!KDFB1.135</f>
        <v xml:space="preserve"> -</v>
      </c>
      <c r="L161" s="10" t="str">
        <f>[1]!KDFB1.136</f>
        <v xml:space="preserve"> -</v>
      </c>
      <c r="M161" s="10" t="str">
        <f>[1]!KDFB1.437</f>
        <v xml:space="preserve"> -</v>
      </c>
      <c r="N161" s="10" t="str">
        <f>[1]!KDFB1.406</f>
        <v xml:space="preserve"> -</v>
      </c>
      <c r="O161" s="10" t="str">
        <f>[1]!KDFB1.407</f>
        <v xml:space="preserve"> -</v>
      </c>
      <c r="P161" s="10" t="str">
        <f>[1]!KDFB1.431</f>
        <v>-</v>
      </c>
      <c r="Q161" s="10" t="str">
        <f>[1]!KDFB1.201</f>
        <v xml:space="preserve"> -</v>
      </c>
      <c r="R161" s="10" t="str">
        <f>[1]!KDFB1.202</f>
        <v xml:space="preserve"> -</v>
      </c>
      <c r="S161" s="10" t="str">
        <f>[1]!KDFB1.203</f>
        <v xml:space="preserve"> -</v>
      </c>
      <c r="T161" s="10" t="str">
        <f>[1]!KDFB1.204</f>
        <v xml:space="preserve"> -</v>
      </c>
      <c r="U161" s="10" t="str">
        <f>[1]!KDFB1.205</f>
        <v xml:space="preserve"> -</v>
      </c>
      <c r="V161" s="10" t="str">
        <f>[1]!KDFB1.211</f>
        <v xml:space="preserve"> -</v>
      </c>
      <c r="W161" s="10" t="str">
        <f>[1]!KDFB1.212</f>
        <v xml:space="preserve"> -</v>
      </c>
      <c r="X161" s="10" t="str">
        <f>[1]!KDFB1.213</f>
        <v xml:space="preserve"> -</v>
      </c>
      <c r="Y161" s="10" t="str">
        <f>[1]!KDFB1.214</f>
        <v xml:space="preserve"> -</v>
      </c>
      <c r="Z161" s="10" t="str">
        <f>[1]!KDFB1.215</f>
        <v xml:space="preserve"> -</v>
      </c>
      <c r="AA161" s="10" t="str">
        <f>[1]!KDFB1.221</f>
        <v>-</v>
      </c>
      <c r="AB161" s="10" t="str">
        <f>[1]!KDFB1.222</f>
        <v>-</v>
      </c>
      <c r="AC161" s="10" t="str">
        <f>[1]!KDFB1.223</f>
        <v>-</v>
      </c>
      <c r="AD161" s="10" t="str">
        <f>[1]!KDFB1.224</f>
        <v>-</v>
      </c>
      <c r="AE161" s="10" t="str">
        <f>[1]!KDFB1.225</f>
        <v>-</v>
      </c>
      <c r="AF161" s="10" t="str">
        <f>[1]!KDFB1.231</f>
        <v>-</v>
      </c>
      <c r="AG161" s="10" t="str">
        <f>[1]!KDFB1.232</f>
        <v>-</v>
      </c>
      <c r="AH161" s="10" t="str">
        <f>[1]!KDFB1.233</f>
        <v>-</v>
      </c>
      <c r="AI161" s="10" t="str">
        <f>[1]!KDFB1.234</f>
        <v>-</v>
      </c>
      <c r="AJ161" s="10" t="str">
        <f>[1]!KDFB1.235</f>
        <v>-</v>
      </c>
    </row>
    <row r="162" spans="1:36" s="10" customFormat="1" x14ac:dyDescent="0.25">
      <c r="A162" s="10" t="str">
        <f>"KEFB1"</f>
        <v>KEFB1</v>
      </c>
      <c r="B162" s="10" t="str">
        <f>[1]!KEFB1.402</f>
        <v>加權指數</v>
      </c>
      <c r="C162" s="10">
        <f>[1]!KEFB1.123</f>
        <v>100140</v>
      </c>
      <c r="D162" s="10">
        <f>[1]!KEFB1.124</f>
        <v>16428.68</v>
      </c>
      <c r="E162" s="10">
        <f>[1]!KEFB1.125</f>
        <v>-14.72</v>
      </c>
      <c r="F162" s="10">
        <f>[1]!KEFB1.128</f>
        <v>2686</v>
      </c>
      <c r="G162" s="10">
        <f>[1]!KEFB1.130</f>
        <v>16329.54</v>
      </c>
      <c r="H162" s="10">
        <f>[1]!KEFB1.131</f>
        <v>16456.939999999999</v>
      </c>
      <c r="I162" s="10">
        <f>[1]!KEFB1.132</f>
        <v>16329.54</v>
      </c>
      <c r="J162" s="10">
        <f>[1]!KEFB1.133</f>
        <v>4022793</v>
      </c>
      <c r="K162" s="10" t="str">
        <f>[1]!KEFB1.135</f>
        <v xml:space="preserve"> -</v>
      </c>
      <c r="L162" s="10" t="str">
        <f>[1]!KEFB1.136</f>
        <v xml:space="preserve"> -</v>
      </c>
      <c r="M162" s="10" t="str">
        <f>[1]!KEFB1.437</f>
        <v xml:space="preserve"> -</v>
      </c>
      <c r="N162" s="10" t="str">
        <f>[1]!KEFB1.406</f>
        <v xml:space="preserve"> -</v>
      </c>
      <c r="O162" s="10" t="str">
        <f>[1]!KEFB1.407</f>
        <v xml:space="preserve"> -</v>
      </c>
      <c r="P162" s="10" t="str">
        <f>[1]!KEFB1.431</f>
        <v>-</v>
      </c>
      <c r="Q162" s="10" t="str">
        <f>[1]!KEFB1.201</f>
        <v xml:space="preserve"> -</v>
      </c>
      <c r="R162" s="10" t="str">
        <f>[1]!KEFB1.202</f>
        <v xml:space="preserve"> -</v>
      </c>
      <c r="S162" s="10" t="str">
        <f>[1]!KEFB1.203</f>
        <v xml:space="preserve"> -</v>
      </c>
      <c r="T162" s="10" t="str">
        <f>[1]!KEFB1.204</f>
        <v xml:space="preserve"> -</v>
      </c>
      <c r="U162" s="10" t="str">
        <f>[1]!KEFB1.205</f>
        <v xml:space="preserve"> -</v>
      </c>
      <c r="V162" s="10" t="str">
        <f>[1]!KEFB1.211</f>
        <v xml:space="preserve"> -</v>
      </c>
      <c r="W162" s="10" t="str">
        <f>[1]!KEFB1.212</f>
        <v xml:space="preserve"> -</v>
      </c>
      <c r="X162" s="10" t="str">
        <f>[1]!KEFB1.213</f>
        <v xml:space="preserve"> -</v>
      </c>
      <c r="Y162" s="10" t="str">
        <f>[1]!KEFB1.214</f>
        <v xml:space="preserve"> -</v>
      </c>
      <c r="Z162" s="10" t="str">
        <f>[1]!KEFB1.215</f>
        <v xml:space="preserve"> -</v>
      </c>
      <c r="AA162" s="10" t="str">
        <f>[1]!KEFB1.221</f>
        <v>-</v>
      </c>
      <c r="AB162" s="10" t="str">
        <f>[1]!KEFB1.222</f>
        <v>-</v>
      </c>
      <c r="AC162" s="10" t="str">
        <f>[1]!KEFB1.223</f>
        <v>-</v>
      </c>
      <c r="AD162" s="10" t="str">
        <f>[1]!KEFB1.224</f>
        <v>-</v>
      </c>
      <c r="AE162" s="10" t="str">
        <f>[1]!KEFB1.225</f>
        <v>-</v>
      </c>
      <c r="AF162" s="10" t="str">
        <f>[1]!KEFB1.231</f>
        <v>-</v>
      </c>
      <c r="AG162" s="10" t="str">
        <f>[1]!KEFB1.232</f>
        <v>-</v>
      </c>
      <c r="AH162" s="10" t="str">
        <f>[1]!KEFB1.233</f>
        <v>-</v>
      </c>
      <c r="AI162" s="10" t="str">
        <f>[1]!KEFB1.234</f>
        <v>-</v>
      </c>
      <c r="AJ162" s="10" t="str">
        <f>[1]!KEFB1.235</f>
        <v>-</v>
      </c>
    </row>
    <row r="163" spans="1:36" s="10" customFormat="1" x14ac:dyDescent="0.25">
      <c r="A163" s="10" t="str">
        <f>"KFFB1"</f>
        <v>KFFB1</v>
      </c>
      <c r="B163" s="10" t="str">
        <f>[1]!KFFB1.402</f>
        <v>加權指數</v>
      </c>
      <c r="C163" s="10">
        <f>[1]!KFFB1.123</f>
        <v>100140</v>
      </c>
      <c r="D163" s="10">
        <f>[1]!KFFB1.124</f>
        <v>16428.68</v>
      </c>
      <c r="E163" s="10">
        <f>[1]!KFFB1.125</f>
        <v>-14.72</v>
      </c>
      <c r="F163" s="10">
        <f>[1]!KFFB1.128</f>
        <v>2686</v>
      </c>
      <c r="G163" s="10">
        <f>[1]!KFFB1.130</f>
        <v>16329.54</v>
      </c>
      <c r="H163" s="10">
        <f>[1]!KFFB1.131</f>
        <v>16456.939999999999</v>
      </c>
      <c r="I163" s="10">
        <f>[1]!KFFB1.132</f>
        <v>16329.54</v>
      </c>
      <c r="J163" s="10">
        <f>[1]!KFFB1.133</f>
        <v>4022793</v>
      </c>
      <c r="K163" s="10" t="str">
        <f>[1]!KFFB1.135</f>
        <v xml:space="preserve"> -</v>
      </c>
      <c r="L163" s="10" t="str">
        <f>[1]!KFFB1.136</f>
        <v xml:space="preserve"> -</v>
      </c>
      <c r="M163" s="10" t="str">
        <f>[1]!KFFB1.437</f>
        <v xml:space="preserve"> -</v>
      </c>
      <c r="N163" s="10" t="str">
        <f>[1]!KFFB1.406</f>
        <v xml:space="preserve"> -</v>
      </c>
      <c r="O163" s="10" t="str">
        <f>[1]!KFFB1.407</f>
        <v xml:space="preserve"> -</v>
      </c>
      <c r="P163" s="10" t="str">
        <f>[1]!KFFB1.431</f>
        <v>-</v>
      </c>
      <c r="Q163" s="10" t="str">
        <f>[1]!KFFB1.201</f>
        <v xml:space="preserve"> -</v>
      </c>
      <c r="R163" s="10" t="str">
        <f>[1]!KFFB1.202</f>
        <v xml:space="preserve"> -</v>
      </c>
      <c r="S163" s="10" t="str">
        <f>[1]!KFFB1.203</f>
        <v xml:space="preserve"> -</v>
      </c>
      <c r="T163" s="10" t="str">
        <f>[1]!KFFB1.204</f>
        <v xml:space="preserve"> -</v>
      </c>
      <c r="U163" s="10" t="str">
        <f>[1]!KFFB1.205</f>
        <v xml:space="preserve"> -</v>
      </c>
      <c r="V163" s="10" t="str">
        <f>[1]!KFFB1.211</f>
        <v xml:space="preserve"> -</v>
      </c>
      <c r="W163" s="10" t="str">
        <f>[1]!KFFB1.212</f>
        <v xml:space="preserve"> -</v>
      </c>
      <c r="X163" s="10" t="str">
        <f>[1]!KFFB1.213</f>
        <v xml:space="preserve"> -</v>
      </c>
      <c r="Y163" s="10" t="str">
        <f>[1]!KFFB1.214</f>
        <v xml:space="preserve"> -</v>
      </c>
      <c r="Z163" s="10" t="str">
        <f>[1]!KFFB1.215</f>
        <v xml:space="preserve"> -</v>
      </c>
      <c r="AA163" s="10" t="str">
        <f>[1]!KFFB1.221</f>
        <v>-</v>
      </c>
      <c r="AB163" s="10" t="str">
        <f>[1]!KFFB1.222</f>
        <v>-</v>
      </c>
      <c r="AC163" s="10" t="str">
        <f>[1]!KFFB1.223</f>
        <v>-</v>
      </c>
      <c r="AD163" s="10" t="str">
        <f>[1]!KFFB1.224</f>
        <v>-</v>
      </c>
      <c r="AE163" s="10" t="str">
        <f>[1]!KFFB1.225</f>
        <v>-</v>
      </c>
      <c r="AF163" s="10" t="str">
        <f>[1]!KFFB1.231</f>
        <v>-</v>
      </c>
      <c r="AG163" s="10" t="str">
        <f>[1]!KFFB1.232</f>
        <v>-</v>
      </c>
      <c r="AH163" s="10" t="str">
        <f>[1]!KFFB1.233</f>
        <v>-</v>
      </c>
      <c r="AI163" s="10" t="str">
        <f>[1]!KFFB1.234</f>
        <v>-</v>
      </c>
      <c r="AJ163" s="10" t="str">
        <f>[1]!KFFB1.235</f>
        <v>-</v>
      </c>
    </row>
    <row r="164" spans="1:36" s="10" customFormat="1" x14ac:dyDescent="0.25">
      <c r="A164" s="10" t="str">
        <f>"KGFB1"</f>
        <v>KGFB1</v>
      </c>
      <c r="B164" s="10" t="str">
        <f>[1]!KGFB1.402</f>
        <v>加權指數</v>
      </c>
      <c r="C164" s="10">
        <f>[1]!KGFB1.123</f>
        <v>100135</v>
      </c>
      <c r="D164" s="10">
        <f>[1]!KGFB1.124</f>
        <v>16424.64</v>
      </c>
      <c r="E164" s="10">
        <f>[1]!KGFB1.125</f>
        <v>-18.760000000000002</v>
      </c>
      <c r="F164" s="10">
        <f>[1]!KGFB1.128</f>
        <v>1648</v>
      </c>
      <c r="G164" s="10">
        <f>[1]!KGFB1.130</f>
        <v>16329.54</v>
      </c>
      <c r="H164" s="10">
        <f>[1]!KGFB1.131</f>
        <v>16456.939999999999</v>
      </c>
      <c r="I164" s="10">
        <f>[1]!KGFB1.132</f>
        <v>16329.54</v>
      </c>
      <c r="J164" s="10">
        <f>[1]!KGFB1.133</f>
        <v>4020107</v>
      </c>
      <c r="K164" s="10" t="str">
        <f>[1]!KGFB1.135</f>
        <v xml:space="preserve"> -</v>
      </c>
      <c r="L164" s="10" t="str">
        <f>[1]!KGFB1.136</f>
        <v xml:space="preserve"> -</v>
      </c>
      <c r="M164" s="10" t="str">
        <f>[1]!KGFB1.437</f>
        <v xml:space="preserve"> -</v>
      </c>
      <c r="N164" s="10" t="str">
        <f>[1]!KGFB1.406</f>
        <v xml:space="preserve"> -</v>
      </c>
      <c r="O164" s="10" t="str">
        <f>[1]!KGFB1.407</f>
        <v xml:space="preserve"> -</v>
      </c>
      <c r="P164" s="10" t="str">
        <f>[1]!KGFB1.431</f>
        <v>-</v>
      </c>
      <c r="Q164" s="10" t="str">
        <f>[1]!KGFB1.201</f>
        <v xml:space="preserve"> -</v>
      </c>
      <c r="R164" s="10" t="str">
        <f>[1]!KGFB1.202</f>
        <v xml:space="preserve"> -</v>
      </c>
      <c r="S164" s="10" t="str">
        <f>[1]!KGFB1.203</f>
        <v xml:space="preserve"> -</v>
      </c>
      <c r="T164" s="10" t="str">
        <f>[1]!KGFB1.204</f>
        <v xml:space="preserve"> -</v>
      </c>
      <c r="U164" s="10" t="str">
        <f>[1]!KGFB1.205</f>
        <v xml:space="preserve"> -</v>
      </c>
      <c r="V164" s="10" t="str">
        <f>[1]!KGFB1.211</f>
        <v xml:space="preserve"> -</v>
      </c>
      <c r="W164" s="10" t="str">
        <f>[1]!KGFB1.212</f>
        <v xml:space="preserve"> -</v>
      </c>
      <c r="X164" s="10" t="str">
        <f>[1]!KGFB1.213</f>
        <v xml:space="preserve"> -</v>
      </c>
      <c r="Y164" s="10" t="str">
        <f>[1]!KGFB1.214</f>
        <v xml:space="preserve"> -</v>
      </c>
      <c r="Z164" s="10" t="str">
        <f>[1]!KGFB1.215</f>
        <v xml:space="preserve"> -</v>
      </c>
      <c r="AA164" s="10" t="str">
        <f>[1]!KGFB1.221</f>
        <v>-</v>
      </c>
      <c r="AB164" s="10" t="str">
        <f>[1]!KGFB1.222</f>
        <v>-</v>
      </c>
      <c r="AC164" s="10" t="str">
        <f>[1]!KGFB1.223</f>
        <v>-</v>
      </c>
      <c r="AD164" s="10" t="str">
        <f>[1]!KGFB1.224</f>
        <v>-</v>
      </c>
      <c r="AE164" s="10" t="str">
        <f>[1]!KGFB1.225</f>
        <v>-</v>
      </c>
      <c r="AF164" s="10" t="str">
        <f>[1]!KGFB1.231</f>
        <v>-</v>
      </c>
      <c r="AG164" s="10" t="str">
        <f>[1]!KGFB1.232</f>
        <v>-</v>
      </c>
      <c r="AH164" s="10" t="str">
        <f>[1]!KGFB1.233</f>
        <v>-</v>
      </c>
      <c r="AI164" s="10" t="str">
        <f>[1]!KGFB1.234</f>
        <v>-</v>
      </c>
      <c r="AJ164" s="10" t="str">
        <f>[1]!KGFB1.235</f>
        <v>-</v>
      </c>
    </row>
    <row r="165" spans="1:36" s="10" customFormat="1" x14ac:dyDescent="0.25">
      <c r="A165" s="10" t="str">
        <f>"OQFB1"</f>
        <v>OQFB1</v>
      </c>
      <c r="B165" s="10" t="e">
        <f>[1]!OQFB1.402</f>
        <v>#N/A</v>
      </c>
      <c r="C165" s="10">
        <f>[1]!OQFB1.123</f>
        <v>0</v>
      </c>
      <c r="D165" s="10">
        <f>[1]!OQFB1.124</f>
        <v>20878632</v>
      </c>
      <c r="E165" s="10" t="str">
        <f>[1]!OQFB1.125</f>
        <v xml:space="preserve"> </v>
      </c>
      <c r="F165" s="10">
        <f>[1]!OQFB1.128</f>
        <v>1212870150</v>
      </c>
      <c r="G165" s="10">
        <f>[1]!OQFB1.130</f>
        <v>20803788</v>
      </c>
      <c r="H165" s="10">
        <f>[1]!OQFB1.131</f>
        <v>20804690</v>
      </c>
      <c r="I165" s="10">
        <f>[1]!OQFB1.132</f>
        <v>10989732</v>
      </c>
      <c r="J165" s="10">
        <f>[1]!OQFB1.133</f>
        <v>2088371110</v>
      </c>
      <c r="K165" s="10" t="str">
        <f>[1]!OQFB1.135</f>
        <v xml:space="preserve"> -</v>
      </c>
      <c r="L165" s="10" t="str">
        <f>[1]!OQFB1.136</f>
        <v xml:space="preserve"> -</v>
      </c>
      <c r="M165" s="10" t="str">
        <f>[1]!OQFB1.437</f>
        <v xml:space="preserve"> -</v>
      </c>
      <c r="N165" s="10" t="str">
        <f>[1]!OQFB1.406</f>
        <v xml:space="preserve"> -</v>
      </c>
      <c r="O165" s="10" t="str">
        <f>[1]!OQFB1.407</f>
        <v xml:space="preserve"> -</v>
      </c>
      <c r="P165" s="10" t="str">
        <f>[1]!OQFB1.431</f>
        <v>-</v>
      </c>
      <c r="Q165" s="10" t="str">
        <f>[1]!OQFB1.201</f>
        <v xml:space="preserve"> -</v>
      </c>
      <c r="R165" s="10" t="str">
        <f>[1]!OQFB1.202</f>
        <v xml:space="preserve"> -</v>
      </c>
      <c r="S165" s="10" t="str">
        <f>[1]!OQFB1.203</f>
        <v xml:space="preserve"> -</v>
      </c>
      <c r="T165" s="10" t="str">
        <f>[1]!OQFB1.204</f>
        <v xml:space="preserve"> -</v>
      </c>
      <c r="U165" s="10" t="str">
        <f>[1]!OQFB1.205</f>
        <v xml:space="preserve"> -</v>
      </c>
      <c r="V165" s="10" t="str">
        <f>[1]!OQFB1.211</f>
        <v xml:space="preserve"> -</v>
      </c>
      <c r="W165" s="10" t="str">
        <f>[1]!OQFB1.212</f>
        <v xml:space="preserve"> -</v>
      </c>
      <c r="X165" s="10" t="str">
        <f>[1]!OQFB1.213</f>
        <v xml:space="preserve"> -</v>
      </c>
      <c r="Y165" s="10" t="str">
        <f>[1]!OQFB1.214</f>
        <v xml:space="preserve"> -</v>
      </c>
      <c r="Z165" s="10" t="str">
        <f>[1]!OQFB1.215</f>
        <v xml:space="preserve"> -</v>
      </c>
      <c r="AA165" s="10" t="str">
        <f>[1]!OQFB1.221</f>
        <v>-</v>
      </c>
      <c r="AB165" s="10" t="str">
        <f>[1]!OQFB1.222</f>
        <v>-</v>
      </c>
      <c r="AC165" s="10" t="str">
        <f>[1]!OQFB1.223</f>
        <v>-</v>
      </c>
      <c r="AD165" s="10" t="str">
        <f>[1]!OQFB1.224</f>
        <v>-</v>
      </c>
      <c r="AE165" s="10" t="str">
        <f>[1]!OQFB1.225</f>
        <v>-</v>
      </c>
      <c r="AF165" s="10" t="str">
        <f>[1]!OQFB1.231</f>
        <v>-</v>
      </c>
      <c r="AG165" s="10" t="str">
        <f>[1]!OQFB1.232</f>
        <v>-</v>
      </c>
      <c r="AH165" s="10" t="str">
        <f>[1]!OQFB1.233</f>
        <v>-</v>
      </c>
      <c r="AI165" s="10" t="str">
        <f>[1]!OQFB1.234</f>
        <v>-</v>
      </c>
      <c r="AJ165" s="10" t="str">
        <f>[1]!OQFB1.235</f>
        <v>-</v>
      </c>
    </row>
    <row r="166" spans="1:36" s="10" customFormat="1" x14ac:dyDescent="0.25">
      <c r="A166" s="10" t="str">
        <f>"PWFB1"</f>
        <v>PWFB1</v>
      </c>
      <c r="B166" s="10" t="str">
        <f>[1]!PWFB1.402</f>
        <v>加權指數</v>
      </c>
      <c r="C166" s="10">
        <f>[1]!PWFB1.123</f>
        <v>100145</v>
      </c>
      <c r="D166" s="10">
        <f>[1]!PWFB1.124</f>
        <v>16422.560000000001</v>
      </c>
      <c r="E166" s="10">
        <f>[1]!PWFB1.125</f>
        <v>-20.84</v>
      </c>
      <c r="F166" s="10">
        <f>[1]!PWFB1.128</f>
        <v>1824</v>
      </c>
      <c r="G166" s="10">
        <f>[1]!PWFB1.130</f>
        <v>16329.54</v>
      </c>
      <c r="H166" s="10">
        <f>[1]!PWFB1.131</f>
        <v>16456.939999999999</v>
      </c>
      <c r="I166" s="10">
        <f>[1]!PWFB1.132</f>
        <v>16329.54</v>
      </c>
      <c r="J166" s="10">
        <f>[1]!PWFB1.133</f>
        <v>4024617</v>
      </c>
      <c r="K166" s="10" t="str">
        <f>[1]!PWFB1.135</f>
        <v xml:space="preserve"> -</v>
      </c>
      <c r="L166" s="10" t="str">
        <f>[1]!PWFB1.136</f>
        <v xml:space="preserve"> -</v>
      </c>
      <c r="M166" s="10" t="str">
        <f>[1]!PWFB1.437</f>
        <v xml:space="preserve"> -</v>
      </c>
      <c r="N166" s="10" t="str">
        <f>[1]!PWFB1.406</f>
        <v xml:space="preserve"> -</v>
      </c>
      <c r="O166" s="10" t="str">
        <f>[1]!PWFB1.407</f>
        <v xml:space="preserve"> -</v>
      </c>
      <c r="P166" s="10" t="str">
        <f>[1]!PWFB1.431</f>
        <v>-</v>
      </c>
      <c r="Q166" s="10" t="str">
        <f>[1]!PWFB1.201</f>
        <v xml:space="preserve"> -</v>
      </c>
      <c r="R166" s="10" t="str">
        <f>[1]!PWFB1.202</f>
        <v xml:space="preserve"> -</v>
      </c>
      <c r="S166" s="10" t="str">
        <f>[1]!PWFB1.203</f>
        <v xml:space="preserve"> -</v>
      </c>
      <c r="T166" s="10" t="str">
        <f>[1]!PWFB1.204</f>
        <v xml:space="preserve"> -</v>
      </c>
      <c r="U166" s="10" t="str">
        <f>[1]!PWFB1.205</f>
        <v xml:space="preserve"> -</v>
      </c>
      <c r="V166" s="10" t="str">
        <f>[1]!PWFB1.211</f>
        <v xml:space="preserve"> -</v>
      </c>
      <c r="W166" s="10" t="str">
        <f>[1]!PWFB1.212</f>
        <v xml:space="preserve"> -</v>
      </c>
      <c r="X166" s="10" t="str">
        <f>[1]!PWFB1.213</f>
        <v xml:space="preserve"> -</v>
      </c>
      <c r="Y166" s="10" t="str">
        <f>[1]!PWFB1.214</f>
        <v xml:space="preserve"> -</v>
      </c>
      <c r="Z166" s="10" t="str">
        <f>[1]!PWFB1.215</f>
        <v xml:space="preserve"> -</v>
      </c>
      <c r="AA166" s="10" t="str">
        <f>[1]!PWFB1.221</f>
        <v>-</v>
      </c>
      <c r="AB166" s="10" t="str">
        <f>[1]!PWFB1.222</f>
        <v>-</v>
      </c>
      <c r="AC166" s="10" t="str">
        <f>[1]!PWFB1.223</f>
        <v>-</v>
      </c>
      <c r="AD166" s="10" t="str">
        <f>[1]!PWFB1.224</f>
        <v>-</v>
      </c>
      <c r="AE166" s="10" t="str">
        <f>[1]!PWFB1.225</f>
        <v>-</v>
      </c>
      <c r="AF166" s="10" t="str">
        <f>[1]!PWFB1.231</f>
        <v>-</v>
      </c>
      <c r="AG166" s="10" t="str">
        <f>[1]!PWFB1.232</f>
        <v>-</v>
      </c>
      <c r="AH166" s="10" t="str">
        <f>[1]!PWFB1.233</f>
        <v>-</v>
      </c>
      <c r="AI166" s="10" t="str">
        <f>[1]!PWFB1.234</f>
        <v>-</v>
      </c>
      <c r="AJ166" s="10" t="str">
        <f>[1]!PWFB1.235</f>
        <v>-</v>
      </c>
    </row>
    <row r="167" spans="1:36" s="10" customFormat="1" x14ac:dyDescent="0.25">
      <c r="A167" s="10" t="str">
        <f>"PVFB1"</f>
        <v>PVFB1</v>
      </c>
      <c r="B167" s="10" t="e">
        <f>[1]!PVFB1.402</f>
        <v>#N/A</v>
      </c>
      <c r="C167" s="10">
        <f>[1]!PVFB1.123</f>
        <v>0</v>
      </c>
      <c r="D167" s="10">
        <f>[1]!PVFB1.124</f>
        <v>20878632</v>
      </c>
      <c r="E167" s="10" t="str">
        <f>[1]!PVFB1.125</f>
        <v xml:space="preserve"> </v>
      </c>
      <c r="F167" s="10">
        <f>[1]!PVFB1.128</f>
        <v>1212870150</v>
      </c>
      <c r="G167" s="10">
        <f>[1]!PVFB1.130</f>
        <v>20803788</v>
      </c>
      <c r="H167" s="10">
        <f>[1]!PVFB1.131</f>
        <v>20804690</v>
      </c>
      <c r="I167" s="10">
        <f>[1]!PVFB1.132</f>
        <v>10989732</v>
      </c>
      <c r="J167" s="10">
        <f>[1]!PVFB1.133</f>
        <v>2088371110</v>
      </c>
      <c r="K167" s="10" t="str">
        <f>[1]!PVFB1.135</f>
        <v xml:space="preserve"> -</v>
      </c>
      <c r="L167" s="10" t="str">
        <f>[1]!PVFB1.136</f>
        <v xml:space="preserve"> -</v>
      </c>
      <c r="M167" s="10" t="str">
        <f>[1]!PVFB1.437</f>
        <v xml:space="preserve"> -</v>
      </c>
      <c r="N167" s="10" t="str">
        <f>[1]!PVFB1.406</f>
        <v xml:space="preserve"> -</v>
      </c>
      <c r="O167" s="10" t="str">
        <f>[1]!PVFB1.407</f>
        <v xml:space="preserve"> -</v>
      </c>
      <c r="P167" s="10" t="str">
        <f>[1]!PVFB1.431</f>
        <v>-</v>
      </c>
      <c r="Q167" s="10" t="str">
        <f>[1]!PVFB1.201</f>
        <v xml:space="preserve"> -</v>
      </c>
      <c r="R167" s="10" t="str">
        <f>[1]!PVFB1.202</f>
        <v xml:space="preserve"> -</v>
      </c>
      <c r="S167" s="10" t="str">
        <f>[1]!PVFB1.203</f>
        <v xml:space="preserve"> -</v>
      </c>
      <c r="T167" s="10" t="str">
        <f>[1]!PVFB1.204</f>
        <v xml:space="preserve"> -</v>
      </c>
      <c r="U167" s="10" t="str">
        <f>[1]!PVFB1.205</f>
        <v xml:space="preserve"> -</v>
      </c>
      <c r="V167" s="10" t="str">
        <f>[1]!PVFB1.211</f>
        <v xml:space="preserve"> -</v>
      </c>
      <c r="W167" s="10" t="str">
        <f>[1]!PVFB1.212</f>
        <v xml:space="preserve"> -</v>
      </c>
      <c r="X167" s="10" t="str">
        <f>[1]!PVFB1.213</f>
        <v xml:space="preserve"> -</v>
      </c>
      <c r="Y167" s="10" t="str">
        <f>[1]!PVFB1.214</f>
        <v xml:space="preserve"> -</v>
      </c>
      <c r="Z167" s="10" t="str">
        <f>[1]!PVFB1.215</f>
        <v xml:space="preserve"> -</v>
      </c>
      <c r="AA167" s="10" t="str">
        <f>[1]!PVFB1.221</f>
        <v>-</v>
      </c>
      <c r="AB167" s="10" t="str">
        <f>[1]!PVFB1.222</f>
        <v>-</v>
      </c>
      <c r="AC167" s="10" t="str">
        <f>[1]!PVFB1.223</f>
        <v>-</v>
      </c>
      <c r="AD167" s="10" t="str">
        <f>[1]!PVFB1.224</f>
        <v>-</v>
      </c>
      <c r="AE167" s="10" t="str">
        <f>[1]!PVFB1.225</f>
        <v>-</v>
      </c>
      <c r="AF167" s="10" t="str">
        <f>[1]!PVFB1.231</f>
        <v>-</v>
      </c>
      <c r="AG167" s="10" t="str">
        <f>[1]!PVFB1.232</f>
        <v>-</v>
      </c>
      <c r="AH167" s="10" t="str">
        <f>[1]!PVFB1.233</f>
        <v>-</v>
      </c>
      <c r="AI167" s="10" t="str">
        <f>[1]!PVFB1.234</f>
        <v>-</v>
      </c>
      <c r="AJ167" s="10" t="str">
        <f>[1]!PVFB1.235</f>
        <v>-</v>
      </c>
    </row>
    <row r="168" spans="1:36" s="10" customFormat="1" x14ac:dyDescent="0.25">
      <c r="A168" s="10" t="str">
        <f>"KIFB1"</f>
        <v>KIFB1</v>
      </c>
      <c r="B168" s="10" t="str">
        <f>[1]!KIFB1.402</f>
        <v>加權指數</v>
      </c>
      <c r="C168" s="10">
        <f>[1]!KIFB1.123</f>
        <v>100135</v>
      </c>
      <c r="D168" s="10">
        <f>[1]!KIFB1.124</f>
        <v>16424.64</v>
      </c>
      <c r="E168" s="10">
        <f>[1]!KIFB1.125</f>
        <v>-18.760000000000002</v>
      </c>
      <c r="F168" s="10">
        <f>[1]!KIFB1.128</f>
        <v>1648</v>
      </c>
      <c r="G168" s="10">
        <f>[1]!KIFB1.130</f>
        <v>16329.54</v>
      </c>
      <c r="H168" s="10">
        <f>[1]!KIFB1.131</f>
        <v>16456.939999999999</v>
      </c>
      <c r="I168" s="10">
        <f>[1]!KIFB1.132</f>
        <v>16329.54</v>
      </c>
      <c r="J168" s="10">
        <f>[1]!KIFB1.133</f>
        <v>4020107</v>
      </c>
      <c r="K168" s="10" t="str">
        <f>[1]!KIFB1.135</f>
        <v xml:space="preserve"> -</v>
      </c>
      <c r="L168" s="10" t="str">
        <f>[1]!KIFB1.136</f>
        <v xml:space="preserve"> -</v>
      </c>
      <c r="M168" s="10" t="str">
        <f>[1]!KIFB1.437</f>
        <v xml:space="preserve"> -</v>
      </c>
      <c r="N168" s="10" t="str">
        <f>[1]!KIFB1.406</f>
        <v xml:space="preserve"> -</v>
      </c>
      <c r="O168" s="10" t="str">
        <f>[1]!KIFB1.407</f>
        <v xml:space="preserve"> -</v>
      </c>
      <c r="P168" s="10" t="str">
        <f>[1]!KIFB1.431</f>
        <v>-</v>
      </c>
      <c r="Q168" s="10" t="str">
        <f>[1]!KIFB1.201</f>
        <v xml:space="preserve"> -</v>
      </c>
      <c r="R168" s="10" t="str">
        <f>[1]!KIFB1.202</f>
        <v xml:space="preserve"> -</v>
      </c>
      <c r="S168" s="10" t="str">
        <f>[1]!KIFB1.203</f>
        <v xml:space="preserve"> -</v>
      </c>
      <c r="T168" s="10" t="str">
        <f>[1]!KIFB1.204</f>
        <v xml:space="preserve"> -</v>
      </c>
      <c r="U168" s="10" t="str">
        <f>[1]!KIFB1.205</f>
        <v xml:space="preserve"> -</v>
      </c>
      <c r="V168" s="10" t="str">
        <f>[1]!KIFB1.211</f>
        <v xml:space="preserve"> -</v>
      </c>
      <c r="W168" s="10" t="str">
        <f>[1]!KIFB1.212</f>
        <v xml:space="preserve"> -</v>
      </c>
      <c r="X168" s="10" t="str">
        <f>[1]!KIFB1.213</f>
        <v xml:space="preserve"> -</v>
      </c>
      <c r="Y168" s="10" t="str">
        <f>[1]!KIFB1.214</f>
        <v xml:space="preserve"> -</v>
      </c>
      <c r="Z168" s="10" t="str">
        <f>[1]!KIFB1.215</f>
        <v xml:space="preserve"> -</v>
      </c>
      <c r="AA168" s="10" t="str">
        <f>[1]!KIFB1.221</f>
        <v>-</v>
      </c>
      <c r="AB168" s="10" t="str">
        <f>[1]!KIFB1.222</f>
        <v>-</v>
      </c>
      <c r="AC168" s="10" t="str">
        <f>[1]!KIFB1.223</f>
        <v>-</v>
      </c>
      <c r="AD168" s="10" t="str">
        <f>[1]!KIFB1.224</f>
        <v>-</v>
      </c>
      <c r="AE168" s="10" t="str">
        <f>[1]!KIFB1.225</f>
        <v>-</v>
      </c>
      <c r="AF168" s="10" t="str">
        <f>[1]!KIFB1.231</f>
        <v>-</v>
      </c>
      <c r="AG168" s="10" t="str">
        <f>[1]!KIFB1.232</f>
        <v>-</v>
      </c>
      <c r="AH168" s="10" t="str">
        <f>[1]!KIFB1.233</f>
        <v>-</v>
      </c>
      <c r="AI168" s="10" t="str">
        <f>[1]!KIFB1.234</f>
        <v>-</v>
      </c>
      <c r="AJ168" s="10" t="str">
        <f>[1]!KIFB1.235</f>
        <v>-</v>
      </c>
    </row>
    <row r="169" spans="1:36" s="10" customFormat="1" x14ac:dyDescent="0.25">
      <c r="A169" s="10" t="str">
        <f>"LYFB1"</f>
        <v>LYFB1</v>
      </c>
      <c r="B169" s="10" t="str">
        <f>[1]!LYFB1.402</f>
        <v>不含金電</v>
      </c>
      <c r="C169" s="10">
        <f>[1]!LYFB1.123</f>
        <v>100135</v>
      </c>
      <c r="D169" s="10">
        <f>[1]!LYFB1.124</f>
        <v>13893.65</v>
      </c>
      <c r="E169" s="10">
        <f>[1]!LYFB1.125</f>
        <v>7.07</v>
      </c>
      <c r="F169" s="10">
        <f>[1]!LYFB1.128</f>
        <v>611</v>
      </c>
      <c r="G169" s="10">
        <f>[1]!LYFB1.130</f>
        <v>13893.03</v>
      </c>
      <c r="H169" s="10">
        <f>[1]!LYFB1.131</f>
        <v>13945.78</v>
      </c>
      <c r="I169" s="10">
        <f>[1]!LYFB1.132</f>
        <v>13875.82</v>
      </c>
      <c r="J169" s="10">
        <f>[1]!LYFB1.133</f>
        <v>871785</v>
      </c>
      <c r="K169" s="10" t="str">
        <f>[1]!LYFB1.135</f>
        <v xml:space="preserve"> -</v>
      </c>
      <c r="L169" s="10" t="str">
        <f>[1]!LYFB1.136</f>
        <v xml:space="preserve"> -</v>
      </c>
      <c r="M169" s="10" t="str">
        <f>[1]!LYFB1.437</f>
        <v xml:space="preserve"> -</v>
      </c>
      <c r="N169" s="10" t="str">
        <f>[1]!LYFB1.406</f>
        <v xml:space="preserve"> -</v>
      </c>
      <c r="O169" s="10" t="str">
        <f>[1]!LYFB1.407</f>
        <v xml:space="preserve"> -</v>
      </c>
      <c r="P169" s="10" t="str">
        <f>[1]!LYFB1.431</f>
        <v>-</v>
      </c>
      <c r="Q169" s="10" t="str">
        <f>[1]!LYFB1.201</f>
        <v xml:space="preserve"> -</v>
      </c>
      <c r="R169" s="10" t="str">
        <f>[1]!LYFB1.202</f>
        <v xml:space="preserve"> -</v>
      </c>
      <c r="S169" s="10" t="str">
        <f>[1]!LYFB1.203</f>
        <v xml:space="preserve"> -</v>
      </c>
      <c r="T169" s="10" t="str">
        <f>[1]!LYFB1.204</f>
        <v xml:space="preserve"> -</v>
      </c>
      <c r="U169" s="10" t="str">
        <f>[1]!LYFB1.205</f>
        <v xml:space="preserve"> -</v>
      </c>
      <c r="V169" s="10" t="str">
        <f>[1]!LYFB1.211</f>
        <v xml:space="preserve"> -</v>
      </c>
      <c r="W169" s="10" t="str">
        <f>[1]!LYFB1.212</f>
        <v xml:space="preserve"> -</v>
      </c>
      <c r="X169" s="10" t="str">
        <f>[1]!LYFB1.213</f>
        <v xml:space="preserve"> -</v>
      </c>
      <c r="Y169" s="10" t="str">
        <f>[1]!LYFB1.214</f>
        <v xml:space="preserve"> -</v>
      </c>
      <c r="Z169" s="10" t="str">
        <f>[1]!LYFB1.215</f>
        <v xml:space="preserve"> -</v>
      </c>
      <c r="AA169" s="10" t="str">
        <f>[1]!LYFB1.221</f>
        <v>-</v>
      </c>
      <c r="AB169" s="10" t="str">
        <f>[1]!LYFB1.222</f>
        <v>-</v>
      </c>
      <c r="AC169" s="10" t="str">
        <f>[1]!LYFB1.223</f>
        <v>-</v>
      </c>
      <c r="AD169" s="10" t="str">
        <f>[1]!LYFB1.224</f>
        <v>-</v>
      </c>
      <c r="AE169" s="10" t="str">
        <f>[1]!LYFB1.225</f>
        <v>-</v>
      </c>
      <c r="AF169" s="10" t="str">
        <f>[1]!LYFB1.231</f>
        <v>-</v>
      </c>
      <c r="AG169" s="10" t="str">
        <f>[1]!LYFB1.232</f>
        <v>-</v>
      </c>
      <c r="AH169" s="10" t="str">
        <f>[1]!LYFB1.233</f>
        <v>-</v>
      </c>
      <c r="AI169" s="10" t="str">
        <f>[1]!LYFB1.234</f>
        <v>-</v>
      </c>
      <c r="AJ169" s="10" t="str">
        <f>[1]!LYFB1.235</f>
        <v>-</v>
      </c>
    </row>
    <row r="170" spans="1:36" s="10" customFormat="1" x14ac:dyDescent="0.25">
      <c r="A170" s="10" t="str">
        <f>"KKFB1"</f>
        <v>KKFB1</v>
      </c>
      <c r="B170" s="10" t="str">
        <f>[1]!KKFB1.402</f>
        <v>加權指數</v>
      </c>
      <c r="C170" s="10">
        <f>[1]!KKFB1.123</f>
        <v>100130</v>
      </c>
      <c r="D170" s="10">
        <f>[1]!KKFB1.124</f>
        <v>16422.080000000002</v>
      </c>
      <c r="E170" s="10">
        <f>[1]!KKFB1.125</f>
        <v>-21.32</v>
      </c>
      <c r="F170" s="10">
        <f>[1]!KKFB1.128</f>
        <v>3347</v>
      </c>
      <c r="G170" s="10">
        <f>[1]!KKFB1.130</f>
        <v>16329.54</v>
      </c>
      <c r="H170" s="10">
        <f>[1]!KKFB1.131</f>
        <v>16456.939999999999</v>
      </c>
      <c r="I170" s="10">
        <f>[1]!KKFB1.132</f>
        <v>16329.54</v>
      </c>
      <c r="J170" s="10">
        <f>[1]!KKFB1.133</f>
        <v>4018459</v>
      </c>
      <c r="K170" s="10" t="str">
        <f>[1]!KKFB1.135</f>
        <v xml:space="preserve"> -</v>
      </c>
      <c r="L170" s="10" t="str">
        <f>[1]!KKFB1.136</f>
        <v xml:space="preserve"> -</v>
      </c>
      <c r="M170" s="10" t="str">
        <f>[1]!KKFB1.437</f>
        <v xml:space="preserve"> -</v>
      </c>
      <c r="N170" s="10" t="str">
        <f>[1]!KKFB1.406</f>
        <v xml:space="preserve"> -</v>
      </c>
      <c r="O170" s="10" t="str">
        <f>[1]!KKFB1.407</f>
        <v xml:space="preserve"> -</v>
      </c>
      <c r="P170" s="10" t="str">
        <f>[1]!KKFB1.431</f>
        <v>-</v>
      </c>
      <c r="Q170" s="10" t="str">
        <f>[1]!KKFB1.201</f>
        <v xml:space="preserve"> -</v>
      </c>
      <c r="R170" s="10" t="str">
        <f>[1]!KKFB1.202</f>
        <v xml:space="preserve"> -</v>
      </c>
      <c r="S170" s="10" t="str">
        <f>[1]!KKFB1.203</f>
        <v xml:space="preserve"> -</v>
      </c>
      <c r="T170" s="10" t="str">
        <f>[1]!KKFB1.204</f>
        <v xml:space="preserve"> -</v>
      </c>
      <c r="U170" s="10" t="str">
        <f>[1]!KKFB1.205</f>
        <v xml:space="preserve"> -</v>
      </c>
      <c r="V170" s="10" t="str">
        <f>[1]!KKFB1.211</f>
        <v xml:space="preserve"> -</v>
      </c>
      <c r="W170" s="10" t="str">
        <f>[1]!KKFB1.212</f>
        <v xml:space="preserve"> -</v>
      </c>
      <c r="X170" s="10" t="str">
        <f>[1]!KKFB1.213</f>
        <v xml:space="preserve"> -</v>
      </c>
      <c r="Y170" s="10" t="str">
        <f>[1]!KKFB1.214</f>
        <v xml:space="preserve"> -</v>
      </c>
      <c r="Z170" s="10" t="str">
        <f>[1]!KKFB1.215</f>
        <v xml:space="preserve"> -</v>
      </c>
      <c r="AA170" s="10" t="str">
        <f>[1]!KKFB1.221</f>
        <v>-</v>
      </c>
      <c r="AB170" s="10" t="str">
        <f>[1]!KKFB1.222</f>
        <v>-</v>
      </c>
      <c r="AC170" s="10" t="str">
        <f>[1]!KKFB1.223</f>
        <v>-</v>
      </c>
      <c r="AD170" s="10" t="str">
        <f>[1]!KKFB1.224</f>
        <v>-</v>
      </c>
      <c r="AE170" s="10" t="str">
        <f>[1]!KKFB1.225</f>
        <v>-</v>
      </c>
      <c r="AF170" s="10" t="str">
        <f>[1]!KKFB1.231</f>
        <v>-</v>
      </c>
      <c r="AG170" s="10" t="str">
        <f>[1]!KKFB1.232</f>
        <v>-</v>
      </c>
      <c r="AH170" s="10" t="str">
        <f>[1]!KKFB1.233</f>
        <v>-</v>
      </c>
      <c r="AI170" s="10" t="str">
        <f>[1]!KKFB1.234</f>
        <v>-</v>
      </c>
      <c r="AJ170" s="10" t="str">
        <f>[1]!KKFB1.235</f>
        <v>-</v>
      </c>
    </row>
    <row r="171" spans="1:36" s="10" customFormat="1" x14ac:dyDescent="0.25">
      <c r="A171" s="10" t="str">
        <f>"KLFB1"</f>
        <v>KLFB1</v>
      </c>
      <c r="B171" s="10" t="str">
        <f>[1]!KLFB1.402</f>
        <v>加權指數</v>
      </c>
      <c r="C171" s="10">
        <f>[1]!KLFB1.123</f>
        <v>100130</v>
      </c>
      <c r="D171" s="10">
        <f>[1]!KLFB1.124</f>
        <v>16422.080000000002</v>
      </c>
      <c r="E171" s="10">
        <f>[1]!KLFB1.125</f>
        <v>-21.32</v>
      </c>
      <c r="F171" s="10">
        <f>[1]!KLFB1.128</f>
        <v>3347</v>
      </c>
      <c r="G171" s="10">
        <f>[1]!KLFB1.130</f>
        <v>16329.54</v>
      </c>
      <c r="H171" s="10">
        <f>[1]!KLFB1.131</f>
        <v>16456.939999999999</v>
      </c>
      <c r="I171" s="10">
        <f>[1]!KLFB1.132</f>
        <v>16329.54</v>
      </c>
      <c r="J171" s="10">
        <f>[1]!KLFB1.133</f>
        <v>4018459</v>
      </c>
      <c r="K171" s="10" t="str">
        <f>[1]!KLFB1.135</f>
        <v xml:space="preserve"> -</v>
      </c>
      <c r="L171" s="10" t="str">
        <f>[1]!KLFB1.136</f>
        <v xml:space="preserve"> -</v>
      </c>
      <c r="M171" s="10" t="str">
        <f>[1]!KLFB1.437</f>
        <v xml:space="preserve"> -</v>
      </c>
      <c r="N171" s="10" t="str">
        <f>[1]!KLFB1.406</f>
        <v xml:space="preserve"> -</v>
      </c>
      <c r="O171" s="10" t="str">
        <f>[1]!KLFB1.407</f>
        <v xml:space="preserve"> -</v>
      </c>
      <c r="P171" s="10" t="str">
        <f>[1]!KLFB1.431</f>
        <v>-</v>
      </c>
      <c r="Q171" s="10" t="str">
        <f>[1]!KLFB1.201</f>
        <v xml:space="preserve"> -</v>
      </c>
      <c r="R171" s="10" t="str">
        <f>[1]!KLFB1.202</f>
        <v xml:space="preserve"> -</v>
      </c>
      <c r="S171" s="10" t="str">
        <f>[1]!KLFB1.203</f>
        <v xml:space="preserve"> -</v>
      </c>
      <c r="T171" s="10" t="str">
        <f>[1]!KLFB1.204</f>
        <v xml:space="preserve"> -</v>
      </c>
      <c r="U171" s="10" t="str">
        <f>[1]!KLFB1.205</f>
        <v xml:space="preserve"> -</v>
      </c>
      <c r="V171" s="10" t="str">
        <f>[1]!KLFB1.211</f>
        <v xml:space="preserve"> -</v>
      </c>
      <c r="W171" s="10" t="str">
        <f>[1]!KLFB1.212</f>
        <v xml:space="preserve"> -</v>
      </c>
      <c r="X171" s="10" t="str">
        <f>[1]!KLFB1.213</f>
        <v xml:space="preserve"> -</v>
      </c>
      <c r="Y171" s="10" t="str">
        <f>[1]!KLFB1.214</f>
        <v xml:space="preserve"> -</v>
      </c>
      <c r="Z171" s="10" t="str">
        <f>[1]!KLFB1.215</f>
        <v xml:space="preserve"> -</v>
      </c>
      <c r="AA171" s="10" t="str">
        <f>[1]!KLFB1.221</f>
        <v>-</v>
      </c>
      <c r="AB171" s="10" t="str">
        <f>[1]!KLFB1.222</f>
        <v>-</v>
      </c>
      <c r="AC171" s="10" t="str">
        <f>[1]!KLFB1.223</f>
        <v>-</v>
      </c>
      <c r="AD171" s="10" t="str">
        <f>[1]!KLFB1.224</f>
        <v>-</v>
      </c>
      <c r="AE171" s="10" t="str">
        <f>[1]!KLFB1.225</f>
        <v>-</v>
      </c>
      <c r="AF171" s="10" t="str">
        <f>[1]!KLFB1.231</f>
        <v>-</v>
      </c>
      <c r="AG171" s="10" t="str">
        <f>[1]!KLFB1.232</f>
        <v>-</v>
      </c>
      <c r="AH171" s="10" t="str">
        <f>[1]!KLFB1.233</f>
        <v>-</v>
      </c>
      <c r="AI171" s="10" t="str">
        <f>[1]!KLFB1.234</f>
        <v>-</v>
      </c>
      <c r="AJ171" s="10" t="str">
        <f>[1]!KLFB1.235</f>
        <v>-</v>
      </c>
    </row>
    <row r="172" spans="1:36" s="10" customFormat="1" x14ac:dyDescent="0.25">
      <c r="A172" s="10" t="str">
        <f>"LMFB1"</f>
        <v>LMFB1</v>
      </c>
      <c r="B172" s="10" t="str">
        <f>[1]!LMFB1.402</f>
        <v>加權指數</v>
      </c>
      <c r="C172" s="10">
        <f>[1]!LMFB1.123</f>
        <v>100130</v>
      </c>
      <c r="D172" s="10">
        <f>[1]!LMFB1.124</f>
        <v>16422.080000000002</v>
      </c>
      <c r="E172" s="10">
        <f>[1]!LMFB1.125</f>
        <v>-21.32</v>
      </c>
      <c r="F172" s="10">
        <f>[1]!LMFB1.128</f>
        <v>3347</v>
      </c>
      <c r="G172" s="10">
        <f>[1]!LMFB1.130</f>
        <v>16329.54</v>
      </c>
      <c r="H172" s="10">
        <f>[1]!LMFB1.131</f>
        <v>16456.939999999999</v>
      </c>
      <c r="I172" s="10">
        <f>[1]!LMFB1.132</f>
        <v>16329.54</v>
      </c>
      <c r="J172" s="10">
        <f>[1]!LMFB1.133</f>
        <v>4018459</v>
      </c>
      <c r="K172" s="10" t="str">
        <f>[1]!LMFB1.135</f>
        <v xml:space="preserve"> -</v>
      </c>
      <c r="L172" s="10" t="str">
        <f>[1]!LMFB1.136</f>
        <v xml:space="preserve"> -</v>
      </c>
      <c r="M172" s="10" t="str">
        <f>[1]!LMFB1.437</f>
        <v xml:space="preserve"> -</v>
      </c>
      <c r="N172" s="10" t="str">
        <f>[1]!LMFB1.406</f>
        <v xml:space="preserve"> -</v>
      </c>
      <c r="O172" s="10" t="str">
        <f>[1]!LMFB1.407</f>
        <v xml:space="preserve"> -</v>
      </c>
      <c r="P172" s="10" t="str">
        <f>[1]!LMFB1.431</f>
        <v>-</v>
      </c>
      <c r="Q172" s="10" t="str">
        <f>[1]!LMFB1.201</f>
        <v xml:space="preserve"> -</v>
      </c>
      <c r="R172" s="10" t="str">
        <f>[1]!LMFB1.202</f>
        <v xml:space="preserve"> -</v>
      </c>
      <c r="S172" s="10" t="str">
        <f>[1]!LMFB1.203</f>
        <v xml:space="preserve"> -</v>
      </c>
      <c r="T172" s="10" t="str">
        <f>[1]!LMFB1.204</f>
        <v xml:space="preserve"> -</v>
      </c>
      <c r="U172" s="10" t="str">
        <f>[1]!LMFB1.205</f>
        <v xml:space="preserve"> -</v>
      </c>
      <c r="V172" s="10" t="str">
        <f>[1]!LMFB1.211</f>
        <v xml:space="preserve"> -</v>
      </c>
      <c r="W172" s="10" t="str">
        <f>[1]!LMFB1.212</f>
        <v xml:space="preserve"> -</v>
      </c>
      <c r="X172" s="10" t="str">
        <f>[1]!LMFB1.213</f>
        <v xml:space="preserve"> -</v>
      </c>
      <c r="Y172" s="10" t="str">
        <f>[1]!LMFB1.214</f>
        <v xml:space="preserve"> -</v>
      </c>
      <c r="Z172" s="10" t="str">
        <f>[1]!LMFB1.215</f>
        <v xml:space="preserve"> -</v>
      </c>
      <c r="AA172" s="10" t="str">
        <f>[1]!LMFB1.221</f>
        <v>-</v>
      </c>
      <c r="AB172" s="10" t="str">
        <f>[1]!LMFB1.222</f>
        <v>-</v>
      </c>
      <c r="AC172" s="10" t="str">
        <f>[1]!LMFB1.223</f>
        <v>-</v>
      </c>
      <c r="AD172" s="10" t="str">
        <f>[1]!LMFB1.224</f>
        <v>-</v>
      </c>
      <c r="AE172" s="10" t="str">
        <f>[1]!LMFB1.225</f>
        <v>-</v>
      </c>
      <c r="AF172" s="10" t="str">
        <f>[1]!LMFB1.231</f>
        <v>-</v>
      </c>
      <c r="AG172" s="10" t="str">
        <f>[1]!LMFB1.232</f>
        <v>-</v>
      </c>
      <c r="AH172" s="10" t="str">
        <f>[1]!LMFB1.233</f>
        <v>-</v>
      </c>
      <c r="AI172" s="10" t="str">
        <f>[1]!LMFB1.234</f>
        <v>-</v>
      </c>
      <c r="AJ172" s="10" t="str">
        <f>[1]!LMFB1.235</f>
        <v>-</v>
      </c>
    </row>
    <row r="173" spans="1:36" s="10" customFormat="1" x14ac:dyDescent="0.25">
      <c r="A173" s="10" t="str">
        <f>"MVFB1"</f>
        <v>MVFB1</v>
      </c>
      <c r="B173" s="10" t="str">
        <f>[1]!MVFB1.402</f>
        <v>加權指數</v>
      </c>
      <c r="C173" s="10">
        <f>[1]!MVFB1.123</f>
        <v>100140</v>
      </c>
      <c r="D173" s="10">
        <f>[1]!MVFB1.124</f>
        <v>16428.68</v>
      </c>
      <c r="E173" s="10">
        <f>[1]!MVFB1.125</f>
        <v>-14.72</v>
      </c>
      <c r="F173" s="10">
        <f>[1]!MVFB1.128</f>
        <v>2686</v>
      </c>
      <c r="G173" s="10">
        <f>[1]!MVFB1.130</f>
        <v>16329.54</v>
      </c>
      <c r="H173" s="10">
        <f>[1]!MVFB1.131</f>
        <v>16456.939999999999</v>
      </c>
      <c r="I173" s="10">
        <f>[1]!MVFB1.132</f>
        <v>16329.54</v>
      </c>
      <c r="J173" s="10">
        <f>[1]!MVFB1.133</f>
        <v>4022793</v>
      </c>
      <c r="K173" s="10" t="str">
        <f>[1]!MVFB1.135</f>
        <v xml:space="preserve"> -</v>
      </c>
      <c r="L173" s="10" t="str">
        <f>[1]!MVFB1.136</f>
        <v xml:space="preserve"> -</v>
      </c>
      <c r="M173" s="10" t="str">
        <f>[1]!MVFB1.437</f>
        <v xml:space="preserve"> -</v>
      </c>
      <c r="N173" s="10" t="str">
        <f>[1]!MVFB1.406</f>
        <v xml:space="preserve"> -</v>
      </c>
      <c r="O173" s="10" t="str">
        <f>[1]!MVFB1.407</f>
        <v xml:space="preserve"> -</v>
      </c>
      <c r="P173" s="10" t="str">
        <f>[1]!MVFB1.431</f>
        <v>-</v>
      </c>
      <c r="Q173" s="10" t="str">
        <f>[1]!MVFB1.201</f>
        <v xml:space="preserve"> -</v>
      </c>
      <c r="R173" s="10" t="str">
        <f>[1]!MVFB1.202</f>
        <v xml:space="preserve"> -</v>
      </c>
      <c r="S173" s="10" t="str">
        <f>[1]!MVFB1.203</f>
        <v xml:space="preserve"> -</v>
      </c>
      <c r="T173" s="10" t="str">
        <f>[1]!MVFB1.204</f>
        <v xml:space="preserve"> -</v>
      </c>
      <c r="U173" s="10" t="str">
        <f>[1]!MVFB1.205</f>
        <v xml:space="preserve"> -</v>
      </c>
      <c r="V173" s="10" t="str">
        <f>[1]!MVFB1.211</f>
        <v xml:space="preserve"> -</v>
      </c>
      <c r="W173" s="10" t="str">
        <f>[1]!MVFB1.212</f>
        <v xml:space="preserve"> -</v>
      </c>
      <c r="X173" s="10" t="str">
        <f>[1]!MVFB1.213</f>
        <v xml:space="preserve"> -</v>
      </c>
      <c r="Y173" s="10" t="str">
        <f>[1]!MVFB1.214</f>
        <v xml:space="preserve"> -</v>
      </c>
      <c r="Z173" s="10" t="str">
        <f>[1]!MVFB1.215</f>
        <v xml:space="preserve"> -</v>
      </c>
      <c r="AA173" s="10" t="str">
        <f>[1]!MVFB1.221</f>
        <v>-</v>
      </c>
      <c r="AB173" s="10" t="str">
        <f>[1]!MVFB1.222</f>
        <v>-</v>
      </c>
      <c r="AC173" s="10" t="str">
        <f>[1]!MVFB1.223</f>
        <v>-</v>
      </c>
      <c r="AD173" s="10" t="str">
        <f>[1]!MVFB1.224</f>
        <v>-</v>
      </c>
      <c r="AE173" s="10" t="str">
        <f>[1]!MVFB1.225</f>
        <v>-</v>
      </c>
      <c r="AF173" s="10" t="str">
        <f>[1]!MVFB1.231</f>
        <v>-</v>
      </c>
      <c r="AG173" s="10" t="str">
        <f>[1]!MVFB1.232</f>
        <v>-</v>
      </c>
      <c r="AH173" s="10" t="str">
        <f>[1]!MVFB1.233</f>
        <v>-</v>
      </c>
      <c r="AI173" s="10" t="str">
        <f>[1]!MVFB1.234</f>
        <v>-</v>
      </c>
      <c r="AJ173" s="10" t="str">
        <f>[1]!MVFB1.235</f>
        <v>-</v>
      </c>
    </row>
    <row r="174" spans="1:36" s="10" customFormat="1" x14ac:dyDescent="0.25">
      <c r="A174" s="10" t="str">
        <f>"KOFB1"</f>
        <v>KOFB1</v>
      </c>
      <c r="B174" s="10" t="str">
        <f>[1]!KOFB1.402</f>
        <v>加權指數</v>
      </c>
      <c r="C174" s="10">
        <f>[1]!KOFB1.123</f>
        <v>100150</v>
      </c>
      <c r="D174" s="10">
        <f>[1]!KOFB1.124</f>
        <v>16421.62</v>
      </c>
      <c r="E174" s="10">
        <f>[1]!KOFB1.125</f>
        <v>-21.78</v>
      </c>
      <c r="F174" s="10">
        <f>[1]!KOFB1.128</f>
        <v>2439</v>
      </c>
      <c r="G174" s="10">
        <f>[1]!KOFB1.130</f>
        <v>16329.54</v>
      </c>
      <c r="H174" s="10">
        <f>[1]!KOFB1.131</f>
        <v>16456.939999999999</v>
      </c>
      <c r="I174" s="10">
        <f>[1]!KOFB1.132</f>
        <v>16329.54</v>
      </c>
      <c r="J174" s="10">
        <f>[1]!KOFB1.133</f>
        <v>4027056</v>
      </c>
      <c r="K174" s="10" t="str">
        <f>[1]!KOFB1.135</f>
        <v xml:space="preserve"> -</v>
      </c>
      <c r="L174" s="10" t="str">
        <f>[1]!KOFB1.136</f>
        <v xml:space="preserve"> -</v>
      </c>
      <c r="M174" s="10" t="str">
        <f>[1]!KOFB1.437</f>
        <v xml:space="preserve"> -</v>
      </c>
      <c r="N174" s="10" t="str">
        <f>[1]!KOFB1.406</f>
        <v xml:space="preserve"> -</v>
      </c>
      <c r="O174" s="10" t="str">
        <f>[1]!KOFB1.407</f>
        <v xml:space="preserve"> -</v>
      </c>
      <c r="P174" s="10" t="str">
        <f>[1]!KOFB1.431</f>
        <v>-</v>
      </c>
      <c r="Q174" s="10" t="str">
        <f>[1]!KOFB1.201</f>
        <v xml:space="preserve"> -</v>
      </c>
      <c r="R174" s="10" t="str">
        <f>[1]!KOFB1.202</f>
        <v xml:space="preserve"> -</v>
      </c>
      <c r="S174" s="10" t="str">
        <f>[1]!KOFB1.203</f>
        <v xml:space="preserve"> -</v>
      </c>
      <c r="T174" s="10" t="str">
        <f>[1]!KOFB1.204</f>
        <v xml:space="preserve"> -</v>
      </c>
      <c r="U174" s="10" t="str">
        <f>[1]!KOFB1.205</f>
        <v xml:space="preserve"> -</v>
      </c>
      <c r="V174" s="10" t="str">
        <f>[1]!KOFB1.211</f>
        <v xml:space="preserve"> -</v>
      </c>
      <c r="W174" s="10" t="str">
        <f>[1]!KOFB1.212</f>
        <v xml:space="preserve"> -</v>
      </c>
      <c r="X174" s="10" t="str">
        <f>[1]!KOFB1.213</f>
        <v xml:space="preserve"> -</v>
      </c>
      <c r="Y174" s="10" t="str">
        <f>[1]!KOFB1.214</f>
        <v xml:space="preserve"> -</v>
      </c>
      <c r="Z174" s="10" t="str">
        <f>[1]!KOFB1.215</f>
        <v xml:space="preserve"> -</v>
      </c>
      <c r="AA174" s="10" t="str">
        <f>[1]!KOFB1.221</f>
        <v>-</v>
      </c>
      <c r="AB174" s="10" t="str">
        <f>[1]!KOFB1.222</f>
        <v>-</v>
      </c>
      <c r="AC174" s="10" t="str">
        <f>[1]!KOFB1.223</f>
        <v>-</v>
      </c>
      <c r="AD174" s="10" t="str">
        <f>[1]!KOFB1.224</f>
        <v>-</v>
      </c>
      <c r="AE174" s="10" t="str">
        <f>[1]!KOFB1.225</f>
        <v>-</v>
      </c>
      <c r="AF174" s="10" t="str">
        <f>[1]!KOFB1.231</f>
        <v>-</v>
      </c>
      <c r="AG174" s="10" t="str">
        <f>[1]!KOFB1.232</f>
        <v>-</v>
      </c>
      <c r="AH174" s="10" t="str">
        <f>[1]!KOFB1.233</f>
        <v>-</v>
      </c>
      <c r="AI174" s="10" t="str">
        <f>[1]!KOFB1.234</f>
        <v>-</v>
      </c>
      <c r="AJ174" s="10" t="str">
        <f>[1]!KOFB1.235</f>
        <v>-</v>
      </c>
    </row>
    <row r="175" spans="1:36" s="10" customFormat="1" x14ac:dyDescent="0.25">
      <c r="A175" s="10" t="str">
        <f>"KPFB1"</f>
        <v>KPFB1</v>
      </c>
      <c r="B175" s="10" t="str">
        <f>[1]!KPFB1.402</f>
        <v>加權指數</v>
      </c>
      <c r="C175" s="10">
        <f>[1]!KPFB1.123</f>
        <v>100150</v>
      </c>
      <c r="D175" s="10">
        <f>[1]!KPFB1.124</f>
        <v>16421.62</v>
      </c>
      <c r="E175" s="10">
        <f>[1]!KPFB1.125</f>
        <v>-21.78</v>
      </c>
      <c r="F175" s="10">
        <f>[1]!KPFB1.128</f>
        <v>2439</v>
      </c>
      <c r="G175" s="10">
        <f>[1]!KPFB1.130</f>
        <v>16329.54</v>
      </c>
      <c r="H175" s="10">
        <f>[1]!KPFB1.131</f>
        <v>16456.939999999999</v>
      </c>
      <c r="I175" s="10">
        <f>[1]!KPFB1.132</f>
        <v>16329.54</v>
      </c>
      <c r="J175" s="10">
        <f>[1]!KPFB1.133</f>
        <v>4027056</v>
      </c>
      <c r="K175" s="10" t="str">
        <f>[1]!KPFB1.135</f>
        <v xml:space="preserve"> -</v>
      </c>
      <c r="L175" s="10" t="str">
        <f>[1]!KPFB1.136</f>
        <v xml:space="preserve"> -</v>
      </c>
      <c r="M175" s="10" t="str">
        <f>[1]!KPFB1.437</f>
        <v xml:space="preserve"> -</v>
      </c>
      <c r="N175" s="10" t="str">
        <f>[1]!KPFB1.406</f>
        <v xml:space="preserve"> -</v>
      </c>
      <c r="O175" s="10" t="str">
        <f>[1]!KPFB1.407</f>
        <v xml:space="preserve"> -</v>
      </c>
      <c r="P175" s="10" t="str">
        <f>[1]!KPFB1.431</f>
        <v>-</v>
      </c>
      <c r="Q175" s="10" t="str">
        <f>[1]!KPFB1.201</f>
        <v xml:space="preserve"> -</v>
      </c>
      <c r="R175" s="10" t="str">
        <f>[1]!KPFB1.202</f>
        <v xml:space="preserve"> -</v>
      </c>
      <c r="S175" s="10" t="str">
        <f>[1]!KPFB1.203</f>
        <v xml:space="preserve"> -</v>
      </c>
      <c r="T175" s="10" t="str">
        <f>[1]!KPFB1.204</f>
        <v xml:space="preserve"> -</v>
      </c>
      <c r="U175" s="10" t="str">
        <f>[1]!KPFB1.205</f>
        <v xml:space="preserve"> -</v>
      </c>
      <c r="V175" s="10" t="str">
        <f>[1]!KPFB1.211</f>
        <v xml:space="preserve"> -</v>
      </c>
      <c r="W175" s="10" t="str">
        <f>[1]!KPFB1.212</f>
        <v xml:space="preserve"> -</v>
      </c>
      <c r="X175" s="10" t="str">
        <f>[1]!KPFB1.213</f>
        <v xml:space="preserve"> -</v>
      </c>
      <c r="Y175" s="10" t="str">
        <f>[1]!KPFB1.214</f>
        <v xml:space="preserve"> -</v>
      </c>
      <c r="Z175" s="10" t="str">
        <f>[1]!KPFB1.215</f>
        <v xml:space="preserve"> -</v>
      </c>
      <c r="AA175" s="10" t="str">
        <f>[1]!KPFB1.221</f>
        <v>-</v>
      </c>
      <c r="AB175" s="10" t="str">
        <f>[1]!KPFB1.222</f>
        <v>-</v>
      </c>
      <c r="AC175" s="10" t="str">
        <f>[1]!KPFB1.223</f>
        <v>-</v>
      </c>
      <c r="AD175" s="10" t="str">
        <f>[1]!KPFB1.224</f>
        <v>-</v>
      </c>
      <c r="AE175" s="10" t="str">
        <f>[1]!KPFB1.225</f>
        <v>-</v>
      </c>
      <c r="AF175" s="10" t="str">
        <f>[1]!KPFB1.231</f>
        <v>-</v>
      </c>
      <c r="AG175" s="10" t="str">
        <f>[1]!KPFB1.232</f>
        <v>-</v>
      </c>
      <c r="AH175" s="10" t="str">
        <f>[1]!KPFB1.233</f>
        <v>-</v>
      </c>
      <c r="AI175" s="10" t="str">
        <f>[1]!KPFB1.234</f>
        <v>-</v>
      </c>
      <c r="AJ175" s="10" t="str">
        <f>[1]!KPFB1.235</f>
        <v>-</v>
      </c>
    </row>
    <row r="176" spans="1:36" s="10" customFormat="1" x14ac:dyDescent="0.25">
      <c r="A176" s="10" t="str">
        <f>"OMFB1"</f>
        <v>OMFB1</v>
      </c>
      <c r="B176" s="10" t="e">
        <f>[1]!OMFB1.402</f>
        <v>#N/A</v>
      </c>
      <c r="C176" s="10">
        <f>[1]!OMFB1.123</f>
        <v>0</v>
      </c>
      <c r="D176" s="10">
        <f>[1]!OMFB1.124</f>
        <v>20878632</v>
      </c>
      <c r="E176" s="10" t="str">
        <f>[1]!OMFB1.125</f>
        <v xml:space="preserve"> </v>
      </c>
      <c r="F176" s="10">
        <f>[1]!OMFB1.128</f>
        <v>1212870150</v>
      </c>
      <c r="G176" s="10">
        <f>[1]!OMFB1.130</f>
        <v>20803788</v>
      </c>
      <c r="H176" s="10">
        <f>[1]!OMFB1.131</f>
        <v>20804690</v>
      </c>
      <c r="I176" s="10">
        <f>[1]!OMFB1.132</f>
        <v>10989732</v>
      </c>
      <c r="J176" s="10">
        <f>[1]!OMFB1.133</f>
        <v>2088371110</v>
      </c>
      <c r="K176" s="10" t="str">
        <f>[1]!OMFB1.135</f>
        <v xml:space="preserve"> -</v>
      </c>
      <c r="L176" s="10" t="str">
        <f>[1]!OMFB1.136</f>
        <v xml:space="preserve"> -</v>
      </c>
      <c r="M176" s="10" t="str">
        <f>[1]!OMFB1.437</f>
        <v xml:space="preserve"> -</v>
      </c>
      <c r="N176" s="10" t="str">
        <f>[1]!OMFB1.406</f>
        <v xml:space="preserve"> -</v>
      </c>
      <c r="O176" s="10" t="str">
        <f>[1]!OMFB1.407</f>
        <v xml:space="preserve"> -</v>
      </c>
      <c r="P176" s="10" t="str">
        <f>[1]!OMFB1.431</f>
        <v>-</v>
      </c>
      <c r="Q176" s="10" t="str">
        <f>[1]!OMFB1.201</f>
        <v xml:space="preserve"> -</v>
      </c>
      <c r="R176" s="10" t="str">
        <f>[1]!OMFB1.202</f>
        <v xml:space="preserve"> -</v>
      </c>
      <c r="S176" s="10" t="str">
        <f>[1]!OMFB1.203</f>
        <v xml:space="preserve"> -</v>
      </c>
      <c r="T176" s="10" t="str">
        <f>[1]!OMFB1.204</f>
        <v xml:space="preserve"> -</v>
      </c>
      <c r="U176" s="10" t="str">
        <f>[1]!OMFB1.205</f>
        <v xml:space="preserve"> -</v>
      </c>
      <c r="V176" s="10" t="str">
        <f>[1]!OMFB1.211</f>
        <v xml:space="preserve"> -</v>
      </c>
      <c r="W176" s="10" t="str">
        <f>[1]!OMFB1.212</f>
        <v xml:space="preserve"> -</v>
      </c>
      <c r="X176" s="10" t="str">
        <f>[1]!OMFB1.213</f>
        <v xml:space="preserve"> -</v>
      </c>
      <c r="Y176" s="10" t="str">
        <f>[1]!OMFB1.214</f>
        <v xml:space="preserve"> -</v>
      </c>
      <c r="Z176" s="10" t="str">
        <f>[1]!OMFB1.215</f>
        <v xml:space="preserve"> -</v>
      </c>
      <c r="AA176" s="10" t="str">
        <f>[1]!OMFB1.221</f>
        <v>-</v>
      </c>
      <c r="AB176" s="10" t="str">
        <f>[1]!OMFB1.222</f>
        <v>-</v>
      </c>
      <c r="AC176" s="10" t="str">
        <f>[1]!OMFB1.223</f>
        <v>-</v>
      </c>
      <c r="AD176" s="10" t="str">
        <f>[1]!OMFB1.224</f>
        <v>-</v>
      </c>
      <c r="AE176" s="10" t="str">
        <f>[1]!OMFB1.225</f>
        <v>-</v>
      </c>
      <c r="AF176" s="10" t="str">
        <f>[1]!OMFB1.231</f>
        <v>-</v>
      </c>
      <c r="AG176" s="10" t="str">
        <f>[1]!OMFB1.232</f>
        <v>-</v>
      </c>
      <c r="AH176" s="10" t="str">
        <f>[1]!OMFB1.233</f>
        <v>-</v>
      </c>
      <c r="AI176" s="10" t="str">
        <f>[1]!OMFB1.234</f>
        <v>-</v>
      </c>
      <c r="AJ176" s="10" t="str">
        <f>[1]!OMFB1.235</f>
        <v>-</v>
      </c>
    </row>
    <row r="177" spans="1:36" s="10" customFormat="1" x14ac:dyDescent="0.25">
      <c r="A177" s="10" t="str">
        <f>"MYFB1"</f>
        <v>MYFB1</v>
      </c>
      <c r="B177" s="10" t="str">
        <f>[1]!MYFB1.402</f>
        <v>不含金電</v>
      </c>
      <c r="C177" s="10">
        <f>[1]!MYFB1.123</f>
        <v>100140</v>
      </c>
      <c r="D177" s="10">
        <f>[1]!MYFB1.124</f>
        <v>13893.18</v>
      </c>
      <c r="E177" s="10">
        <f>[1]!MYFB1.125</f>
        <v>6.6</v>
      </c>
      <c r="F177" s="10">
        <f>[1]!MYFB1.128</f>
        <v>720</v>
      </c>
      <c r="G177" s="10">
        <f>[1]!MYFB1.130</f>
        <v>13893.03</v>
      </c>
      <c r="H177" s="10">
        <f>[1]!MYFB1.131</f>
        <v>13945.78</v>
      </c>
      <c r="I177" s="10">
        <f>[1]!MYFB1.132</f>
        <v>13875.82</v>
      </c>
      <c r="J177" s="10">
        <f>[1]!MYFB1.133</f>
        <v>872505</v>
      </c>
      <c r="K177" s="10" t="str">
        <f>[1]!MYFB1.135</f>
        <v xml:space="preserve"> -</v>
      </c>
      <c r="L177" s="10" t="str">
        <f>[1]!MYFB1.136</f>
        <v xml:space="preserve"> -</v>
      </c>
      <c r="M177" s="10" t="str">
        <f>[1]!MYFB1.437</f>
        <v xml:space="preserve"> -</v>
      </c>
      <c r="N177" s="10" t="str">
        <f>[1]!MYFB1.406</f>
        <v xml:space="preserve"> -</v>
      </c>
      <c r="O177" s="10" t="str">
        <f>[1]!MYFB1.407</f>
        <v xml:space="preserve"> -</v>
      </c>
      <c r="P177" s="10" t="str">
        <f>[1]!MYFB1.431</f>
        <v>-</v>
      </c>
      <c r="Q177" s="10" t="str">
        <f>[1]!MYFB1.201</f>
        <v xml:space="preserve"> -</v>
      </c>
      <c r="R177" s="10" t="str">
        <f>[1]!MYFB1.202</f>
        <v xml:space="preserve"> -</v>
      </c>
      <c r="S177" s="10" t="str">
        <f>[1]!MYFB1.203</f>
        <v xml:space="preserve"> -</v>
      </c>
      <c r="T177" s="10" t="str">
        <f>[1]!MYFB1.204</f>
        <v xml:space="preserve"> -</v>
      </c>
      <c r="U177" s="10" t="str">
        <f>[1]!MYFB1.205</f>
        <v xml:space="preserve"> -</v>
      </c>
      <c r="V177" s="10" t="str">
        <f>[1]!MYFB1.211</f>
        <v xml:space="preserve"> -</v>
      </c>
      <c r="W177" s="10" t="str">
        <f>[1]!MYFB1.212</f>
        <v xml:space="preserve"> -</v>
      </c>
      <c r="X177" s="10" t="str">
        <f>[1]!MYFB1.213</f>
        <v xml:space="preserve"> -</v>
      </c>
      <c r="Y177" s="10" t="str">
        <f>[1]!MYFB1.214</f>
        <v xml:space="preserve"> -</v>
      </c>
      <c r="Z177" s="10" t="str">
        <f>[1]!MYFB1.215</f>
        <v xml:space="preserve"> -</v>
      </c>
      <c r="AA177" s="10" t="str">
        <f>[1]!MYFB1.221</f>
        <v>-</v>
      </c>
      <c r="AB177" s="10" t="str">
        <f>[1]!MYFB1.222</f>
        <v>-</v>
      </c>
      <c r="AC177" s="10" t="str">
        <f>[1]!MYFB1.223</f>
        <v>-</v>
      </c>
      <c r="AD177" s="10" t="str">
        <f>[1]!MYFB1.224</f>
        <v>-</v>
      </c>
      <c r="AE177" s="10" t="str">
        <f>[1]!MYFB1.225</f>
        <v>-</v>
      </c>
      <c r="AF177" s="10" t="str">
        <f>[1]!MYFB1.231</f>
        <v>-</v>
      </c>
      <c r="AG177" s="10" t="str">
        <f>[1]!MYFB1.232</f>
        <v>-</v>
      </c>
      <c r="AH177" s="10" t="str">
        <f>[1]!MYFB1.233</f>
        <v>-</v>
      </c>
      <c r="AI177" s="10" t="str">
        <f>[1]!MYFB1.234</f>
        <v>-</v>
      </c>
      <c r="AJ177" s="10" t="str">
        <f>[1]!MYFB1.235</f>
        <v>-</v>
      </c>
    </row>
    <row r="178" spans="1:36" s="10" customFormat="1" x14ac:dyDescent="0.25">
      <c r="A178" s="10" t="str">
        <f>"OTFB1"</f>
        <v>OTFB1</v>
      </c>
      <c r="B178" s="10" t="str">
        <f>[1]!OTFB1.402</f>
        <v>不含金電</v>
      </c>
      <c r="C178" s="10">
        <f>[1]!OTFB1.123</f>
        <v>100145</v>
      </c>
      <c r="D178" s="10">
        <f>[1]!OTFB1.124</f>
        <v>13895.21</v>
      </c>
      <c r="E178" s="10">
        <f>[1]!OTFB1.125</f>
        <v>8.6300000000000008</v>
      </c>
      <c r="F178" s="10">
        <f>[1]!OTFB1.128</f>
        <v>435</v>
      </c>
      <c r="G178" s="10">
        <f>[1]!OTFB1.130</f>
        <v>13893.03</v>
      </c>
      <c r="H178" s="10">
        <f>[1]!OTFB1.131</f>
        <v>13945.78</v>
      </c>
      <c r="I178" s="10">
        <f>[1]!OTFB1.132</f>
        <v>13875.82</v>
      </c>
      <c r="J178" s="10">
        <f>[1]!OTFB1.133</f>
        <v>872940</v>
      </c>
      <c r="K178" s="10" t="str">
        <f>[1]!OTFB1.135</f>
        <v xml:space="preserve"> -</v>
      </c>
      <c r="L178" s="10" t="str">
        <f>[1]!OTFB1.136</f>
        <v xml:space="preserve"> -</v>
      </c>
      <c r="M178" s="10" t="str">
        <f>[1]!OTFB1.437</f>
        <v xml:space="preserve"> -</v>
      </c>
      <c r="N178" s="10" t="str">
        <f>[1]!OTFB1.406</f>
        <v xml:space="preserve"> -</v>
      </c>
      <c r="O178" s="10" t="str">
        <f>[1]!OTFB1.407</f>
        <v xml:space="preserve"> -</v>
      </c>
      <c r="P178" s="10" t="str">
        <f>[1]!OTFB1.431</f>
        <v>-</v>
      </c>
      <c r="Q178" s="10" t="str">
        <f>[1]!OTFB1.201</f>
        <v xml:space="preserve"> -</v>
      </c>
      <c r="R178" s="10" t="str">
        <f>[1]!OTFB1.202</f>
        <v xml:space="preserve"> -</v>
      </c>
      <c r="S178" s="10" t="str">
        <f>[1]!OTFB1.203</f>
        <v xml:space="preserve"> -</v>
      </c>
      <c r="T178" s="10" t="str">
        <f>[1]!OTFB1.204</f>
        <v xml:space="preserve"> -</v>
      </c>
      <c r="U178" s="10" t="str">
        <f>[1]!OTFB1.205</f>
        <v xml:space="preserve"> -</v>
      </c>
      <c r="V178" s="10" t="str">
        <f>[1]!OTFB1.211</f>
        <v xml:space="preserve"> -</v>
      </c>
      <c r="W178" s="10" t="str">
        <f>[1]!OTFB1.212</f>
        <v xml:space="preserve"> -</v>
      </c>
      <c r="X178" s="10" t="str">
        <f>[1]!OTFB1.213</f>
        <v xml:space="preserve"> -</v>
      </c>
      <c r="Y178" s="10" t="str">
        <f>[1]!OTFB1.214</f>
        <v xml:space="preserve"> -</v>
      </c>
      <c r="Z178" s="10" t="str">
        <f>[1]!OTFB1.215</f>
        <v xml:space="preserve"> -</v>
      </c>
      <c r="AA178" s="10" t="str">
        <f>[1]!OTFB1.221</f>
        <v>-</v>
      </c>
      <c r="AB178" s="10" t="str">
        <f>[1]!OTFB1.222</f>
        <v>-</v>
      </c>
      <c r="AC178" s="10" t="str">
        <f>[1]!OTFB1.223</f>
        <v>-</v>
      </c>
      <c r="AD178" s="10" t="str">
        <f>[1]!OTFB1.224</f>
        <v>-</v>
      </c>
      <c r="AE178" s="10" t="str">
        <f>[1]!OTFB1.225</f>
        <v>-</v>
      </c>
      <c r="AF178" s="10" t="str">
        <f>[1]!OTFB1.231</f>
        <v>-</v>
      </c>
      <c r="AG178" s="10" t="str">
        <f>[1]!OTFB1.232</f>
        <v>-</v>
      </c>
      <c r="AH178" s="10" t="str">
        <f>[1]!OTFB1.233</f>
        <v>-</v>
      </c>
      <c r="AI178" s="10" t="str">
        <f>[1]!OTFB1.234</f>
        <v>-</v>
      </c>
      <c r="AJ178" s="10" t="str">
        <f>[1]!OTFB1.235</f>
        <v>-</v>
      </c>
    </row>
    <row r="179" spans="1:36" s="10" customFormat="1" x14ac:dyDescent="0.25">
      <c r="A179" s="10" t="str">
        <f>"NAFB1"</f>
        <v>NAFB1</v>
      </c>
      <c r="B179" s="10" t="str">
        <f>[1]!NAFB1.402</f>
        <v>不含金電</v>
      </c>
      <c r="C179" s="10">
        <f>[1]!NAFB1.123</f>
        <v>100150</v>
      </c>
      <c r="D179" s="10">
        <f>[1]!NAFB1.124</f>
        <v>13900.72</v>
      </c>
      <c r="E179" s="10">
        <f>[1]!NAFB1.125</f>
        <v>14.14</v>
      </c>
      <c r="F179" s="10">
        <f>[1]!NAFB1.128</f>
        <v>887</v>
      </c>
      <c r="G179" s="10">
        <f>[1]!NAFB1.130</f>
        <v>13893.03</v>
      </c>
      <c r="H179" s="10">
        <f>[1]!NAFB1.131</f>
        <v>13945.78</v>
      </c>
      <c r="I179" s="10">
        <f>[1]!NAFB1.132</f>
        <v>13875.82</v>
      </c>
      <c r="J179" s="10">
        <f>[1]!NAFB1.133</f>
        <v>873827</v>
      </c>
      <c r="K179" s="10" t="str">
        <f>[1]!NAFB1.135</f>
        <v xml:space="preserve"> -</v>
      </c>
      <c r="L179" s="10" t="str">
        <f>[1]!NAFB1.136</f>
        <v xml:space="preserve"> -</v>
      </c>
      <c r="M179" s="10" t="str">
        <f>[1]!NAFB1.437</f>
        <v xml:space="preserve"> -</v>
      </c>
      <c r="N179" s="10" t="str">
        <f>[1]!NAFB1.406</f>
        <v xml:space="preserve"> -</v>
      </c>
      <c r="O179" s="10" t="str">
        <f>[1]!NAFB1.407</f>
        <v xml:space="preserve"> -</v>
      </c>
      <c r="P179" s="10" t="str">
        <f>[1]!NAFB1.431</f>
        <v>-</v>
      </c>
      <c r="Q179" s="10" t="str">
        <f>[1]!NAFB1.201</f>
        <v xml:space="preserve"> -</v>
      </c>
      <c r="R179" s="10" t="str">
        <f>[1]!NAFB1.202</f>
        <v xml:space="preserve"> -</v>
      </c>
      <c r="S179" s="10" t="str">
        <f>[1]!NAFB1.203</f>
        <v xml:space="preserve"> -</v>
      </c>
      <c r="T179" s="10" t="str">
        <f>[1]!NAFB1.204</f>
        <v xml:space="preserve"> -</v>
      </c>
      <c r="U179" s="10" t="str">
        <f>[1]!NAFB1.205</f>
        <v xml:space="preserve"> -</v>
      </c>
      <c r="V179" s="10" t="str">
        <f>[1]!NAFB1.211</f>
        <v xml:space="preserve"> -</v>
      </c>
      <c r="W179" s="10" t="str">
        <f>[1]!NAFB1.212</f>
        <v xml:space="preserve"> -</v>
      </c>
      <c r="X179" s="10" t="str">
        <f>[1]!NAFB1.213</f>
        <v xml:space="preserve"> -</v>
      </c>
      <c r="Y179" s="10" t="str">
        <f>[1]!NAFB1.214</f>
        <v xml:space="preserve"> -</v>
      </c>
      <c r="Z179" s="10" t="str">
        <f>[1]!NAFB1.215</f>
        <v xml:space="preserve"> -</v>
      </c>
      <c r="AA179" s="10" t="str">
        <f>[1]!NAFB1.221</f>
        <v>-</v>
      </c>
      <c r="AB179" s="10" t="str">
        <f>[1]!NAFB1.222</f>
        <v>-</v>
      </c>
      <c r="AC179" s="10" t="str">
        <f>[1]!NAFB1.223</f>
        <v>-</v>
      </c>
      <c r="AD179" s="10" t="str">
        <f>[1]!NAFB1.224</f>
        <v>-</v>
      </c>
      <c r="AE179" s="10" t="str">
        <f>[1]!NAFB1.225</f>
        <v>-</v>
      </c>
      <c r="AF179" s="10" t="str">
        <f>[1]!NAFB1.231</f>
        <v>-</v>
      </c>
      <c r="AG179" s="10" t="str">
        <f>[1]!NAFB1.232</f>
        <v>-</v>
      </c>
      <c r="AH179" s="10" t="str">
        <f>[1]!NAFB1.233</f>
        <v>-</v>
      </c>
      <c r="AI179" s="10" t="str">
        <f>[1]!NAFB1.234</f>
        <v>-</v>
      </c>
      <c r="AJ179" s="10" t="str">
        <f>[1]!NAFB1.235</f>
        <v>-</v>
      </c>
    </row>
    <row r="180" spans="1:36" s="10" customFormat="1" x14ac:dyDescent="0.25">
      <c r="A180" s="10" t="str">
        <f>"QIFB1"</f>
        <v>QIFB1</v>
      </c>
      <c r="B180" s="10" t="e">
        <f>[1]!QIFB1.402</f>
        <v>#N/A</v>
      </c>
      <c r="C180" s="10">
        <f>[1]!QIFB1.123</f>
        <v>0</v>
      </c>
      <c r="D180" s="10">
        <f>[1]!QIFB1.124</f>
        <v>20878632</v>
      </c>
      <c r="E180" s="10" t="str">
        <f>[1]!QIFB1.125</f>
        <v xml:space="preserve"> </v>
      </c>
      <c r="F180" s="10">
        <f>[1]!QIFB1.128</f>
        <v>1212870150</v>
      </c>
      <c r="G180" s="10">
        <f>[1]!QIFB1.130</f>
        <v>20803788</v>
      </c>
      <c r="H180" s="10">
        <f>[1]!QIFB1.131</f>
        <v>20804690</v>
      </c>
      <c r="I180" s="10">
        <f>[1]!QIFB1.132</f>
        <v>10989732</v>
      </c>
      <c r="J180" s="10">
        <f>[1]!QIFB1.133</f>
        <v>2088371110</v>
      </c>
      <c r="K180" s="10" t="str">
        <f>[1]!QIFB1.135</f>
        <v xml:space="preserve"> -</v>
      </c>
      <c r="L180" s="10" t="str">
        <f>[1]!QIFB1.136</f>
        <v xml:space="preserve"> -</v>
      </c>
      <c r="M180" s="10" t="str">
        <f>[1]!QIFB1.437</f>
        <v xml:space="preserve"> -</v>
      </c>
      <c r="N180" s="10" t="str">
        <f>[1]!QIFB1.406</f>
        <v xml:space="preserve"> -</v>
      </c>
      <c r="O180" s="10" t="str">
        <f>[1]!QIFB1.407</f>
        <v xml:space="preserve"> -</v>
      </c>
      <c r="P180" s="10" t="str">
        <f>[1]!QIFB1.431</f>
        <v>-</v>
      </c>
      <c r="Q180" s="10" t="str">
        <f>[1]!QIFB1.201</f>
        <v xml:space="preserve"> -</v>
      </c>
      <c r="R180" s="10" t="str">
        <f>[1]!QIFB1.202</f>
        <v xml:space="preserve"> -</v>
      </c>
      <c r="S180" s="10" t="str">
        <f>[1]!QIFB1.203</f>
        <v xml:space="preserve"> -</v>
      </c>
      <c r="T180" s="10" t="str">
        <f>[1]!QIFB1.204</f>
        <v xml:space="preserve"> -</v>
      </c>
      <c r="U180" s="10" t="str">
        <f>[1]!QIFB1.205</f>
        <v xml:space="preserve"> -</v>
      </c>
      <c r="V180" s="10" t="str">
        <f>[1]!QIFB1.211</f>
        <v xml:space="preserve"> -</v>
      </c>
      <c r="W180" s="10" t="str">
        <f>[1]!QIFB1.212</f>
        <v xml:space="preserve"> -</v>
      </c>
      <c r="X180" s="10" t="str">
        <f>[1]!QIFB1.213</f>
        <v xml:space="preserve"> -</v>
      </c>
      <c r="Y180" s="10" t="str">
        <f>[1]!QIFB1.214</f>
        <v xml:space="preserve"> -</v>
      </c>
      <c r="Z180" s="10" t="str">
        <f>[1]!QIFB1.215</f>
        <v xml:space="preserve"> -</v>
      </c>
      <c r="AA180" s="10" t="str">
        <f>[1]!QIFB1.221</f>
        <v>-</v>
      </c>
      <c r="AB180" s="10" t="str">
        <f>[1]!QIFB1.222</f>
        <v>-</v>
      </c>
      <c r="AC180" s="10" t="str">
        <f>[1]!QIFB1.223</f>
        <v>-</v>
      </c>
      <c r="AD180" s="10" t="str">
        <f>[1]!QIFB1.224</f>
        <v>-</v>
      </c>
      <c r="AE180" s="10" t="str">
        <f>[1]!QIFB1.225</f>
        <v>-</v>
      </c>
      <c r="AF180" s="10" t="str">
        <f>[1]!QIFB1.231</f>
        <v>-</v>
      </c>
      <c r="AG180" s="10" t="str">
        <f>[1]!QIFB1.232</f>
        <v>-</v>
      </c>
      <c r="AH180" s="10" t="str">
        <f>[1]!QIFB1.233</f>
        <v>-</v>
      </c>
      <c r="AI180" s="10" t="str">
        <f>[1]!QIFB1.234</f>
        <v>-</v>
      </c>
      <c r="AJ180" s="10" t="str">
        <f>[1]!QIFB1.235</f>
        <v>-</v>
      </c>
    </row>
    <row r="181" spans="1:36" s="10" customFormat="1" x14ac:dyDescent="0.25">
      <c r="A181" s="10" t="str">
        <f>"NBFB1"</f>
        <v>NBFB1</v>
      </c>
      <c r="B181" s="10" t="str">
        <f>[1]!NBFB1.402</f>
        <v>加權指數</v>
      </c>
      <c r="C181" s="10">
        <f>[1]!NBFB1.123</f>
        <v>100150</v>
      </c>
      <c r="D181" s="10">
        <f>[1]!NBFB1.124</f>
        <v>16421.62</v>
      </c>
      <c r="E181" s="10">
        <f>[1]!NBFB1.125</f>
        <v>-21.78</v>
      </c>
      <c r="F181" s="10">
        <f>[1]!NBFB1.128</f>
        <v>2439</v>
      </c>
      <c r="G181" s="10">
        <f>[1]!NBFB1.130</f>
        <v>16329.54</v>
      </c>
      <c r="H181" s="10">
        <f>[1]!NBFB1.131</f>
        <v>16456.939999999999</v>
      </c>
      <c r="I181" s="10">
        <f>[1]!NBFB1.132</f>
        <v>16329.54</v>
      </c>
      <c r="J181" s="10">
        <f>[1]!NBFB1.133</f>
        <v>4027056</v>
      </c>
      <c r="K181" s="10" t="str">
        <f>[1]!NBFB1.135</f>
        <v xml:space="preserve"> -</v>
      </c>
      <c r="L181" s="10" t="str">
        <f>[1]!NBFB1.136</f>
        <v xml:space="preserve"> -</v>
      </c>
      <c r="M181" s="10" t="str">
        <f>[1]!NBFB1.437</f>
        <v xml:space="preserve"> -</v>
      </c>
      <c r="N181" s="10" t="str">
        <f>[1]!NBFB1.406</f>
        <v xml:space="preserve"> -</v>
      </c>
      <c r="O181" s="10" t="str">
        <f>[1]!NBFB1.407</f>
        <v xml:space="preserve"> -</v>
      </c>
      <c r="P181" s="10" t="str">
        <f>[1]!NBFB1.431</f>
        <v>-</v>
      </c>
      <c r="Q181" s="10" t="str">
        <f>[1]!NBFB1.201</f>
        <v xml:space="preserve"> -</v>
      </c>
      <c r="R181" s="10" t="str">
        <f>[1]!NBFB1.202</f>
        <v xml:space="preserve"> -</v>
      </c>
      <c r="S181" s="10" t="str">
        <f>[1]!NBFB1.203</f>
        <v xml:space="preserve"> -</v>
      </c>
      <c r="T181" s="10" t="str">
        <f>[1]!NBFB1.204</f>
        <v xml:space="preserve"> -</v>
      </c>
      <c r="U181" s="10" t="str">
        <f>[1]!NBFB1.205</f>
        <v xml:space="preserve"> -</v>
      </c>
      <c r="V181" s="10" t="str">
        <f>[1]!NBFB1.211</f>
        <v xml:space="preserve"> -</v>
      </c>
      <c r="W181" s="10" t="str">
        <f>[1]!NBFB1.212</f>
        <v xml:space="preserve"> -</v>
      </c>
      <c r="X181" s="10" t="str">
        <f>[1]!NBFB1.213</f>
        <v xml:space="preserve"> -</v>
      </c>
      <c r="Y181" s="10" t="str">
        <f>[1]!NBFB1.214</f>
        <v xml:space="preserve"> -</v>
      </c>
      <c r="Z181" s="10" t="str">
        <f>[1]!NBFB1.215</f>
        <v xml:space="preserve"> -</v>
      </c>
      <c r="AA181" s="10" t="str">
        <f>[1]!NBFB1.221</f>
        <v>-</v>
      </c>
      <c r="AB181" s="10" t="str">
        <f>[1]!NBFB1.222</f>
        <v>-</v>
      </c>
      <c r="AC181" s="10" t="str">
        <f>[1]!NBFB1.223</f>
        <v>-</v>
      </c>
      <c r="AD181" s="10" t="str">
        <f>[1]!NBFB1.224</f>
        <v>-</v>
      </c>
      <c r="AE181" s="10" t="str">
        <f>[1]!NBFB1.225</f>
        <v>-</v>
      </c>
      <c r="AF181" s="10" t="str">
        <f>[1]!NBFB1.231</f>
        <v>-</v>
      </c>
      <c r="AG181" s="10" t="str">
        <f>[1]!NBFB1.232</f>
        <v>-</v>
      </c>
      <c r="AH181" s="10" t="str">
        <f>[1]!NBFB1.233</f>
        <v>-</v>
      </c>
      <c r="AI181" s="10" t="str">
        <f>[1]!NBFB1.234</f>
        <v>-</v>
      </c>
      <c r="AJ181" s="10" t="str">
        <f>[1]!NBFB1.235</f>
        <v>-</v>
      </c>
    </row>
    <row r="182" spans="1:36" s="10" customFormat="1" x14ac:dyDescent="0.25">
      <c r="A182" s="10" t="str">
        <f>"NCFB1"</f>
        <v>NCFB1</v>
      </c>
      <c r="B182" s="10" t="str">
        <f>[1]!NCFB1.402</f>
        <v>加權指數</v>
      </c>
      <c r="C182" s="10">
        <f>[1]!NCFB1.123</f>
        <v>100145</v>
      </c>
      <c r="D182" s="10">
        <f>[1]!NCFB1.124</f>
        <v>16422.560000000001</v>
      </c>
      <c r="E182" s="10">
        <f>[1]!NCFB1.125</f>
        <v>-20.84</v>
      </c>
      <c r="F182" s="10">
        <f>[1]!NCFB1.128</f>
        <v>1824</v>
      </c>
      <c r="G182" s="10">
        <f>[1]!NCFB1.130</f>
        <v>16329.54</v>
      </c>
      <c r="H182" s="10">
        <f>[1]!NCFB1.131</f>
        <v>16456.939999999999</v>
      </c>
      <c r="I182" s="10">
        <f>[1]!NCFB1.132</f>
        <v>16329.54</v>
      </c>
      <c r="J182" s="10">
        <f>[1]!NCFB1.133</f>
        <v>4024617</v>
      </c>
      <c r="K182" s="10" t="str">
        <f>[1]!NCFB1.135</f>
        <v xml:space="preserve"> -</v>
      </c>
      <c r="L182" s="10" t="str">
        <f>[1]!NCFB1.136</f>
        <v xml:space="preserve"> -</v>
      </c>
      <c r="M182" s="10" t="str">
        <f>[1]!NCFB1.437</f>
        <v xml:space="preserve"> -</v>
      </c>
      <c r="N182" s="10" t="str">
        <f>[1]!NCFB1.406</f>
        <v xml:space="preserve"> -</v>
      </c>
      <c r="O182" s="10" t="str">
        <f>[1]!NCFB1.407</f>
        <v xml:space="preserve"> -</v>
      </c>
      <c r="P182" s="10" t="str">
        <f>[1]!NCFB1.431</f>
        <v>-</v>
      </c>
      <c r="Q182" s="10" t="str">
        <f>[1]!NCFB1.201</f>
        <v xml:space="preserve"> -</v>
      </c>
      <c r="R182" s="10" t="str">
        <f>[1]!NCFB1.202</f>
        <v xml:space="preserve"> -</v>
      </c>
      <c r="S182" s="10" t="str">
        <f>[1]!NCFB1.203</f>
        <v xml:space="preserve"> -</v>
      </c>
      <c r="T182" s="10" t="str">
        <f>[1]!NCFB1.204</f>
        <v xml:space="preserve"> -</v>
      </c>
      <c r="U182" s="10" t="str">
        <f>[1]!NCFB1.205</f>
        <v xml:space="preserve"> -</v>
      </c>
      <c r="V182" s="10" t="str">
        <f>[1]!NCFB1.211</f>
        <v xml:space="preserve"> -</v>
      </c>
      <c r="W182" s="10" t="str">
        <f>[1]!NCFB1.212</f>
        <v xml:space="preserve"> -</v>
      </c>
      <c r="X182" s="10" t="str">
        <f>[1]!NCFB1.213</f>
        <v xml:space="preserve"> -</v>
      </c>
      <c r="Y182" s="10" t="str">
        <f>[1]!NCFB1.214</f>
        <v xml:space="preserve"> -</v>
      </c>
      <c r="Z182" s="10" t="str">
        <f>[1]!NCFB1.215</f>
        <v xml:space="preserve"> -</v>
      </c>
      <c r="AA182" s="10" t="str">
        <f>[1]!NCFB1.221</f>
        <v>-</v>
      </c>
      <c r="AB182" s="10" t="str">
        <f>[1]!NCFB1.222</f>
        <v>-</v>
      </c>
      <c r="AC182" s="10" t="str">
        <f>[1]!NCFB1.223</f>
        <v>-</v>
      </c>
      <c r="AD182" s="10" t="str">
        <f>[1]!NCFB1.224</f>
        <v>-</v>
      </c>
      <c r="AE182" s="10" t="str">
        <f>[1]!NCFB1.225</f>
        <v>-</v>
      </c>
      <c r="AF182" s="10" t="str">
        <f>[1]!NCFB1.231</f>
        <v>-</v>
      </c>
      <c r="AG182" s="10" t="str">
        <f>[1]!NCFB1.232</f>
        <v>-</v>
      </c>
      <c r="AH182" s="10" t="str">
        <f>[1]!NCFB1.233</f>
        <v>-</v>
      </c>
      <c r="AI182" s="10" t="str">
        <f>[1]!NCFB1.234</f>
        <v>-</v>
      </c>
      <c r="AJ182" s="10" t="str">
        <f>[1]!NCFB1.235</f>
        <v>-</v>
      </c>
    </row>
    <row r="183" spans="1:36" s="10" customFormat="1" x14ac:dyDescent="0.25">
      <c r="A183" s="10" t="str">
        <f>"PAFB1"</f>
        <v>PAFB1</v>
      </c>
      <c r="B183" s="10" t="str">
        <f>[1]!PAFB1.402</f>
        <v>加權指數</v>
      </c>
      <c r="C183" s="10">
        <f>[1]!PAFB1.123</f>
        <v>100130</v>
      </c>
      <c r="D183" s="10">
        <f>[1]!PAFB1.124</f>
        <v>16422.080000000002</v>
      </c>
      <c r="E183" s="10">
        <f>[1]!PAFB1.125</f>
        <v>-21.32</v>
      </c>
      <c r="F183" s="10">
        <f>[1]!PAFB1.128</f>
        <v>3347</v>
      </c>
      <c r="G183" s="10">
        <f>[1]!PAFB1.130</f>
        <v>16329.54</v>
      </c>
      <c r="H183" s="10">
        <f>[1]!PAFB1.131</f>
        <v>16456.939999999999</v>
      </c>
      <c r="I183" s="10">
        <f>[1]!PAFB1.132</f>
        <v>16329.54</v>
      </c>
      <c r="J183" s="10">
        <f>[1]!PAFB1.133</f>
        <v>4018459</v>
      </c>
      <c r="K183" s="10" t="str">
        <f>[1]!PAFB1.135</f>
        <v xml:space="preserve"> -</v>
      </c>
      <c r="L183" s="10" t="str">
        <f>[1]!PAFB1.136</f>
        <v xml:space="preserve"> -</v>
      </c>
      <c r="M183" s="10" t="str">
        <f>[1]!PAFB1.437</f>
        <v xml:space="preserve"> -</v>
      </c>
      <c r="N183" s="10" t="str">
        <f>[1]!PAFB1.406</f>
        <v xml:space="preserve"> -</v>
      </c>
      <c r="O183" s="10" t="str">
        <f>[1]!PAFB1.407</f>
        <v xml:space="preserve"> -</v>
      </c>
      <c r="P183" s="10" t="str">
        <f>[1]!PAFB1.431</f>
        <v>-</v>
      </c>
      <c r="Q183" s="10" t="str">
        <f>[1]!PAFB1.201</f>
        <v xml:space="preserve"> -</v>
      </c>
      <c r="R183" s="10" t="str">
        <f>[1]!PAFB1.202</f>
        <v xml:space="preserve"> -</v>
      </c>
      <c r="S183" s="10" t="str">
        <f>[1]!PAFB1.203</f>
        <v xml:space="preserve"> -</v>
      </c>
      <c r="T183" s="10" t="str">
        <f>[1]!PAFB1.204</f>
        <v xml:space="preserve"> -</v>
      </c>
      <c r="U183" s="10" t="str">
        <f>[1]!PAFB1.205</f>
        <v xml:space="preserve"> -</v>
      </c>
      <c r="V183" s="10" t="str">
        <f>[1]!PAFB1.211</f>
        <v xml:space="preserve"> -</v>
      </c>
      <c r="W183" s="10" t="str">
        <f>[1]!PAFB1.212</f>
        <v xml:space="preserve"> -</v>
      </c>
      <c r="X183" s="10" t="str">
        <f>[1]!PAFB1.213</f>
        <v xml:space="preserve"> -</v>
      </c>
      <c r="Y183" s="10" t="str">
        <f>[1]!PAFB1.214</f>
        <v xml:space="preserve"> -</v>
      </c>
      <c r="Z183" s="10" t="str">
        <f>[1]!PAFB1.215</f>
        <v xml:space="preserve"> -</v>
      </c>
      <c r="AA183" s="10" t="str">
        <f>[1]!PAFB1.221</f>
        <v>-</v>
      </c>
      <c r="AB183" s="10" t="str">
        <f>[1]!PAFB1.222</f>
        <v>-</v>
      </c>
      <c r="AC183" s="10" t="str">
        <f>[1]!PAFB1.223</f>
        <v>-</v>
      </c>
      <c r="AD183" s="10" t="str">
        <f>[1]!PAFB1.224</f>
        <v>-</v>
      </c>
      <c r="AE183" s="10" t="str">
        <f>[1]!PAFB1.225</f>
        <v>-</v>
      </c>
      <c r="AF183" s="10" t="str">
        <f>[1]!PAFB1.231</f>
        <v>-</v>
      </c>
      <c r="AG183" s="10" t="str">
        <f>[1]!PAFB1.232</f>
        <v>-</v>
      </c>
      <c r="AH183" s="10" t="str">
        <f>[1]!PAFB1.233</f>
        <v>-</v>
      </c>
      <c r="AI183" s="10" t="str">
        <f>[1]!PAFB1.234</f>
        <v>-</v>
      </c>
      <c r="AJ183" s="10" t="str">
        <f>[1]!PAFB1.235</f>
        <v>-</v>
      </c>
    </row>
    <row r="184" spans="1:36" s="10" customFormat="1" x14ac:dyDescent="0.25">
      <c r="A184" s="10" t="str">
        <f>"NDFB1"</f>
        <v>NDFB1</v>
      </c>
      <c r="B184" s="10" t="str">
        <f>[1]!NDFB1.402</f>
        <v>加權指數</v>
      </c>
      <c r="C184" s="10">
        <f>[1]!NDFB1.123</f>
        <v>100145</v>
      </c>
      <c r="D184" s="10">
        <f>[1]!NDFB1.124</f>
        <v>16422.560000000001</v>
      </c>
      <c r="E184" s="10">
        <f>[1]!NDFB1.125</f>
        <v>-20.84</v>
      </c>
      <c r="F184" s="10">
        <f>[1]!NDFB1.128</f>
        <v>1824</v>
      </c>
      <c r="G184" s="10">
        <f>[1]!NDFB1.130</f>
        <v>16329.54</v>
      </c>
      <c r="H184" s="10">
        <f>[1]!NDFB1.131</f>
        <v>16456.939999999999</v>
      </c>
      <c r="I184" s="10">
        <f>[1]!NDFB1.132</f>
        <v>16329.54</v>
      </c>
      <c r="J184" s="10">
        <f>[1]!NDFB1.133</f>
        <v>4024617</v>
      </c>
      <c r="K184" s="10" t="str">
        <f>[1]!NDFB1.135</f>
        <v xml:space="preserve"> -</v>
      </c>
      <c r="L184" s="10" t="str">
        <f>[1]!NDFB1.136</f>
        <v xml:space="preserve"> -</v>
      </c>
      <c r="M184" s="10" t="str">
        <f>[1]!NDFB1.437</f>
        <v xml:space="preserve"> -</v>
      </c>
      <c r="N184" s="10" t="str">
        <f>[1]!NDFB1.406</f>
        <v xml:space="preserve"> -</v>
      </c>
      <c r="O184" s="10" t="str">
        <f>[1]!NDFB1.407</f>
        <v xml:space="preserve"> -</v>
      </c>
      <c r="P184" s="10" t="str">
        <f>[1]!NDFB1.431</f>
        <v>-</v>
      </c>
      <c r="Q184" s="10" t="str">
        <f>[1]!NDFB1.201</f>
        <v xml:space="preserve"> -</v>
      </c>
      <c r="R184" s="10" t="str">
        <f>[1]!NDFB1.202</f>
        <v xml:space="preserve"> -</v>
      </c>
      <c r="S184" s="10" t="str">
        <f>[1]!NDFB1.203</f>
        <v xml:space="preserve"> -</v>
      </c>
      <c r="T184" s="10" t="str">
        <f>[1]!NDFB1.204</f>
        <v xml:space="preserve"> -</v>
      </c>
      <c r="U184" s="10" t="str">
        <f>[1]!NDFB1.205</f>
        <v xml:space="preserve"> -</v>
      </c>
      <c r="V184" s="10" t="str">
        <f>[1]!NDFB1.211</f>
        <v xml:space="preserve"> -</v>
      </c>
      <c r="W184" s="10" t="str">
        <f>[1]!NDFB1.212</f>
        <v xml:space="preserve"> -</v>
      </c>
      <c r="X184" s="10" t="str">
        <f>[1]!NDFB1.213</f>
        <v xml:space="preserve"> -</v>
      </c>
      <c r="Y184" s="10" t="str">
        <f>[1]!NDFB1.214</f>
        <v xml:space="preserve"> -</v>
      </c>
      <c r="Z184" s="10" t="str">
        <f>[1]!NDFB1.215</f>
        <v xml:space="preserve"> -</v>
      </c>
      <c r="AA184" s="10" t="str">
        <f>[1]!NDFB1.221</f>
        <v>-</v>
      </c>
      <c r="AB184" s="10" t="str">
        <f>[1]!NDFB1.222</f>
        <v>-</v>
      </c>
      <c r="AC184" s="10" t="str">
        <f>[1]!NDFB1.223</f>
        <v>-</v>
      </c>
      <c r="AD184" s="10" t="str">
        <f>[1]!NDFB1.224</f>
        <v>-</v>
      </c>
      <c r="AE184" s="10" t="str">
        <f>[1]!NDFB1.225</f>
        <v>-</v>
      </c>
      <c r="AF184" s="10" t="str">
        <f>[1]!NDFB1.231</f>
        <v>-</v>
      </c>
      <c r="AG184" s="10" t="str">
        <f>[1]!NDFB1.232</f>
        <v>-</v>
      </c>
      <c r="AH184" s="10" t="str">
        <f>[1]!NDFB1.233</f>
        <v>-</v>
      </c>
      <c r="AI184" s="10" t="str">
        <f>[1]!NDFB1.234</f>
        <v>-</v>
      </c>
      <c r="AJ184" s="10" t="str">
        <f>[1]!NDFB1.235</f>
        <v>-</v>
      </c>
    </row>
    <row r="185" spans="1:36" s="10" customFormat="1" x14ac:dyDescent="0.25">
      <c r="A185" s="10" t="str">
        <f>"NEFB1"</f>
        <v>NEFB1</v>
      </c>
      <c r="B185" s="10" t="str">
        <f>[1]!NEFB1.402</f>
        <v>不含金電</v>
      </c>
      <c r="C185" s="10">
        <f>[1]!NEFB1.123</f>
        <v>100145</v>
      </c>
      <c r="D185" s="10">
        <f>[1]!NEFB1.124</f>
        <v>13895.21</v>
      </c>
      <c r="E185" s="10">
        <f>[1]!NEFB1.125</f>
        <v>8.6300000000000008</v>
      </c>
      <c r="F185" s="10">
        <f>[1]!NEFB1.128</f>
        <v>435</v>
      </c>
      <c r="G185" s="10">
        <f>[1]!NEFB1.130</f>
        <v>13893.03</v>
      </c>
      <c r="H185" s="10">
        <f>[1]!NEFB1.131</f>
        <v>13945.78</v>
      </c>
      <c r="I185" s="10">
        <f>[1]!NEFB1.132</f>
        <v>13875.82</v>
      </c>
      <c r="J185" s="10">
        <f>[1]!NEFB1.133</f>
        <v>872940</v>
      </c>
      <c r="K185" s="10" t="str">
        <f>[1]!NEFB1.135</f>
        <v xml:space="preserve"> -</v>
      </c>
      <c r="L185" s="10" t="str">
        <f>[1]!NEFB1.136</f>
        <v xml:space="preserve"> -</v>
      </c>
      <c r="M185" s="10" t="str">
        <f>[1]!NEFB1.437</f>
        <v xml:space="preserve"> -</v>
      </c>
      <c r="N185" s="10" t="str">
        <f>[1]!NEFB1.406</f>
        <v xml:space="preserve"> -</v>
      </c>
      <c r="O185" s="10" t="str">
        <f>[1]!NEFB1.407</f>
        <v xml:space="preserve"> -</v>
      </c>
      <c r="P185" s="10" t="str">
        <f>[1]!NEFB1.431</f>
        <v>-</v>
      </c>
      <c r="Q185" s="10" t="str">
        <f>[1]!NEFB1.201</f>
        <v xml:space="preserve"> -</v>
      </c>
      <c r="R185" s="10" t="str">
        <f>[1]!NEFB1.202</f>
        <v xml:space="preserve"> -</v>
      </c>
      <c r="S185" s="10" t="str">
        <f>[1]!NEFB1.203</f>
        <v xml:space="preserve"> -</v>
      </c>
      <c r="T185" s="10" t="str">
        <f>[1]!NEFB1.204</f>
        <v xml:space="preserve"> -</v>
      </c>
      <c r="U185" s="10" t="str">
        <f>[1]!NEFB1.205</f>
        <v xml:space="preserve"> -</v>
      </c>
      <c r="V185" s="10" t="str">
        <f>[1]!NEFB1.211</f>
        <v xml:space="preserve"> -</v>
      </c>
      <c r="W185" s="10" t="str">
        <f>[1]!NEFB1.212</f>
        <v xml:space="preserve"> -</v>
      </c>
      <c r="X185" s="10" t="str">
        <f>[1]!NEFB1.213</f>
        <v xml:space="preserve"> -</v>
      </c>
      <c r="Y185" s="10" t="str">
        <f>[1]!NEFB1.214</f>
        <v xml:space="preserve"> -</v>
      </c>
      <c r="Z185" s="10" t="str">
        <f>[1]!NEFB1.215</f>
        <v xml:space="preserve"> -</v>
      </c>
      <c r="AA185" s="10" t="str">
        <f>[1]!NEFB1.221</f>
        <v>-</v>
      </c>
      <c r="AB185" s="10" t="str">
        <f>[1]!NEFB1.222</f>
        <v>-</v>
      </c>
      <c r="AC185" s="10" t="str">
        <f>[1]!NEFB1.223</f>
        <v>-</v>
      </c>
      <c r="AD185" s="10" t="str">
        <f>[1]!NEFB1.224</f>
        <v>-</v>
      </c>
      <c r="AE185" s="10" t="str">
        <f>[1]!NEFB1.225</f>
        <v>-</v>
      </c>
      <c r="AF185" s="10" t="str">
        <f>[1]!NEFB1.231</f>
        <v>-</v>
      </c>
      <c r="AG185" s="10" t="str">
        <f>[1]!NEFB1.232</f>
        <v>-</v>
      </c>
      <c r="AH185" s="10" t="str">
        <f>[1]!NEFB1.233</f>
        <v>-</v>
      </c>
      <c r="AI185" s="10" t="str">
        <f>[1]!NEFB1.234</f>
        <v>-</v>
      </c>
      <c r="AJ185" s="10" t="str">
        <f>[1]!NEFB1.235</f>
        <v>-</v>
      </c>
    </row>
    <row r="186" spans="1:36" s="10" customFormat="1" x14ac:dyDescent="0.25">
      <c r="A186" s="10" t="str">
        <f>"PXFB1"</f>
        <v>PXFB1</v>
      </c>
      <c r="B186" s="10" t="str">
        <f>[1]!PXFB1.402</f>
        <v>不含金電</v>
      </c>
      <c r="C186" s="10">
        <f>[1]!PXFB1.123</f>
        <v>100140</v>
      </c>
      <c r="D186" s="10">
        <f>[1]!PXFB1.124</f>
        <v>13893.18</v>
      </c>
      <c r="E186" s="10">
        <f>[1]!PXFB1.125</f>
        <v>6.6</v>
      </c>
      <c r="F186" s="10">
        <f>[1]!PXFB1.128</f>
        <v>720</v>
      </c>
      <c r="G186" s="10">
        <f>[1]!PXFB1.130</f>
        <v>13893.03</v>
      </c>
      <c r="H186" s="10">
        <f>[1]!PXFB1.131</f>
        <v>13945.78</v>
      </c>
      <c r="I186" s="10">
        <f>[1]!PXFB1.132</f>
        <v>13875.82</v>
      </c>
      <c r="J186" s="10">
        <f>[1]!PXFB1.133</f>
        <v>872505</v>
      </c>
      <c r="K186" s="10" t="str">
        <f>[1]!PXFB1.135</f>
        <v xml:space="preserve"> -</v>
      </c>
      <c r="L186" s="10" t="str">
        <f>[1]!PXFB1.136</f>
        <v xml:space="preserve"> -</v>
      </c>
      <c r="M186" s="10" t="str">
        <f>[1]!PXFB1.437</f>
        <v xml:space="preserve"> -</v>
      </c>
      <c r="N186" s="10" t="str">
        <f>[1]!PXFB1.406</f>
        <v xml:space="preserve"> -</v>
      </c>
      <c r="O186" s="10" t="str">
        <f>[1]!PXFB1.407</f>
        <v xml:space="preserve"> -</v>
      </c>
      <c r="P186" s="10" t="str">
        <f>[1]!PXFB1.431</f>
        <v>-</v>
      </c>
      <c r="Q186" s="10" t="str">
        <f>[1]!PXFB1.201</f>
        <v xml:space="preserve"> -</v>
      </c>
      <c r="R186" s="10" t="str">
        <f>[1]!PXFB1.202</f>
        <v xml:space="preserve"> -</v>
      </c>
      <c r="S186" s="10" t="str">
        <f>[1]!PXFB1.203</f>
        <v xml:space="preserve"> -</v>
      </c>
      <c r="T186" s="10" t="str">
        <f>[1]!PXFB1.204</f>
        <v xml:space="preserve"> -</v>
      </c>
      <c r="U186" s="10" t="str">
        <f>[1]!PXFB1.205</f>
        <v xml:space="preserve"> -</v>
      </c>
      <c r="V186" s="10" t="str">
        <f>[1]!PXFB1.211</f>
        <v xml:space="preserve"> -</v>
      </c>
      <c r="W186" s="10" t="str">
        <f>[1]!PXFB1.212</f>
        <v xml:space="preserve"> -</v>
      </c>
      <c r="X186" s="10" t="str">
        <f>[1]!PXFB1.213</f>
        <v xml:space="preserve"> -</v>
      </c>
      <c r="Y186" s="10" t="str">
        <f>[1]!PXFB1.214</f>
        <v xml:space="preserve"> -</v>
      </c>
      <c r="Z186" s="10" t="str">
        <f>[1]!PXFB1.215</f>
        <v xml:space="preserve"> -</v>
      </c>
      <c r="AA186" s="10" t="str">
        <f>[1]!PXFB1.221</f>
        <v>-</v>
      </c>
      <c r="AB186" s="10" t="str">
        <f>[1]!PXFB1.222</f>
        <v>-</v>
      </c>
      <c r="AC186" s="10" t="str">
        <f>[1]!PXFB1.223</f>
        <v>-</v>
      </c>
      <c r="AD186" s="10" t="str">
        <f>[1]!PXFB1.224</f>
        <v>-</v>
      </c>
      <c r="AE186" s="10" t="str">
        <f>[1]!PXFB1.225</f>
        <v>-</v>
      </c>
      <c r="AF186" s="10" t="str">
        <f>[1]!PXFB1.231</f>
        <v>-</v>
      </c>
      <c r="AG186" s="10" t="str">
        <f>[1]!PXFB1.232</f>
        <v>-</v>
      </c>
      <c r="AH186" s="10" t="str">
        <f>[1]!PXFB1.233</f>
        <v>-</v>
      </c>
      <c r="AI186" s="10" t="str">
        <f>[1]!PXFB1.234</f>
        <v>-</v>
      </c>
      <c r="AJ186" s="10" t="str">
        <f>[1]!PXFB1.235</f>
        <v>-</v>
      </c>
    </row>
    <row r="187" spans="1:36" s="10" customFormat="1" x14ac:dyDescent="0.25">
      <c r="A187" s="10" t="str">
        <f>"PYFB1"</f>
        <v>PYFB1</v>
      </c>
      <c r="B187" s="10" t="str">
        <f>[1]!PYFB1.402</f>
        <v>加權指數</v>
      </c>
      <c r="C187" s="10">
        <f>[1]!PYFB1.123</f>
        <v>100140</v>
      </c>
      <c r="D187" s="10">
        <f>[1]!PYFB1.124</f>
        <v>16428.68</v>
      </c>
      <c r="E187" s="10">
        <f>[1]!PYFB1.125</f>
        <v>-14.72</v>
      </c>
      <c r="F187" s="10">
        <f>[1]!PYFB1.128</f>
        <v>2686</v>
      </c>
      <c r="G187" s="10">
        <f>[1]!PYFB1.130</f>
        <v>16329.54</v>
      </c>
      <c r="H187" s="10">
        <f>[1]!PYFB1.131</f>
        <v>16456.939999999999</v>
      </c>
      <c r="I187" s="10">
        <f>[1]!PYFB1.132</f>
        <v>16329.54</v>
      </c>
      <c r="J187" s="10">
        <f>[1]!PYFB1.133</f>
        <v>4022793</v>
      </c>
      <c r="K187" s="10" t="str">
        <f>[1]!PYFB1.135</f>
        <v xml:space="preserve"> -</v>
      </c>
      <c r="L187" s="10" t="str">
        <f>[1]!PYFB1.136</f>
        <v xml:space="preserve"> -</v>
      </c>
      <c r="M187" s="10" t="str">
        <f>[1]!PYFB1.437</f>
        <v xml:space="preserve"> -</v>
      </c>
      <c r="N187" s="10" t="str">
        <f>[1]!PYFB1.406</f>
        <v xml:space="preserve"> -</v>
      </c>
      <c r="O187" s="10" t="str">
        <f>[1]!PYFB1.407</f>
        <v xml:space="preserve"> -</v>
      </c>
      <c r="P187" s="10" t="str">
        <f>[1]!PYFB1.431</f>
        <v>-</v>
      </c>
      <c r="Q187" s="10" t="str">
        <f>[1]!PYFB1.201</f>
        <v xml:space="preserve"> -</v>
      </c>
      <c r="R187" s="10" t="str">
        <f>[1]!PYFB1.202</f>
        <v xml:space="preserve"> -</v>
      </c>
      <c r="S187" s="10" t="str">
        <f>[1]!PYFB1.203</f>
        <v xml:space="preserve"> -</v>
      </c>
      <c r="T187" s="10" t="str">
        <f>[1]!PYFB1.204</f>
        <v xml:space="preserve"> -</v>
      </c>
      <c r="U187" s="10" t="str">
        <f>[1]!PYFB1.205</f>
        <v xml:space="preserve"> -</v>
      </c>
      <c r="V187" s="10" t="str">
        <f>[1]!PYFB1.211</f>
        <v xml:space="preserve"> -</v>
      </c>
      <c r="W187" s="10" t="str">
        <f>[1]!PYFB1.212</f>
        <v xml:space="preserve"> -</v>
      </c>
      <c r="X187" s="10" t="str">
        <f>[1]!PYFB1.213</f>
        <v xml:space="preserve"> -</v>
      </c>
      <c r="Y187" s="10" t="str">
        <f>[1]!PYFB1.214</f>
        <v xml:space="preserve"> -</v>
      </c>
      <c r="Z187" s="10" t="str">
        <f>[1]!PYFB1.215</f>
        <v xml:space="preserve"> -</v>
      </c>
      <c r="AA187" s="10" t="str">
        <f>[1]!PYFB1.221</f>
        <v>-</v>
      </c>
      <c r="AB187" s="10" t="str">
        <f>[1]!PYFB1.222</f>
        <v>-</v>
      </c>
      <c r="AC187" s="10" t="str">
        <f>[1]!PYFB1.223</f>
        <v>-</v>
      </c>
      <c r="AD187" s="10" t="str">
        <f>[1]!PYFB1.224</f>
        <v>-</v>
      </c>
      <c r="AE187" s="10" t="str">
        <f>[1]!PYFB1.225</f>
        <v>-</v>
      </c>
      <c r="AF187" s="10" t="str">
        <f>[1]!PYFB1.231</f>
        <v>-</v>
      </c>
      <c r="AG187" s="10" t="str">
        <f>[1]!PYFB1.232</f>
        <v>-</v>
      </c>
      <c r="AH187" s="10" t="str">
        <f>[1]!PYFB1.233</f>
        <v>-</v>
      </c>
      <c r="AI187" s="10" t="str">
        <f>[1]!PYFB1.234</f>
        <v>-</v>
      </c>
      <c r="AJ187" s="10" t="str">
        <f>[1]!PYFB1.235</f>
        <v>-</v>
      </c>
    </row>
    <row r="188" spans="1:36" s="10" customFormat="1" x14ac:dyDescent="0.25">
      <c r="A188" s="10" t="str">
        <f>"PTFB1"</f>
        <v>PTFB1</v>
      </c>
      <c r="B188" s="10" t="str">
        <f>[1]!PTFB1.402</f>
        <v>不含金電</v>
      </c>
      <c r="C188" s="10">
        <f>[1]!PTFB1.123</f>
        <v>100150</v>
      </c>
      <c r="D188" s="10">
        <f>[1]!PTFB1.124</f>
        <v>13900.72</v>
      </c>
      <c r="E188" s="10">
        <f>[1]!PTFB1.125</f>
        <v>14.14</v>
      </c>
      <c r="F188" s="10">
        <f>[1]!PTFB1.128</f>
        <v>887</v>
      </c>
      <c r="G188" s="10">
        <f>[1]!PTFB1.130</f>
        <v>13893.03</v>
      </c>
      <c r="H188" s="10">
        <f>[1]!PTFB1.131</f>
        <v>13945.78</v>
      </c>
      <c r="I188" s="10">
        <f>[1]!PTFB1.132</f>
        <v>13875.82</v>
      </c>
      <c r="J188" s="10">
        <f>[1]!PTFB1.133</f>
        <v>873827</v>
      </c>
      <c r="K188" s="10" t="str">
        <f>[1]!PTFB1.135</f>
        <v xml:space="preserve"> -</v>
      </c>
      <c r="L188" s="10" t="str">
        <f>[1]!PTFB1.136</f>
        <v xml:space="preserve"> -</v>
      </c>
      <c r="M188" s="10" t="str">
        <f>[1]!PTFB1.437</f>
        <v xml:space="preserve"> -</v>
      </c>
      <c r="N188" s="10" t="str">
        <f>[1]!PTFB1.406</f>
        <v xml:space="preserve"> -</v>
      </c>
      <c r="O188" s="10" t="str">
        <f>[1]!PTFB1.407</f>
        <v xml:space="preserve"> -</v>
      </c>
      <c r="P188" s="10" t="str">
        <f>[1]!PTFB1.431</f>
        <v>-</v>
      </c>
      <c r="Q188" s="10" t="str">
        <f>[1]!PTFB1.201</f>
        <v xml:space="preserve"> -</v>
      </c>
      <c r="R188" s="10" t="str">
        <f>[1]!PTFB1.202</f>
        <v xml:space="preserve"> -</v>
      </c>
      <c r="S188" s="10" t="str">
        <f>[1]!PTFB1.203</f>
        <v xml:space="preserve"> -</v>
      </c>
      <c r="T188" s="10" t="str">
        <f>[1]!PTFB1.204</f>
        <v xml:space="preserve"> -</v>
      </c>
      <c r="U188" s="10" t="str">
        <f>[1]!PTFB1.205</f>
        <v xml:space="preserve"> -</v>
      </c>
      <c r="V188" s="10" t="str">
        <f>[1]!PTFB1.211</f>
        <v xml:space="preserve"> -</v>
      </c>
      <c r="W188" s="10" t="str">
        <f>[1]!PTFB1.212</f>
        <v xml:space="preserve"> -</v>
      </c>
      <c r="X188" s="10" t="str">
        <f>[1]!PTFB1.213</f>
        <v xml:space="preserve"> -</v>
      </c>
      <c r="Y188" s="10" t="str">
        <f>[1]!PTFB1.214</f>
        <v xml:space="preserve"> -</v>
      </c>
      <c r="Z188" s="10" t="str">
        <f>[1]!PTFB1.215</f>
        <v xml:space="preserve"> -</v>
      </c>
      <c r="AA188" s="10" t="str">
        <f>[1]!PTFB1.221</f>
        <v>-</v>
      </c>
      <c r="AB188" s="10" t="str">
        <f>[1]!PTFB1.222</f>
        <v>-</v>
      </c>
      <c r="AC188" s="10" t="str">
        <f>[1]!PTFB1.223</f>
        <v>-</v>
      </c>
      <c r="AD188" s="10" t="str">
        <f>[1]!PTFB1.224</f>
        <v>-</v>
      </c>
      <c r="AE188" s="10" t="str">
        <f>[1]!PTFB1.225</f>
        <v>-</v>
      </c>
      <c r="AF188" s="10" t="str">
        <f>[1]!PTFB1.231</f>
        <v>-</v>
      </c>
      <c r="AG188" s="10" t="str">
        <f>[1]!PTFB1.232</f>
        <v>-</v>
      </c>
      <c r="AH188" s="10" t="str">
        <f>[1]!PTFB1.233</f>
        <v>-</v>
      </c>
      <c r="AI188" s="10" t="str">
        <f>[1]!PTFB1.234</f>
        <v>-</v>
      </c>
      <c r="AJ188" s="10" t="str">
        <f>[1]!PTFB1.235</f>
        <v>-</v>
      </c>
    </row>
    <row r="189" spans="1:36" s="10" customFormat="1" x14ac:dyDescent="0.25">
      <c r="A189" s="10" t="str">
        <f>"PIFB1"</f>
        <v>PIFB1</v>
      </c>
      <c r="B189" s="10" t="str">
        <f>[1]!PIFB1.402</f>
        <v>不含金電</v>
      </c>
      <c r="C189" s="10">
        <f>[1]!PIFB1.123</f>
        <v>100140</v>
      </c>
      <c r="D189" s="10">
        <f>[1]!PIFB1.124</f>
        <v>13893.18</v>
      </c>
      <c r="E189" s="10">
        <f>[1]!PIFB1.125</f>
        <v>6.6</v>
      </c>
      <c r="F189" s="10">
        <f>[1]!PIFB1.128</f>
        <v>720</v>
      </c>
      <c r="G189" s="10">
        <f>[1]!PIFB1.130</f>
        <v>13893.03</v>
      </c>
      <c r="H189" s="10">
        <f>[1]!PIFB1.131</f>
        <v>13945.78</v>
      </c>
      <c r="I189" s="10">
        <f>[1]!PIFB1.132</f>
        <v>13875.82</v>
      </c>
      <c r="J189" s="10">
        <f>[1]!PIFB1.133</f>
        <v>872505</v>
      </c>
      <c r="K189" s="10" t="str">
        <f>[1]!PIFB1.135</f>
        <v xml:space="preserve"> -</v>
      </c>
      <c r="L189" s="10" t="str">
        <f>[1]!PIFB1.136</f>
        <v xml:space="preserve"> -</v>
      </c>
      <c r="M189" s="10" t="str">
        <f>[1]!PIFB1.437</f>
        <v xml:space="preserve"> -</v>
      </c>
      <c r="N189" s="10" t="str">
        <f>[1]!PIFB1.406</f>
        <v xml:space="preserve"> -</v>
      </c>
      <c r="O189" s="10" t="str">
        <f>[1]!PIFB1.407</f>
        <v xml:space="preserve"> -</v>
      </c>
      <c r="P189" s="10" t="str">
        <f>[1]!PIFB1.431</f>
        <v>-</v>
      </c>
      <c r="Q189" s="10" t="str">
        <f>[1]!PIFB1.201</f>
        <v xml:space="preserve"> -</v>
      </c>
      <c r="R189" s="10" t="str">
        <f>[1]!PIFB1.202</f>
        <v xml:space="preserve"> -</v>
      </c>
      <c r="S189" s="10" t="str">
        <f>[1]!PIFB1.203</f>
        <v xml:space="preserve"> -</v>
      </c>
      <c r="T189" s="10" t="str">
        <f>[1]!PIFB1.204</f>
        <v xml:space="preserve"> -</v>
      </c>
      <c r="U189" s="10" t="str">
        <f>[1]!PIFB1.205</f>
        <v xml:space="preserve"> -</v>
      </c>
      <c r="V189" s="10" t="str">
        <f>[1]!PIFB1.211</f>
        <v xml:space="preserve"> -</v>
      </c>
      <c r="W189" s="10" t="str">
        <f>[1]!PIFB1.212</f>
        <v xml:space="preserve"> -</v>
      </c>
      <c r="X189" s="10" t="str">
        <f>[1]!PIFB1.213</f>
        <v xml:space="preserve"> -</v>
      </c>
      <c r="Y189" s="10" t="str">
        <f>[1]!PIFB1.214</f>
        <v xml:space="preserve"> -</v>
      </c>
      <c r="Z189" s="10" t="str">
        <f>[1]!PIFB1.215</f>
        <v xml:space="preserve"> -</v>
      </c>
      <c r="AA189" s="10" t="str">
        <f>[1]!PIFB1.221</f>
        <v>-</v>
      </c>
      <c r="AB189" s="10" t="str">
        <f>[1]!PIFB1.222</f>
        <v>-</v>
      </c>
      <c r="AC189" s="10" t="str">
        <f>[1]!PIFB1.223</f>
        <v>-</v>
      </c>
      <c r="AD189" s="10" t="str">
        <f>[1]!PIFB1.224</f>
        <v>-</v>
      </c>
      <c r="AE189" s="10" t="str">
        <f>[1]!PIFB1.225</f>
        <v>-</v>
      </c>
      <c r="AF189" s="10" t="str">
        <f>[1]!PIFB1.231</f>
        <v>-</v>
      </c>
      <c r="AG189" s="10" t="str">
        <f>[1]!PIFB1.232</f>
        <v>-</v>
      </c>
      <c r="AH189" s="10" t="str">
        <f>[1]!PIFB1.233</f>
        <v>-</v>
      </c>
      <c r="AI189" s="10" t="str">
        <f>[1]!PIFB1.234</f>
        <v>-</v>
      </c>
      <c r="AJ189" s="10" t="str">
        <f>[1]!PIFB1.235</f>
        <v>-</v>
      </c>
    </row>
    <row r="190" spans="1:36" s="10" customFormat="1" x14ac:dyDescent="0.25">
      <c r="A190" s="10" t="str">
        <f>"OUFB1"</f>
        <v>OUFB1</v>
      </c>
      <c r="B190" s="10" t="str">
        <f>[1]!OUFB1.402</f>
        <v>加權指數</v>
      </c>
      <c r="C190" s="10">
        <f>[1]!OUFB1.123</f>
        <v>100145</v>
      </c>
      <c r="D190" s="10">
        <f>[1]!OUFB1.124</f>
        <v>16422.560000000001</v>
      </c>
      <c r="E190" s="10">
        <f>[1]!OUFB1.125</f>
        <v>-20.84</v>
      </c>
      <c r="F190" s="10">
        <f>[1]!OUFB1.128</f>
        <v>1824</v>
      </c>
      <c r="G190" s="10">
        <f>[1]!OUFB1.130</f>
        <v>16329.54</v>
      </c>
      <c r="H190" s="10">
        <f>[1]!OUFB1.131</f>
        <v>16456.939999999999</v>
      </c>
      <c r="I190" s="10">
        <f>[1]!OUFB1.132</f>
        <v>16329.54</v>
      </c>
      <c r="J190" s="10">
        <f>[1]!OUFB1.133</f>
        <v>4024617</v>
      </c>
      <c r="K190" s="10" t="str">
        <f>[1]!OUFB1.135</f>
        <v xml:space="preserve"> -</v>
      </c>
      <c r="L190" s="10" t="str">
        <f>[1]!OUFB1.136</f>
        <v xml:space="preserve"> -</v>
      </c>
      <c r="M190" s="10" t="str">
        <f>[1]!OUFB1.437</f>
        <v xml:space="preserve"> -</v>
      </c>
      <c r="N190" s="10" t="str">
        <f>[1]!OUFB1.406</f>
        <v xml:space="preserve"> -</v>
      </c>
      <c r="O190" s="10" t="str">
        <f>[1]!OUFB1.407</f>
        <v xml:space="preserve"> -</v>
      </c>
      <c r="P190" s="10" t="str">
        <f>[1]!OUFB1.431</f>
        <v>-</v>
      </c>
      <c r="Q190" s="10" t="str">
        <f>[1]!OUFB1.201</f>
        <v xml:space="preserve"> -</v>
      </c>
      <c r="R190" s="10" t="str">
        <f>[1]!OUFB1.202</f>
        <v xml:space="preserve"> -</v>
      </c>
      <c r="S190" s="10" t="str">
        <f>[1]!OUFB1.203</f>
        <v xml:space="preserve"> -</v>
      </c>
      <c r="T190" s="10" t="str">
        <f>[1]!OUFB1.204</f>
        <v xml:space="preserve"> -</v>
      </c>
      <c r="U190" s="10" t="str">
        <f>[1]!OUFB1.205</f>
        <v xml:space="preserve"> -</v>
      </c>
      <c r="V190" s="10" t="str">
        <f>[1]!OUFB1.211</f>
        <v xml:space="preserve"> -</v>
      </c>
      <c r="W190" s="10" t="str">
        <f>[1]!OUFB1.212</f>
        <v xml:space="preserve"> -</v>
      </c>
      <c r="X190" s="10" t="str">
        <f>[1]!OUFB1.213</f>
        <v xml:space="preserve"> -</v>
      </c>
      <c r="Y190" s="10" t="str">
        <f>[1]!OUFB1.214</f>
        <v xml:space="preserve"> -</v>
      </c>
      <c r="Z190" s="10" t="str">
        <f>[1]!OUFB1.215</f>
        <v xml:space="preserve"> -</v>
      </c>
      <c r="AA190" s="10" t="str">
        <f>[1]!OUFB1.221</f>
        <v>-</v>
      </c>
      <c r="AB190" s="10" t="str">
        <f>[1]!OUFB1.222</f>
        <v>-</v>
      </c>
      <c r="AC190" s="10" t="str">
        <f>[1]!OUFB1.223</f>
        <v>-</v>
      </c>
      <c r="AD190" s="10" t="str">
        <f>[1]!OUFB1.224</f>
        <v>-</v>
      </c>
      <c r="AE190" s="10" t="str">
        <f>[1]!OUFB1.225</f>
        <v>-</v>
      </c>
      <c r="AF190" s="10" t="str">
        <f>[1]!OUFB1.231</f>
        <v>-</v>
      </c>
      <c r="AG190" s="10" t="str">
        <f>[1]!OUFB1.232</f>
        <v>-</v>
      </c>
      <c r="AH190" s="10" t="str">
        <f>[1]!OUFB1.233</f>
        <v>-</v>
      </c>
      <c r="AI190" s="10" t="str">
        <f>[1]!OUFB1.234</f>
        <v>-</v>
      </c>
      <c r="AJ190" s="10" t="str">
        <f>[1]!OUFB1.235</f>
        <v>-</v>
      </c>
    </row>
    <row r="191" spans="1:36" s="10" customFormat="1" x14ac:dyDescent="0.25">
      <c r="A191" s="10" t="str">
        <f>"NGFB1"</f>
        <v>NGFB1</v>
      </c>
      <c r="B191" s="10" t="str">
        <f>[1]!NGFB1.402</f>
        <v>加權指數</v>
      </c>
      <c r="C191" s="10">
        <f>[1]!NGFB1.123</f>
        <v>100140</v>
      </c>
      <c r="D191" s="10">
        <f>[1]!NGFB1.124</f>
        <v>16428.68</v>
      </c>
      <c r="E191" s="10">
        <f>[1]!NGFB1.125</f>
        <v>-14.72</v>
      </c>
      <c r="F191" s="10">
        <f>[1]!NGFB1.128</f>
        <v>2686</v>
      </c>
      <c r="G191" s="10">
        <f>[1]!NGFB1.130</f>
        <v>16329.54</v>
      </c>
      <c r="H191" s="10">
        <f>[1]!NGFB1.131</f>
        <v>16456.939999999999</v>
      </c>
      <c r="I191" s="10">
        <f>[1]!NGFB1.132</f>
        <v>16329.54</v>
      </c>
      <c r="J191" s="10">
        <f>[1]!NGFB1.133</f>
        <v>4022793</v>
      </c>
      <c r="K191" s="10" t="str">
        <f>[1]!NGFB1.135</f>
        <v xml:space="preserve"> -</v>
      </c>
      <c r="L191" s="10" t="str">
        <f>[1]!NGFB1.136</f>
        <v xml:space="preserve"> -</v>
      </c>
      <c r="M191" s="10" t="str">
        <f>[1]!NGFB1.437</f>
        <v xml:space="preserve"> -</v>
      </c>
      <c r="N191" s="10" t="str">
        <f>[1]!NGFB1.406</f>
        <v xml:space="preserve"> -</v>
      </c>
      <c r="O191" s="10" t="str">
        <f>[1]!NGFB1.407</f>
        <v xml:space="preserve"> -</v>
      </c>
      <c r="P191" s="10" t="str">
        <f>[1]!NGFB1.431</f>
        <v>-</v>
      </c>
      <c r="Q191" s="10" t="str">
        <f>[1]!NGFB1.201</f>
        <v xml:space="preserve"> -</v>
      </c>
      <c r="R191" s="10" t="str">
        <f>[1]!NGFB1.202</f>
        <v xml:space="preserve"> -</v>
      </c>
      <c r="S191" s="10" t="str">
        <f>[1]!NGFB1.203</f>
        <v xml:space="preserve"> -</v>
      </c>
      <c r="T191" s="10" t="str">
        <f>[1]!NGFB1.204</f>
        <v xml:space="preserve"> -</v>
      </c>
      <c r="U191" s="10" t="str">
        <f>[1]!NGFB1.205</f>
        <v xml:space="preserve"> -</v>
      </c>
      <c r="V191" s="10" t="str">
        <f>[1]!NGFB1.211</f>
        <v xml:space="preserve"> -</v>
      </c>
      <c r="W191" s="10" t="str">
        <f>[1]!NGFB1.212</f>
        <v xml:space="preserve"> -</v>
      </c>
      <c r="X191" s="10" t="str">
        <f>[1]!NGFB1.213</f>
        <v xml:space="preserve"> -</v>
      </c>
      <c r="Y191" s="10" t="str">
        <f>[1]!NGFB1.214</f>
        <v xml:space="preserve"> -</v>
      </c>
      <c r="Z191" s="10" t="str">
        <f>[1]!NGFB1.215</f>
        <v xml:space="preserve"> -</v>
      </c>
      <c r="AA191" s="10" t="str">
        <f>[1]!NGFB1.221</f>
        <v>-</v>
      </c>
      <c r="AB191" s="10" t="str">
        <f>[1]!NGFB1.222</f>
        <v>-</v>
      </c>
      <c r="AC191" s="10" t="str">
        <f>[1]!NGFB1.223</f>
        <v>-</v>
      </c>
      <c r="AD191" s="10" t="str">
        <f>[1]!NGFB1.224</f>
        <v>-</v>
      </c>
      <c r="AE191" s="10" t="str">
        <f>[1]!NGFB1.225</f>
        <v>-</v>
      </c>
      <c r="AF191" s="10" t="str">
        <f>[1]!NGFB1.231</f>
        <v>-</v>
      </c>
      <c r="AG191" s="10" t="str">
        <f>[1]!NGFB1.232</f>
        <v>-</v>
      </c>
      <c r="AH191" s="10" t="str">
        <f>[1]!NGFB1.233</f>
        <v>-</v>
      </c>
      <c r="AI191" s="10" t="str">
        <f>[1]!NGFB1.234</f>
        <v>-</v>
      </c>
      <c r="AJ191" s="10" t="str">
        <f>[1]!NGFB1.235</f>
        <v>-</v>
      </c>
    </row>
    <row r="192" spans="1:36" s="10" customFormat="1" x14ac:dyDescent="0.25">
      <c r="A192" s="10" t="str">
        <f>"NIFB1"</f>
        <v>NIFB1</v>
      </c>
      <c r="B192" s="10" t="str">
        <f>[1]!NIFB1.402</f>
        <v>不含金電</v>
      </c>
      <c r="C192" s="10">
        <f>[1]!NIFB1.123</f>
        <v>100135</v>
      </c>
      <c r="D192" s="10">
        <f>[1]!NIFB1.124</f>
        <v>13893.65</v>
      </c>
      <c r="E192" s="10">
        <f>[1]!NIFB1.125</f>
        <v>7.07</v>
      </c>
      <c r="F192" s="10">
        <f>[1]!NIFB1.128</f>
        <v>611</v>
      </c>
      <c r="G192" s="10">
        <f>[1]!NIFB1.130</f>
        <v>13893.03</v>
      </c>
      <c r="H192" s="10">
        <f>[1]!NIFB1.131</f>
        <v>13945.78</v>
      </c>
      <c r="I192" s="10">
        <f>[1]!NIFB1.132</f>
        <v>13875.82</v>
      </c>
      <c r="J192" s="10">
        <f>[1]!NIFB1.133</f>
        <v>871785</v>
      </c>
      <c r="K192" s="10" t="str">
        <f>[1]!NIFB1.135</f>
        <v xml:space="preserve"> -</v>
      </c>
      <c r="L192" s="10" t="str">
        <f>[1]!NIFB1.136</f>
        <v xml:space="preserve"> -</v>
      </c>
      <c r="M192" s="10" t="str">
        <f>[1]!NIFB1.437</f>
        <v xml:space="preserve"> -</v>
      </c>
      <c r="N192" s="10" t="str">
        <f>[1]!NIFB1.406</f>
        <v xml:space="preserve"> -</v>
      </c>
      <c r="O192" s="10" t="str">
        <f>[1]!NIFB1.407</f>
        <v xml:space="preserve"> -</v>
      </c>
      <c r="P192" s="10" t="str">
        <f>[1]!NIFB1.431</f>
        <v>-</v>
      </c>
      <c r="Q192" s="10" t="str">
        <f>[1]!NIFB1.201</f>
        <v xml:space="preserve"> -</v>
      </c>
      <c r="R192" s="10" t="str">
        <f>[1]!NIFB1.202</f>
        <v xml:space="preserve"> -</v>
      </c>
      <c r="S192" s="10" t="str">
        <f>[1]!NIFB1.203</f>
        <v xml:space="preserve"> -</v>
      </c>
      <c r="T192" s="10" t="str">
        <f>[1]!NIFB1.204</f>
        <v xml:space="preserve"> -</v>
      </c>
      <c r="U192" s="10" t="str">
        <f>[1]!NIFB1.205</f>
        <v xml:space="preserve"> -</v>
      </c>
      <c r="V192" s="10" t="str">
        <f>[1]!NIFB1.211</f>
        <v xml:space="preserve"> -</v>
      </c>
      <c r="W192" s="10" t="str">
        <f>[1]!NIFB1.212</f>
        <v xml:space="preserve"> -</v>
      </c>
      <c r="X192" s="10" t="str">
        <f>[1]!NIFB1.213</f>
        <v xml:space="preserve"> -</v>
      </c>
      <c r="Y192" s="10" t="str">
        <f>[1]!NIFB1.214</f>
        <v xml:space="preserve"> -</v>
      </c>
      <c r="Z192" s="10" t="str">
        <f>[1]!NIFB1.215</f>
        <v xml:space="preserve"> -</v>
      </c>
      <c r="AA192" s="10" t="str">
        <f>[1]!NIFB1.221</f>
        <v>-</v>
      </c>
      <c r="AB192" s="10" t="str">
        <f>[1]!NIFB1.222</f>
        <v>-</v>
      </c>
      <c r="AC192" s="10" t="str">
        <f>[1]!NIFB1.223</f>
        <v>-</v>
      </c>
      <c r="AD192" s="10" t="str">
        <f>[1]!NIFB1.224</f>
        <v>-</v>
      </c>
      <c r="AE192" s="10" t="str">
        <f>[1]!NIFB1.225</f>
        <v>-</v>
      </c>
      <c r="AF192" s="10" t="str">
        <f>[1]!NIFB1.231</f>
        <v>-</v>
      </c>
      <c r="AG192" s="10" t="str">
        <f>[1]!NIFB1.232</f>
        <v>-</v>
      </c>
      <c r="AH192" s="10" t="str">
        <f>[1]!NIFB1.233</f>
        <v>-</v>
      </c>
      <c r="AI192" s="10" t="str">
        <f>[1]!NIFB1.234</f>
        <v>-</v>
      </c>
      <c r="AJ192" s="10" t="str">
        <f>[1]!NIFB1.235</f>
        <v>-</v>
      </c>
    </row>
    <row r="193" spans="1:36" s="10" customFormat="1" x14ac:dyDescent="0.25">
      <c r="A193" s="10" t="str">
        <f>"PCFB1"</f>
        <v>PCFB1</v>
      </c>
      <c r="B193" s="10" t="str">
        <f>[1]!PCFB1.402</f>
        <v>加權指數</v>
      </c>
      <c r="C193" s="10">
        <f>[1]!PCFB1.123</f>
        <v>100150</v>
      </c>
      <c r="D193" s="10">
        <f>[1]!PCFB1.124</f>
        <v>16421.62</v>
      </c>
      <c r="E193" s="10">
        <f>[1]!PCFB1.125</f>
        <v>-21.78</v>
      </c>
      <c r="F193" s="10">
        <f>[1]!PCFB1.128</f>
        <v>2439</v>
      </c>
      <c r="G193" s="10">
        <f>[1]!PCFB1.130</f>
        <v>16329.54</v>
      </c>
      <c r="H193" s="10">
        <f>[1]!PCFB1.131</f>
        <v>16456.939999999999</v>
      </c>
      <c r="I193" s="10">
        <f>[1]!PCFB1.132</f>
        <v>16329.54</v>
      </c>
      <c r="J193" s="10">
        <f>[1]!PCFB1.133</f>
        <v>4027056</v>
      </c>
      <c r="K193" s="10" t="str">
        <f>[1]!PCFB1.135</f>
        <v xml:space="preserve"> -</v>
      </c>
      <c r="L193" s="10" t="str">
        <f>[1]!PCFB1.136</f>
        <v xml:space="preserve"> -</v>
      </c>
      <c r="M193" s="10" t="str">
        <f>[1]!PCFB1.437</f>
        <v xml:space="preserve"> -</v>
      </c>
      <c r="N193" s="10" t="str">
        <f>[1]!PCFB1.406</f>
        <v xml:space="preserve"> -</v>
      </c>
      <c r="O193" s="10" t="str">
        <f>[1]!PCFB1.407</f>
        <v xml:space="preserve"> -</v>
      </c>
      <c r="P193" s="10" t="str">
        <f>[1]!PCFB1.431</f>
        <v>-</v>
      </c>
      <c r="Q193" s="10" t="str">
        <f>[1]!PCFB1.201</f>
        <v xml:space="preserve"> -</v>
      </c>
      <c r="R193" s="10" t="str">
        <f>[1]!PCFB1.202</f>
        <v xml:space="preserve"> -</v>
      </c>
      <c r="S193" s="10" t="str">
        <f>[1]!PCFB1.203</f>
        <v xml:space="preserve"> -</v>
      </c>
      <c r="T193" s="10" t="str">
        <f>[1]!PCFB1.204</f>
        <v xml:space="preserve"> -</v>
      </c>
      <c r="U193" s="10" t="str">
        <f>[1]!PCFB1.205</f>
        <v xml:space="preserve"> -</v>
      </c>
      <c r="V193" s="10" t="str">
        <f>[1]!PCFB1.211</f>
        <v xml:space="preserve"> -</v>
      </c>
      <c r="W193" s="10" t="str">
        <f>[1]!PCFB1.212</f>
        <v xml:space="preserve"> -</v>
      </c>
      <c r="X193" s="10" t="str">
        <f>[1]!PCFB1.213</f>
        <v xml:space="preserve"> -</v>
      </c>
      <c r="Y193" s="10" t="str">
        <f>[1]!PCFB1.214</f>
        <v xml:space="preserve"> -</v>
      </c>
      <c r="Z193" s="10" t="str">
        <f>[1]!PCFB1.215</f>
        <v xml:space="preserve"> -</v>
      </c>
      <c r="AA193" s="10" t="str">
        <f>[1]!PCFB1.221</f>
        <v>-</v>
      </c>
      <c r="AB193" s="10" t="str">
        <f>[1]!PCFB1.222</f>
        <v>-</v>
      </c>
      <c r="AC193" s="10" t="str">
        <f>[1]!PCFB1.223</f>
        <v>-</v>
      </c>
      <c r="AD193" s="10" t="str">
        <f>[1]!PCFB1.224</f>
        <v>-</v>
      </c>
      <c r="AE193" s="10" t="str">
        <f>[1]!PCFB1.225</f>
        <v>-</v>
      </c>
      <c r="AF193" s="10" t="str">
        <f>[1]!PCFB1.231</f>
        <v>-</v>
      </c>
      <c r="AG193" s="10" t="str">
        <f>[1]!PCFB1.232</f>
        <v>-</v>
      </c>
      <c r="AH193" s="10" t="str">
        <f>[1]!PCFB1.233</f>
        <v>-</v>
      </c>
      <c r="AI193" s="10" t="str">
        <f>[1]!PCFB1.234</f>
        <v>-</v>
      </c>
      <c r="AJ193" s="10" t="str">
        <f>[1]!PCFB1.235</f>
        <v>-</v>
      </c>
    </row>
    <row r="194" spans="1:36" s="10" customFormat="1" x14ac:dyDescent="0.25">
      <c r="A194" s="10" t="str">
        <f>"PDFB1"</f>
        <v>PDFB1</v>
      </c>
      <c r="B194" s="10" t="e">
        <f>[1]!PDFB1.402</f>
        <v>#N/A</v>
      </c>
      <c r="C194" s="10">
        <f>[1]!PDFB1.123</f>
        <v>0</v>
      </c>
      <c r="D194" s="10">
        <f>[1]!PDFB1.124</f>
        <v>20878632</v>
      </c>
      <c r="E194" s="10" t="str">
        <f>[1]!PDFB1.125</f>
        <v xml:space="preserve"> </v>
      </c>
      <c r="F194" s="10">
        <f>[1]!PDFB1.128</f>
        <v>1212870150</v>
      </c>
      <c r="G194" s="10">
        <f>[1]!PDFB1.130</f>
        <v>20803788</v>
      </c>
      <c r="H194" s="10">
        <f>[1]!PDFB1.131</f>
        <v>20804690</v>
      </c>
      <c r="I194" s="10">
        <f>[1]!PDFB1.132</f>
        <v>10989732</v>
      </c>
      <c r="J194" s="10">
        <f>[1]!PDFB1.133</f>
        <v>2088371110</v>
      </c>
      <c r="K194" s="10" t="str">
        <f>[1]!PDFB1.135</f>
        <v xml:space="preserve"> -</v>
      </c>
      <c r="L194" s="10" t="str">
        <f>[1]!PDFB1.136</f>
        <v xml:space="preserve"> -</v>
      </c>
      <c r="M194" s="10" t="str">
        <f>[1]!PDFB1.437</f>
        <v xml:space="preserve"> -</v>
      </c>
      <c r="N194" s="10" t="str">
        <f>[1]!PDFB1.406</f>
        <v xml:space="preserve"> -</v>
      </c>
      <c r="O194" s="10" t="str">
        <f>[1]!PDFB1.407</f>
        <v xml:space="preserve"> -</v>
      </c>
      <c r="P194" s="10" t="str">
        <f>[1]!PDFB1.431</f>
        <v>-</v>
      </c>
      <c r="Q194" s="10" t="str">
        <f>[1]!PDFB1.201</f>
        <v xml:space="preserve"> -</v>
      </c>
      <c r="R194" s="10" t="str">
        <f>[1]!PDFB1.202</f>
        <v xml:space="preserve"> -</v>
      </c>
      <c r="S194" s="10" t="str">
        <f>[1]!PDFB1.203</f>
        <v xml:space="preserve"> -</v>
      </c>
      <c r="T194" s="10" t="str">
        <f>[1]!PDFB1.204</f>
        <v xml:space="preserve"> -</v>
      </c>
      <c r="U194" s="10" t="str">
        <f>[1]!PDFB1.205</f>
        <v xml:space="preserve"> -</v>
      </c>
      <c r="V194" s="10" t="str">
        <f>[1]!PDFB1.211</f>
        <v xml:space="preserve"> -</v>
      </c>
      <c r="W194" s="10" t="str">
        <f>[1]!PDFB1.212</f>
        <v xml:space="preserve"> -</v>
      </c>
      <c r="X194" s="10" t="str">
        <f>[1]!PDFB1.213</f>
        <v xml:space="preserve"> -</v>
      </c>
      <c r="Y194" s="10" t="str">
        <f>[1]!PDFB1.214</f>
        <v xml:space="preserve"> -</v>
      </c>
      <c r="Z194" s="10" t="str">
        <f>[1]!PDFB1.215</f>
        <v xml:space="preserve"> -</v>
      </c>
      <c r="AA194" s="10" t="str">
        <f>[1]!PDFB1.221</f>
        <v>-</v>
      </c>
      <c r="AB194" s="10" t="str">
        <f>[1]!PDFB1.222</f>
        <v>-</v>
      </c>
      <c r="AC194" s="10" t="str">
        <f>[1]!PDFB1.223</f>
        <v>-</v>
      </c>
      <c r="AD194" s="10" t="str">
        <f>[1]!PDFB1.224</f>
        <v>-</v>
      </c>
      <c r="AE194" s="10" t="str">
        <f>[1]!PDFB1.225</f>
        <v>-</v>
      </c>
      <c r="AF194" s="10" t="str">
        <f>[1]!PDFB1.231</f>
        <v>-</v>
      </c>
      <c r="AG194" s="10" t="str">
        <f>[1]!PDFB1.232</f>
        <v>-</v>
      </c>
      <c r="AH194" s="10" t="str">
        <f>[1]!PDFB1.233</f>
        <v>-</v>
      </c>
      <c r="AI194" s="10" t="str">
        <f>[1]!PDFB1.234</f>
        <v>-</v>
      </c>
      <c r="AJ194" s="10" t="str">
        <f>[1]!PDFB1.235</f>
        <v>-</v>
      </c>
    </row>
    <row r="195" spans="1:36" s="10" customFormat="1" x14ac:dyDescent="0.25">
      <c r="A195" s="10" t="str">
        <f>"NJFB1"</f>
        <v>NJFB1</v>
      </c>
      <c r="B195" s="10" t="str">
        <f>[1]!NJFB1.402</f>
        <v>加權指數</v>
      </c>
      <c r="C195" s="10">
        <f>[1]!NJFB1.123</f>
        <v>100135</v>
      </c>
      <c r="D195" s="10">
        <f>[1]!NJFB1.124</f>
        <v>16424.64</v>
      </c>
      <c r="E195" s="10">
        <f>[1]!NJFB1.125</f>
        <v>-18.760000000000002</v>
      </c>
      <c r="F195" s="10">
        <f>[1]!NJFB1.128</f>
        <v>1648</v>
      </c>
      <c r="G195" s="10">
        <f>[1]!NJFB1.130</f>
        <v>16329.54</v>
      </c>
      <c r="H195" s="10">
        <f>[1]!NJFB1.131</f>
        <v>16456.939999999999</v>
      </c>
      <c r="I195" s="10">
        <f>[1]!NJFB1.132</f>
        <v>16329.54</v>
      </c>
      <c r="J195" s="10">
        <f>[1]!NJFB1.133</f>
        <v>4020107</v>
      </c>
      <c r="K195" s="10" t="str">
        <f>[1]!NJFB1.135</f>
        <v xml:space="preserve"> -</v>
      </c>
      <c r="L195" s="10" t="str">
        <f>[1]!NJFB1.136</f>
        <v xml:space="preserve"> -</v>
      </c>
      <c r="M195" s="10" t="str">
        <f>[1]!NJFB1.437</f>
        <v xml:space="preserve"> -</v>
      </c>
      <c r="N195" s="10" t="str">
        <f>[1]!NJFB1.406</f>
        <v xml:space="preserve"> -</v>
      </c>
      <c r="O195" s="10" t="str">
        <f>[1]!NJFB1.407</f>
        <v xml:space="preserve"> -</v>
      </c>
      <c r="P195" s="10" t="str">
        <f>[1]!NJFB1.431</f>
        <v>-</v>
      </c>
      <c r="Q195" s="10" t="str">
        <f>[1]!NJFB1.201</f>
        <v xml:space="preserve"> -</v>
      </c>
      <c r="R195" s="10" t="str">
        <f>[1]!NJFB1.202</f>
        <v xml:space="preserve"> -</v>
      </c>
      <c r="S195" s="10" t="str">
        <f>[1]!NJFB1.203</f>
        <v xml:space="preserve"> -</v>
      </c>
      <c r="T195" s="10" t="str">
        <f>[1]!NJFB1.204</f>
        <v xml:space="preserve"> -</v>
      </c>
      <c r="U195" s="10" t="str">
        <f>[1]!NJFB1.205</f>
        <v xml:space="preserve"> -</v>
      </c>
      <c r="V195" s="10" t="str">
        <f>[1]!NJFB1.211</f>
        <v xml:space="preserve"> -</v>
      </c>
      <c r="W195" s="10" t="str">
        <f>[1]!NJFB1.212</f>
        <v xml:space="preserve"> -</v>
      </c>
      <c r="X195" s="10" t="str">
        <f>[1]!NJFB1.213</f>
        <v xml:space="preserve"> -</v>
      </c>
      <c r="Y195" s="10" t="str">
        <f>[1]!NJFB1.214</f>
        <v xml:space="preserve"> -</v>
      </c>
      <c r="Z195" s="10" t="str">
        <f>[1]!NJFB1.215</f>
        <v xml:space="preserve"> -</v>
      </c>
      <c r="AA195" s="10" t="str">
        <f>[1]!NJFB1.221</f>
        <v>-</v>
      </c>
      <c r="AB195" s="10" t="str">
        <f>[1]!NJFB1.222</f>
        <v>-</v>
      </c>
      <c r="AC195" s="10" t="str">
        <f>[1]!NJFB1.223</f>
        <v>-</v>
      </c>
      <c r="AD195" s="10" t="str">
        <f>[1]!NJFB1.224</f>
        <v>-</v>
      </c>
      <c r="AE195" s="10" t="str">
        <f>[1]!NJFB1.225</f>
        <v>-</v>
      </c>
      <c r="AF195" s="10" t="str">
        <f>[1]!NJFB1.231</f>
        <v>-</v>
      </c>
      <c r="AG195" s="10" t="str">
        <f>[1]!NJFB1.232</f>
        <v>-</v>
      </c>
      <c r="AH195" s="10" t="str">
        <f>[1]!NJFB1.233</f>
        <v>-</v>
      </c>
      <c r="AI195" s="10" t="str">
        <f>[1]!NJFB1.234</f>
        <v>-</v>
      </c>
      <c r="AJ195" s="10" t="str">
        <f>[1]!NJFB1.235</f>
        <v>-</v>
      </c>
    </row>
    <row r="196" spans="1:36" s="10" customFormat="1" x14ac:dyDescent="0.25">
      <c r="A196" s="10" t="str">
        <f>"QAFB1"</f>
        <v>QAFB1</v>
      </c>
      <c r="B196" s="10" t="str">
        <f>[1]!QAFB1.402</f>
        <v>加權指數</v>
      </c>
      <c r="C196" s="10">
        <f>[1]!QAFB1.123</f>
        <v>100130</v>
      </c>
      <c r="D196" s="10">
        <f>[1]!QAFB1.124</f>
        <v>16422.080000000002</v>
      </c>
      <c r="E196" s="10">
        <f>[1]!QAFB1.125</f>
        <v>-21.32</v>
      </c>
      <c r="F196" s="10">
        <f>[1]!QAFB1.128</f>
        <v>3347</v>
      </c>
      <c r="G196" s="10">
        <f>[1]!QAFB1.130</f>
        <v>16329.54</v>
      </c>
      <c r="H196" s="10">
        <f>[1]!QAFB1.131</f>
        <v>16456.939999999999</v>
      </c>
      <c r="I196" s="10">
        <f>[1]!QAFB1.132</f>
        <v>16329.54</v>
      </c>
      <c r="J196" s="10">
        <f>[1]!QAFB1.133</f>
        <v>4018459</v>
      </c>
      <c r="K196" s="10" t="str">
        <f>[1]!QAFB1.135</f>
        <v xml:space="preserve"> -</v>
      </c>
      <c r="L196" s="10" t="str">
        <f>[1]!QAFB1.136</f>
        <v xml:space="preserve"> -</v>
      </c>
      <c r="M196" s="10" t="str">
        <f>[1]!QAFB1.437</f>
        <v xml:space="preserve"> -</v>
      </c>
      <c r="N196" s="10" t="str">
        <f>[1]!QAFB1.406</f>
        <v xml:space="preserve"> -</v>
      </c>
      <c r="O196" s="10" t="str">
        <f>[1]!QAFB1.407</f>
        <v xml:space="preserve"> -</v>
      </c>
      <c r="P196" s="10" t="str">
        <f>[1]!QAFB1.431</f>
        <v>-</v>
      </c>
      <c r="Q196" s="10" t="str">
        <f>[1]!QAFB1.201</f>
        <v xml:space="preserve"> -</v>
      </c>
      <c r="R196" s="10" t="str">
        <f>[1]!QAFB1.202</f>
        <v xml:space="preserve"> -</v>
      </c>
      <c r="S196" s="10" t="str">
        <f>[1]!QAFB1.203</f>
        <v xml:space="preserve"> -</v>
      </c>
      <c r="T196" s="10" t="str">
        <f>[1]!QAFB1.204</f>
        <v xml:space="preserve"> -</v>
      </c>
      <c r="U196" s="10" t="str">
        <f>[1]!QAFB1.205</f>
        <v xml:space="preserve"> -</v>
      </c>
      <c r="V196" s="10" t="str">
        <f>[1]!QAFB1.211</f>
        <v xml:space="preserve"> -</v>
      </c>
      <c r="W196" s="10" t="str">
        <f>[1]!QAFB1.212</f>
        <v xml:space="preserve"> -</v>
      </c>
      <c r="X196" s="10" t="str">
        <f>[1]!QAFB1.213</f>
        <v xml:space="preserve"> -</v>
      </c>
      <c r="Y196" s="10" t="str">
        <f>[1]!QAFB1.214</f>
        <v xml:space="preserve"> -</v>
      </c>
      <c r="Z196" s="10" t="str">
        <f>[1]!QAFB1.215</f>
        <v xml:space="preserve"> -</v>
      </c>
      <c r="AA196" s="10" t="str">
        <f>[1]!QAFB1.221</f>
        <v>-</v>
      </c>
      <c r="AB196" s="10" t="str">
        <f>[1]!QAFB1.222</f>
        <v>-</v>
      </c>
      <c r="AC196" s="10" t="str">
        <f>[1]!QAFB1.223</f>
        <v>-</v>
      </c>
      <c r="AD196" s="10" t="str">
        <f>[1]!QAFB1.224</f>
        <v>-</v>
      </c>
      <c r="AE196" s="10" t="str">
        <f>[1]!QAFB1.225</f>
        <v>-</v>
      </c>
      <c r="AF196" s="10" t="str">
        <f>[1]!QAFB1.231</f>
        <v>-</v>
      </c>
      <c r="AG196" s="10" t="str">
        <f>[1]!QAFB1.232</f>
        <v>-</v>
      </c>
      <c r="AH196" s="10" t="str">
        <f>[1]!QAFB1.233</f>
        <v>-</v>
      </c>
      <c r="AI196" s="10" t="str">
        <f>[1]!QAFB1.234</f>
        <v>-</v>
      </c>
      <c r="AJ196" s="10" t="str">
        <f>[1]!QAFB1.235</f>
        <v>-</v>
      </c>
    </row>
    <row r="197" spans="1:36" s="10" customFormat="1" x14ac:dyDescent="0.25">
      <c r="A197" s="10" t="str">
        <f>"PZFB1"</f>
        <v>PZFB1</v>
      </c>
      <c r="B197" s="10" t="str">
        <f>[1]!PZFB1.402</f>
        <v>加權指數</v>
      </c>
      <c r="C197" s="10">
        <f>[1]!PZFB1.123</f>
        <v>100140</v>
      </c>
      <c r="D197" s="10">
        <f>[1]!PZFB1.124</f>
        <v>16428.68</v>
      </c>
      <c r="E197" s="10">
        <f>[1]!PZFB1.125</f>
        <v>-14.72</v>
      </c>
      <c r="F197" s="10">
        <f>[1]!PZFB1.128</f>
        <v>2686</v>
      </c>
      <c r="G197" s="10">
        <f>[1]!PZFB1.130</f>
        <v>16329.54</v>
      </c>
      <c r="H197" s="10">
        <f>[1]!PZFB1.131</f>
        <v>16456.939999999999</v>
      </c>
      <c r="I197" s="10">
        <f>[1]!PZFB1.132</f>
        <v>16329.54</v>
      </c>
      <c r="J197" s="10">
        <f>[1]!PZFB1.133</f>
        <v>4022793</v>
      </c>
      <c r="K197" s="10" t="str">
        <f>[1]!PZFB1.135</f>
        <v xml:space="preserve"> -</v>
      </c>
      <c r="L197" s="10" t="str">
        <f>[1]!PZFB1.136</f>
        <v xml:space="preserve"> -</v>
      </c>
      <c r="M197" s="10" t="str">
        <f>[1]!PZFB1.437</f>
        <v xml:space="preserve"> -</v>
      </c>
      <c r="N197" s="10" t="str">
        <f>[1]!PZFB1.406</f>
        <v xml:space="preserve"> -</v>
      </c>
      <c r="O197" s="10" t="str">
        <f>[1]!PZFB1.407</f>
        <v xml:space="preserve"> -</v>
      </c>
      <c r="P197" s="10" t="str">
        <f>[1]!PZFB1.431</f>
        <v>-</v>
      </c>
      <c r="Q197" s="10" t="str">
        <f>[1]!PZFB1.201</f>
        <v xml:space="preserve"> -</v>
      </c>
      <c r="R197" s="10" t="str">
        <f>[1]!PZFB1.202</f>
        <v xml:space="preserve"> -</v>
      </c>
      <c r="S197" s="10" t="str">
        <f>[1]!PZFB1.203</f>
        <v xml:space="preserve"> -</v>
      </c>
      <c r="T197" s="10" t="str">
        <f>[1]!PZFB1.204</f>
        <v xml:space="preserve"> -</v>
      </c>
      <c r="U197" s="10" t="str">
        <f>[1]!PZFB1.205</f>
        <v xml:space="preserve"> -</v>
      </c>
      <c r="V197" s="10" t="str">
        <f>[1]!PZFB1.211</f>
        <v xml:space="preserve"> -</v>
      </c>
      <c r="W197" s="10" t="str">
        <f>[1]!PZFB1.212</f>
        <v xml:space="preserve"> -</v>
      </c>
      <c r="X197" s="10" t="str">
        <f>[1]!PZFB1.213</f>
        <v xml:space="preserve"> -</v>
      </c>
      <c r="Y197" s="10" t="str">
        <f>[1]!PZFB1.214</f>
        <v xml:space="preserve"> -</v>
      </c>
      <c r="Z197" s="10" t="str">
        <f>[1]!PZFB1.215</f>
        <v xml:space="preserve"> -</v>
      </c>
      <c r="AA197" s="10" t="str">
        <f>[1]!PZFB1.221</f>
        <v>-</v>
      </c>
      <c r="AB197" s="10" t="str">
        <f>[1]!PZFB1.222</f>
        <v>-</v>
      </c>
      <c r="AC197" s="10" t="str">
        <f>[1]!PZFB1.223</f>
        <v>-</v>
      </c>
      <c r="AD197" s="10" t="str">
        <f>[1]!PZFB1.224</f>
        <v>-</v>
      </c>
      <c r="AE197" s="10" t="str">
        <f>[1]!PZFB1.225</f>
        <v>-</v>
      </c>
      <c r="AF197" s="10" t="str">
        <f>[1]!PZFB1.231</f>
        <v>-</v>
      </c>
      <c r="AG197" s="10" t="str">
        <f>[1]!PZFB1.232</f>
        <v>-</v>
      </c>
      <c r="AH197" s="10" t="str">
        <f>[1]!PZFB1.233</f>
        <v>-</v>
      </c>
      <c r="AI197" s="10" t="str">
        <f>[1]!PZFB1.234</f>
        <v>-</v>
      </c>
      <c r="AJ197" s="10" t="str">
        <f>[1]!PZFB1.235</f>
        <v>-</v>
      </c>
    </row>
    <row r="198" spans="1:36" s="10" customFormat="1" x14ac:dyDescent="0.25">
      <c r="A198" s="10" t="str">
        <f>"NLFB1"</f>
        <v>NLFB1</v>
      </c>
      <c r="B198" s="10" t="str">
        <f>[1]!NLFB1.402</f>
        <v>不含金電</v>
      </c>
      <c r="C198" s="10">
        <f>[1]!NLFB1.123</f>
        <v>100135</v>
      </c>
      <c r="D198" s="10">
        <f>[1]!NLFB1.124</f>
        <v>13893.65</v>
      </c>
      <c r="E198" s="10">
        <f>[1]!NLFB1.125</f>
        <v>7.07</v>
      </c>
      <c r="F198" s="10">
        <f>[1]!NLFB1.128</f>
        <v>611</v>
      </c>
      <c r="G198" s="10">
        <f>[1]!NLFB1.130</f>
        <v>13893.03</v>
      </c>
      <c r="H198" s="10">
        <f>[1]!NLFB1.131</f>
        <v>13945.78</v>
      </c>
      <c r="I198" s="10">
        <f>[1]!NLFB1.132</f>
        <v>13875.82</v>
      </c>
      <c r="J198" s="10">
        <f>[1]!NLFB1.133</f>
        <v>871785</v>
      </c>
      <c r="K198" s="10" t="str">
        <f>[1]!NLFB1.135</f>
        <v xml:space="preserve"> -</v>
      </c>
      <c r="L198" s="10" t="str">
        <f>[1]!NLFB1.136</f>
        <v xml:space="preserve"> -</v>
      </c>
      <c r="M198" s="10" t="str">
        <f>[1]!NLFB1.437</f>
        <v xml:space="preserve"> -</v>
      </c>
      <c r="N198" s="10" t="str">
        <f>[1]!NLFB1.406</f>
        <v xml:space="preserve"> -</v>
      </c>
      <c r="O198" s="10" t="str">
        <f>[1]!NLFB1.407</f>
        <v xml:space="preserve"> -</v>
      </c>
      <c r="P198" s="10" t="str">
        <f>[1]!NLFB1.431</f>
        <v>-</v>
      </c>
      <c r="Q198" s="10" t="str">
        <f>[1]!NLFB1.201</f>
        <v xml:space="preserve"> -</v>
      </c>
      <c r="R198" s="10" t="str">
        <f>[1]!NLFB1.202</f>
        <v xml:space="preserve"> -</v>
      </c>
      <c r="S198" s="10" t="str">
        <f>[1]!NLFB1.203</f>
        <v xml:space="preserve"> -</v>
      </c>
      <c r="T198" s="10" t="str">
        <f>[1]!NLFB1.204</f>
        <v xml:space="preserve"> -</v>
      </c>
      <c r="U198" s="10" t="str">
        <f>[1]!NLFB1.205</f>
        <v xml:space="preserve"> -</v>
      </c>
      <c r="V198" s="10" t="str">
        <f>[1]!NLFB1.211</f>
        <v xml:space="preserve"> -</v>
      </c>
      <c r="W198" s="10" t="str">
        <f>[1]!NLFB1.212</f>
        <v xml:space="preserve"> -</v>
      </c>
      <c r="X198" s="10" t="str">
        <f>[1]!NLFB1.213</f>
        <v xml:space="preserve"> -</v>
      </c>
      <c r="Y198" s="10" t="str">
        <f>[1]!NLFB1.214</f>
        <v xml:space="preserve"> -</v>
      </c>
      <c r="Z198" s="10" t="str">
        <f>[1]!NLFB1.215</f>
        <v xml:space="preserve"> -</v>
      </c>
      <c r="AA198" s="10" t="str">
        <f>[1]!NLFB1.221</f>
        <v>-</v>
      </c>
      <c r="AB198" s="10" t="str">
        <f>[1]!NLFB1.222</f>
        <v>-</v>
      </c>
      <c r="AC198" s="10" t="str">
        <f>[1]!NLFB1.223</f>
        <v>-</v>
      </c>
      <c r="AD198" s="10" t="str">
        <f>[1]!NLFB1.224</f>
        <v>-</v>
      </c>
      <c r="AE198" s="10" t="str">
        <f>[1]!NLFB1.225</f>
        <v>-</v>
      </c>
      <c r="AF198" s="10" t="str">
        <f>[1]!NLFB1.231</f>
        <v>-</v>
      </c>
      <c r="AG198" s="10" t="str">
        <f>[1]!NLFB1.232</f>
        <v>-</v>
      </c>
      <c r="AH198" s="10" t="str">
        <f>[1]!NLFB1.233</f>
        <v>-</v>
      </c>
      <c r="AI198" s="10" t="str">
        <f>[1]!NLFB1.234</f>
        <v>-</v>
      </c>
      <c r="AJ198" s="10" t="str">
        <f>[1]!NLFB1.235</f>
        <v>-</v>
      </c>
    </row>
    <row r="199" spans="1:36" s="10" customFormat="1" x14ac:dyDescent="0.25">
      <c r="A199" s="10" t="str">
        <f>"NMFB1"</f>
        <v>NMFB1</v>
      </c>
      <c r="B199" s="10" t="str">
        <f>[1]!NMFB1.402</f>
        <v>加權指數</v>
      </c>
      <c r="C199" s="10">
        <f>[1]!NMFB1.123</f>
        <v>100135</v>
      </c>
      <c r="D199" s="10">
        <f>[1]!NMFB1.124</f>
        <v>16424.64</v>
      </c>
      <c r="E199" s="10">
        <f>[1]!NMFB1.125</f>
        <v>-18.760000000000002</v>
      </c>
      <c r="F199" s="10">
        <f>[1]!NMFB1.128</f>
        <v>1648</v>
      </c>
      <c r="G199" s="10">
        <f>[1]!NMFB1.130</f>
        <v>16329.54</v>
      </c>
      <c r="H199" s="10">
        <f>[1]!NMFB1.131</f>
        <v>16456.939999999999</v>
      </c>
      <c r="I199" s="10">
        <f>[1]!NMFB1.132</f>
        <v>16329.54</v>
      </c>
      <c r="J199" s="10">
        <f>[1]!NMFB1.133</f>
        <v>4020107</v>
      </c>
      <c r="K199" s="10" t="str">
        <f>[1]!NMFB1.135</f>
        <v xml:space="preserve"> -</v>
      </c>
      <c r="L199" s="10" t="str">
        <f>[1]!NMFB1.136</f>
        <v xml:space="preserve"> -</v>
      </c>
      <c r="M199" s="10" t="str">
        <f>[1]!NMFB1.437</f>
        <v xml:space="preserve"> -</v>
      </c>
      <c r="N199" s="10" t="str">
        <f>[1]!NMFB1.406</f>
        <v xml:space="preserve"> -</v>
      </c>
      <c r="O199" s="10" t="str">
        <f>[1]!NMFB1.407</f>
        <v xml:space="preserve"> -</v>
      </c>
      <c r="P199" s="10" t="str">
        <f>[1]!NMFB1.431</f>
        <v>-</v>
      </c>
      <c r="Q199" s="10" t="str">
        <f>[1]!NMFB1.201</f>
        <v xml:space="preserve"> -</v>
      </c>
      <c r="R199" s="10" t="str">
        <f>[1]!NMFB1.202</f>
        <v xml:space="preserve"> -</v>
      </c>
      <c r="S199" s="10" t="str">
        <f>[1]!NMFB1.203</f>
        <v xml:space="preserve"> -</v>
      </c>
      <c r="T199" s="10" t="str">
        <f>[1]!NMFB1.204</f>
        <v xml:space="preserve"> -</v>
      </c>
      <c r="U199" s="10" t="str">
        <f>[1]!NMFB1.205</f>
        <v xml:space="preserve"> -</v>
      </c>
      <c r="V199" s="10" t="str">
        <f>[1]!NMFB1.211</f>
        <v xml:space="preserve"> -</v>
      </c>
      <c r="W199" s="10" t="str">
        <f>[1]!NMFB1.212</f>
        <v xml:space="preserve"> -</v>
      </c>
      <c r="X199" s="10" t="str">
        <f>[1]!NMFB1.213</f>
        <v xml:space="preserve"> -</v>
      </c>
      <c r="Y199" s="10" t="str">
        <f>[1]!NMFB1.214</f>
        <v xml:space="preserve"> -</v>
      </c>
      <c r="Z199" s="10" t="str">
        <f>[1]!NMFB1.215</f>
        <v xml:space="preserve"> -</v>
      </c>
      <c r="AA199" s="10" t="str">
        <f>[1]!NMFB1.221</f>
        <v>-</v>
      </c>
      <c r="AB199" s="10" t="str">
        <f>[1]!NMFB1.222</f>
        <v>-</v>
      </c>
      <c r="AC199" s="10" t="str">
        <f>[1]!NMFB1.223</f>
        <v>-</v>
      </c>
      <c r="AD199" s="10" t="str">
        <f>[1]!NMFB1.224</f>
        <v>-</v>
      </c>
      <c r="AE199" s="10" t="str">
        <f>[1]!NMFB1.225</f>
        <v>-</v>
      </c>
      <c r="AF199" s="10" t="str">
        <f>[1]!NMFB1.231</f>
        <v>-</v>
      </c>
      <c r="AG199" s="10" t="str">
        <f>[1]!NMFB1.232</f>
        <v>-</v>
      </c>
      <c r="AH199" s="10" t="str">
        <f>[1]!NMFB1.233</f>
        <v>-</v>
      </c>
      <c r="AI199" s="10" t="str">
        <f>[1]!NMFB1.234</f>
        <v>-</v>
      </c>
      <c r="AJ199" s="10" t="str">
        <f>[1]!NMFB1.235</f>
        <v>-</v>
      </c>
    </row>
    <row r="200" spans="1:36" s="10" customFormat="1" x14ac:dyDescent="0.25">
      <c r="A200" s="10" t="str">
        <f>"PEFB1"</f>
        <v>PEFB1</v>
      </c>
      <c r="B200" s="10" t="str">
        <f>[1]!PEFB1.402</f>
        <v>不含金電</v>
      </c>
      <c r="C200" s="10">
        <f>[1]!PEFB1.123</f>
        <v>100145</v>
      </c>
      <c r="D200" s="10">
        <f>[1]!PEFB1.124</f>
        <v>13895.21</v>
      </c>
      <c r="E200" s="10">
        <f>[1]!PEFB1.125</f>
        <v>8.6300000000000008</v>
      </c>
      <c r="F200" s="10">
        <f>[1]!PEFB1.128</f>
        <v>435</v>
      </c>
      <c r="G200" s="10">
        <f>[1]!PEFB1.130</f>
        <v>13893.03</v>
      </c>
      <c r="H200" s="10">
        <f>[1]!PEFB1.131</f>
        <v>13945.78</v>
      </c>
      <c r="I200" s="10">
        <f>[1]!PEFB1.132</f>
        <v>13875.82</v>
      </c>
      <c r="J200" s="10">
        <f>[1]!PEFB1.133</f>
        <v>872940</v>
      </c>
      <c r="K200" s="10" t="str">
        <f>[1]!PEFB1.135</f>
        <v xml:space="preserve"> -</v>
      </c>
      <c r="L200" s="10" t="str">
        <f>[1]!PEFB1.136</f>
        <v xml:space="preserve"> -</v>
      </c>
      <c r="M200" s="10" t="str">
        <f>[1]!PEFB1.437</f>
        <v xml:space="preserve"> -</v>
      </c>
      <c r="N200" s="10" t="str">
        <f>[1]!PEFB1.406</f>
        <v xml:space="preserve"> -</v>
      </c>
      <c r="O200" s="10" t="str">
        <f>[1]!PEFB1.407</f>
        <v xml:space="preserve"> -</v>
      </c>
      <c r="P200" s="10" t="str">
        <f>[1]!PEFB1.431</f>
        <v>-</v>
      </c>
      <c r="Q200" s="10" t="str">
        <f>[1]!PEFB1.201</f>
        <v xml:space="preserve"> -</v>
      </c>
      <c r="R200" s="10" t="str">
        <f>[1]!PEFB1.202</f>
        <v xml:space="preserve"> -</v>
      </c>
      <c r="S200" s="10" t="str">
        <f>[1]!PEFB1.203</f>
        <v xml:space="preserve"> -</v>
      </c>
      <c r="T200" s="10" t="str">
        <f>[1]!PEFB1.204</f>
        <v xml:space="preserve"> -</v>
      </c>
      <c r="U200" s="10" t="str">
        <f>[1]!PEFB1.205</f>
        <v xml:space="preserve"> -</v>
      </c>
      <c r="V200" s="10" t="str">
        <f>[1]!PEFB1.211</f>
        <v xml:space="preserve"> -</v>
      </c>
      <c r="W200" s="10" t="str">
        <f>[1]!PEFB1.212</f>
        <v xml:space="preserve"> -</v>
      </c>
      <c r="X200" s="10" t="str">
        <f>[1]!PEFB1.213</f>
        <v xml:space="preserve"> -</v>
      </c>
      <c r="Y200" s="10" t="str">
        <f>[1]!PEFB1.214</f>
        <v xml:space="preserve"> -</v>
      </c>
      <c r="Z200" s="10" t="str">
        <f>[1]!PEFB1.215</f>
        <v xml:space="preserve"> -</v>
      </c>
      <c r="AA200" s="10" t="str">
        <f>[1]!PEFB1.221</f>
        <v>-</v>
      </c>
      <c r="AB200" s="10" t="str">
        <f>[1]!PEFB1.222</f>
        <v>-</v>
      </c>
      <c r="AC200" s="10" t="str">
        <f>[1]!PEFB1.223</f>
        <v>-</v>
      </c>
      <c r="AD200" s="10" t="str">
        <f>[1]!PEFB1.224</f>
        <v>-</v>
      </c>
      <c r="AE200" s="10" t="str">
        <f>[1]!PEFB1.225</f>
        <v>-</v>
      </c>
      <c r="AF200" s="10" t="str">
        <f>[1]!PEFB1.231</f>
        <v>-</v>
      </c>
      <c r="AG200" s="10" t="str">
        <f>[1]!PEFB1.232</f>
        <v>-</v>
      </c>
      <c r="AH200" s="10" t="str">
        <f>[1]!PEFB1.233</f>
        <v>-</v>
      </c>
      <c r="AI200" s="10" t="str">
        <f>[1]!PEFB1.234</f>
        <v>-</v>
      </c>
      <c r="AJ200" s="10" t="str">
        <f>[1]!PEFB1.235</f>
        <v>-</v>
      </c>
    </row>
    <row r="201" spans="1:36" s="10" customFormat="1" x14ac:dyDescent="0.25">
      <c r="A201" s="10" t="str">
        <f>"PPFB1"</f>
        <v>PPFB1</v>
      </c>
      <c r="B201" s="10" t="e">
        <f>[1]!PPFB1.402</f>
        <v>#N/A</v>
      </c>
      <c r="C201" s="10">
        <f>[1]!PPFB1.123</f>
        <v>0</v>
      </c>
      <c r="D201" s="10">
        <f>[1]!PPFB1.124</f>
        <v>20878632</v>
      </c>
      <c r="E201" s="10" t="str">
        <f>[1]!PPFB1.125</f>
        <v xml:space="preserve"> </v>
      </c>
      <c r="F201" s="10">
        <f>[1]!PPFB1.128</f>
        <v>1212870150</v>
      </c>
      <c r="G201" s="10">
        <f>[1]!PPFB1.130</f>
        <v>20803788</v>
      </c>
      <c r="H201" s="10">
        <f>[1]!PPFB1.131</f>
        <v>20804690</v>
      </c>
      <c r="I201" s="10">
        <f>[1]!PPFB1.132</f>
        <v>10989732</v>
      </c>
      <c r="J201" s="10">
        <f>[1]!PPFB1.133</f>
        <v>2088371110</v>
      </c>
      <c r="K201" s="10" t="str">
        <f>[1]!PPFB1.135</f>
        <v xml:space="preserve"> -</v>
      </c>
      <c r="L201" s="10" t="str">
        <f>[1]!PPFB1.136</f>
        <v xml:space="preserve"> -</v>
      </c>
      <c r="M201" s="10" t="str">
        <f>[1]!PPFB1.437</f>
        <v xml:space="preserve"> -</v>
      </c>
      <c r="N201" s="10" t="str">
        <f>[1]!PPFB1.406</f>
        <v xml:space="preserve"> -</v>
      </c>
      <c r="O201" s="10" t="str">
        <f>[1]!PPFB1.407</f>
        <v xml:space="preserve"> -</v>
      </c>
      <c r="P201" s="10" t="str">
        <f>[1]!PPFB1.431</f>
        <v>-</v>
      </c>
      <c r="Q201" s="10" t="str">
        <f>[1]!PPFB1.201</f>
        <v xml:space="preserve"> -</v>
      </c>
      <c r="R201" s="10" t="str">
        <f>[1]!PPFB1.202</f>
        <v xml:space="preserve"> -</v>
      </c>
      <c r="S201" s="10" t="str">
        <f>[1]!PPFB1.203</f>
        <v xml:space="preserve"> -</v>
      </c>
      <c r="T201" s="10" t="str">
        <f>[1]!PPFB1.204</f>
        <v xml:space="preserve"> -</v>
      </c>
      <c r="U201" s="10" t="str">
        <f>[1]!PPFB1.205</f>
        <v xml:space="preserve"> -</v>
      </c>
      <c r="V201" s="10" t="str">
        <f>[1]!PPFB1.211</f>
        <v xml:space="preserve"> -</v>
      </c>
      <c r="W201" s="10" t="str">
        <f>[1]!PPFB1.212</f>
        <v xml:space="preserve"> -</v>
      </c>
      <c r="X201" s="10" t="str">
        <f>[1]!PPFB1.213</f>
        <v xml:space="preserve"> -</v>
      </c>
      <c r="Y201" s="10" t="str">
        <f>[1]!PPFB1.214</f>
        <v xml:space="preserve"> -</v>
      </c>
      <c r="Z201" s="10" t="str">
        <f>[1]!PPFB1.215</f>
        <v xml:space="preserve"> -</v>
      </c>
      <c r="AA201" s="10" t="str">
        <f>[1]!PPFB1.221</f>
        <v>-</v>
      </c>
      <c r="AB201" s="10" t="str">
        <f>[1]!PPFB1.222</f>
        <v>-</v>
      </c>
      <c r="AC201" s="10" t="str">
        <f>[1]!PPFB1.223</f>
        <v>-</v>
      </c>
      <c r="AD201" s="10" t="str">
        <f>[1]!PPFB1.224</f>
        <v>-</v>
      </c>
      <c r="AE201" s="10" t="str">
        <f>[1]!PPFB1.225</f>
        <v>-</v>
      </c>
      <c r="AF201" s="10" t="str">
        <f>[1]!PPFB1.231</f>
        <v>-</v>
      </c>
      <c r="AG201" s="10" t="str">
        <f>[1]!PPFB1.232</f>
        <v>-</v>
      </c>
      <c r="AH201" s="10" t="str">
        <f>[1]!PPFB1.233</f>
        <v>-</v>
      </c>
      <c r="AI201" s="10" t="str">
        <f>[1]!PPFB1.234</f>
        <v>-</v>
      </c>
      <c r="AJ201" s="10" t="str">
        <f>[1]!PPFB1.235</f>
        <v>-</v>
      </c>
    </row>
    <row r="202" spans="1:36" s="10" customFormat="1" x14ac:dyDescent="0.25">
      <c r="A202" s="10" t="str">
        <f>"NOFB1"</f>
        <v>NOFB1</v>
      </c>
      <c r="B202" s="10" t="str">
        <f>[1]!NOFB1.402</f>
        <v>加權指數</v>
      </c>
      <c r="C202" s="10">
        <f>[1]!NOFB1.123</f>
        <v>100130</v>
      </c>
      <c r="D202" s="10">
        <f>[1]!NOFB1.124</f>
        <v>16422.080000000002</v>
      </c>
      <c r="E202" s="10">
        <f>[1]!NOFB1.125</f>
        <v>-21.32</v>
      </c>
      <c r="F202" s="10">
        <f>[1]!NOFB1.128</f>
        <v>3347</v>
      </c>
      <c r="G202" s="10">
        <f>[1]!NOFB1.130</f>
        <v>16329.54</v>
      </c>
      <c r="H202" s="10">
        <f>[1]!NOFB1.131</f>
        <v>16456.939999999999</v>
      </c>
      <c r="I202" s="10">
        <f>[1]!NOFB1.132</f>
        <v>16329.54</v>
      </c>
      <c r="J202" s="10">
        <f>[1]!NOFB1.133</f>
        <v>4018459</v>
      </c>
      <c r="K202" s="10" t="str">
        <f>[1]!NOFB1.135</f>
        <v xml:space="preserve"> -</v>
      </c>
      <c r="L202" s="10" t="str">
        <f>[1]!NOFB1.136</f>
        <v xml:space="preserve"> -</v>
      </c>
      <c r="M202" s="10" t="str">
        <f>[1]!NOFB1.437</f>
        <v xml:space="preserve"> -</v>
      </c>
      <c r="N202" s="10" t="str">
        <f>[1]!NOFB1.406</f>
        <v xml:space="preserve"> -</v>
      </c>
      <c r="O202" s="10" t="str">
        <f>[1]!NOFB1.407</f>
        <v xml:space="preserve"> -</v>
      </c>
      <c r="P202" s="10" t="str">
        <f>[1]!NOFB1.431</f>
        <v>-</v>
      </c>
      <c r="Q202" s="10" t="str">
        <f>[1]!NOFB1.201</f>
        <v xml:space="preserve"> -</v>
      </c>
      <c r="R202" s="10" t="str">
        <f>[1]!NOFB1.202</f>
        <v xml:space="preserve"> -</v>
      </c>
      <c r="S202" s="10" t="str">
        <f>[1]!NOFB1.203</f>
        <v xml:space="preserve"> -</v>
      </c>
      <c r="T202" s="10" t="str">
        <f>[1]!NOFB1.204</f>
        <v xml:space="preserve"> -</v>
      </c>
      <c r="U202" s="10" t="str">
        <f>[1]!NOFB1.205</f>
        <v xml:space="preserve"> -</v>
      </c>
      <c r="V202" s="10" t="str">
        <f>[1]!NOFB1.211</f>
        <v xml:space="preserve"> -</v>
      </c>
      <c r="W202" s="10" t="str">
        <f>[1]!NOFB1.212</f>
        <v xml:space="preserve"> -</v>
      </c>
      <c r="X202" s="10" t="str">
        <f>[1]!NOFB1.213</f>
        <v xml:space="preserve"> -</v>
      </c>
      <c r="Y202" s="10" t="str">
        <f>[1]!NOFB1.214</f>
        <v xml:space="preserve"> -</v>
      </c>
      <c r="Z202" s="10" t="str">
        <f>[1]!NOFB1.215</f>
        <v xml:space="preserve"> -</v>
      </c>
      <c r="AA202" s="10" t="str">
        <f>[1]!NOFB1.221</f>
        <v>-</v>
      </c>
      <c r="AB202" s="10" t="str">
        <f>[1]!NOFB1.222</f>
        <v>-</v>
      </c>
      <c r="AC202" s="10" t="str">
        <f>[1]!NOFB1.223</f>
        <v>-</v>
      </c>
      <c r="AD202" s="10" t="str">
        <f>[1]!NOFB1.224</f>
        <v>-</v>
      </c>
      <c r="AE202" s="10" t="str">
        <f>[1]!NOFB1.225</f>
        <v>-</v>
      </c>
      <c r="AF202" s="10" t="str">
        <f>[1]!NOFB1.231</f>
        <v>-</v>
      </c>
      <c r="AG202" s="10" t="str">
        <f>[1]!NOFB1.232</f>
        <v>-</v>
      </c>
      <c r="AH202" s="10" t="str">
        <f>[1]!NOFB1.233</f>
        <v>-</v>
      </c>
      <c r="AI202" s="10" t="str">
        <f>[1]!NOFB1.234</f>
        <v>-</v>
      </c>
      <c r="AJ202" s="10" t="str">
        <f>[1]!NOFB1.235</f>
        <v>-</v>
      </c>
    </row>
    <row r="203" spans="1:36" s="10" customFormat="1" x14ac:dyDescent="0.25">
      <c r="A203" s="10" t="str">
        <f>"NQFB1"</f>
        <v>NQFB1</v>
      </c>
      <c r="B203" s="10" t="e">
        <f>[1]!NQFB1.402</f>
        <v>#N/A</v>
      </c>
      <c r="C203" s="10">
        <f>[1]!NQFB1.123</f>
        <v>0</v>
      </c>
      <c r="D203" s="10">
        <f>[1]!NQFB1.124</f>
        <v>20878632</v>
      </c>
      <c r="E203" s="10" t="str">
        <f>[1]!NQFB1.125</f>
        <v xml:space="preserve"> </v>
      </c>
      <c r="F203" s="10">
        <f>[1]!NQFB1.128</f>
        <v>1212870150</v>
      </c>
      <c r="G203" s="10">
        <f>[1]!NQFB1.130</f>
        <v>20803788</v>
      </c>
      <c r="H203" s="10">
        <f>[1]!NQFB1.131</f>
        <v>20804690</v>
      </c>
      <c r="I203" s="10">
        <f>[1]!NQFB1.132</f>
        <v>10989732</v>
      </c>
      <c r="J203" s="10">
        <f>[1]!NQFB1.133</f>
        <v>2088371110</v>
      </c>
      <c r="K203" s="10" t="str">
        <f>[1]!NQFB1.135</f>
        <v xml:space="preserve"> -</v>
      </c>
      <c r="L203" s="10" t="str">
        <f>[1]!NQFB1.136</f>
        <v xml:space="preserve"> -</v>
      </c>
      <c r="M203" s="10" t="str">
        <f>[1]!NQFB1.437</f>
        <v xml:space="preserve"> -</v>
      </c>
      <c r="N203" s="10" t="str">
        <f>[1]!NQFB1.406</f>
        <v xml:space="preserve"> -</v>
      </c>
      <c r="O203" s="10" t="str">
        <f>[1]!NQFB1.407</f>
        <v xml:space="preserve"> -</v>
      </c>
      <c r="P203" s="10" t="str">
        <f>[1]!NQFB1.431</f>
        <v>-</v>
      </c>
      <c r="Q203" s="10" t="str">
        <f>[1]!NQFB1.201</f>
        <v xml:space="preserve"> -</v>
      </c>
      <c r="R203" s="10" t="str">
        <f>[1]!NQFB1.202</f>
        <v xml:space="preserve"> -</v>
      </c>
      <c r="S203" s="10" t="str">
        <f>[1]!NQFB1.203</f>
        <v xml:space="preserve"> -</v>
      </c>
      <c r="T203" s="10" t="str">
        <f>[1]!NQFB1.204</f>
        <v xml:space="preserve"> -</v>
      </c>
      <c r="U203" s="10" t="str">
        <f>[1]!NQFB1.205</f>
        <v xml:space="preserve"> -</v>
      </c>
      <c r="V203" s="10" t="str">
        <f>[1]!NQFB1.211</f>
        <v xml:space="preserve"> -</v>
      </c>
      <c r="W203" s="10" t="str">
        <f>[1]!NQFB1.212</f>
        <v xml:space="preserve"> -</v>
      </c>
      <c r="X203" s="10" t="str">
        <f>[1]!NQFB1.213</f>
        <v xml:space="preserve"> -</v>
      </c>
      <c r="Y203" s="10" t="str">
        <f>[1]!NQFB1.214</f>
        <v xml:space="preserve"> -</v>
      </c>
      <c r="Z203" s="10" t="str">
        <f>[1]!NQFB1.215</f>
        <v xml:space="preserve"> -</v>
      </c>
      <c r="AA203" s="10" t="str">
        <f>[1]!NQFB1.221</f>
        <v>-</v>
      </c>
      <c r="AB203" s="10" t="str">
        <f>[1]!NQFB1.222</f>
        <v>-</v>
      </c>
      <c r="AC203" s="10" t="str">
        <f>[1]!NQFB1.223</f>
        <v>-</v>
      </c>
      <c r="AD203" s="10" t="str">
        <f>[1]!NQFB1.224</f>
        <v>-</v>
      </c>
      <c r="AE203" s="10" t="str">
        <f>[1]!NQFB1.225</f>
        <v>-</v>
      </c>
      <c r="AF203" s="10" t="str">
        <f>[1]!NQFB1.231</f>
        <v>-</v>
      </c>
      <c r="AG203" s="10" t="str">
        <f>[1]!NQFB1.232</f>
        <v>-</v>
      </c>
      <c r="AH203" s="10" t="str">
        <f>[1]!NQFB1.233</f>
        <v>-</v>
      </c>
      <c r="AI203" s="10" t="str">
        <f>[1]!NQFB1.234</f>
        <v>-</v>
      </c>
      <c r="AJ203" s="10" t="str">
        <f>[1]!NQFB1.235</f>
        <v>-</v>
      </c>
    </row>
    <row r="204" spans="1:36" s="10" customFormat="1" x14ac:dyDescent="0.25">
      <c r="A204" s="10" t="str">
        <f>"NSFB1"</f>
        <v>NSFB1</v>
      </c>
      <c r="B204" s="10" t="str">
        <f>[1]!NSFB1.402</f>
        <v>加權指數</v>
      </c>
      <c r="C204" s="10">
        <f>[1]!NSFB1.123</f>
        <v>100145</v>
      </c>
      <c r="D204" s="10">
        <f>[1]!NSFB1.124</f>
        <v>16422.560000000001</v>
      </c>
      <c r="E204" s="10">
        <f>[1]!NSFB1.125</f>
        <v>-20.84</v>
      </c>
      <c r="F204" s="10">
        <f>[1]!NSFB1.128</f>
        <v>1824</v>
      </c>
      <c r="G204" s="10">
        <f>[1]!NSFB1.130</f>
        <v>16329.54</v>
      </c>
      <c r="H204" s="10">
        <f>[1]!NSFB1.131</f>
        <v>16456.939999999999</v>
      </c>
      <c r="I204" s="10">
        <f>[1]!NSFB1.132</f>
        <v>16329.54</v>
      </c>
      <c r="J204" s="10">
        <f>[1]!NSFB1.133</f>
        <v>4024617</v>
      </c>
      <c r="K204" s="10" t="str">
        <f>[1]!NSFB1.135</f>
        <v xml:space="preserve"> -</v>
      </c>
      <c r="L204" s="10" t="str">
        <f>[1]!NSFB1.136</f>
        <v xml:space="preserve"> -</v>
      </c>
      <c r="M204" s="10" t="str">
        <f>[1]!NSFB1.437</f>
        <v xml:space="preserve"> -</v>
      </c>
      <c r="N204" s="10" t="str">
        <f>[1]!NSFB1.406</f>
        <v xml:space="preserve"> -</v>
      </c>
      <c r="O204" s="10" t="str">
        <f>[1]!NSFB1.407</f>
        <v xml:space="preserve"> -</v>
      </c>
      <c r="P204" s="10" t="str">
        <f>[1]!NSFB1.431</f>
        <v>-</v>
      </c>
      <c r="Q204" s="10" t="str">
        <f>[1]!NSFB1.201</f>
        <v xml:space="preserve"> -</v>
      </c>
      <c r="R204" s="10" t="str">
        <f>[1]!NSFB1.202</f>
        <v xml:space="preserve"> -</v>
      </c>
      <c r="S204" s="10" t="str">
        <f>[1]!NSFB1.203</f>
        <v xml:space="preserve"> -</v>
      </c>
      <c r="T204" s="10" t="str">
        <f>[1]!NSFB1.204</f>
        <v xml:space="preserve"> -</v>
      </c>
      <c r="U204" s="10" t="str">
        <f>[1]!NSFB1.205</f>
        <v xml:space="preserve"> -</v>
      </c>
      <c r="V204" s="10" t="str">
        <f>[1]!NSFB1.211</f>
        <v xml:space="preserve"> -</v>
      </c>
      <c r="W204" s="10" t="str">
        <f>[1]!NSFB1.212</f>
        <v xml:space="preserve"> -</v>
      </c>
      <c r="X204" s="10" t="str">
        <f>[1]!NSFB1.213</f>
        <v xml:space="preserve"> -</v>
      </c>
      <c r="Y204" s="10" t="str">
        <f>[1]!NSFB1.214</f>
        <v xml:space="preserve"> -</v>
      </c>
      <c r="Z204" s="10" t="str">
        <f>[1]!NSFB1.215</f>
        <v xml:space="preserve"> -</v>
      </c>
      <c r="AA204" s="10" t="str">
        <f>[1]!NSFB1.221</f>
        <v>-</v>
      </c>
      <c r="AB204" s="10" t="str">
        <f>[1]!NSFB1.222</f>
        <v>-</v>
      </c>
      <c r="AC204" s="10" t="str">
        <f>[1]!NSFB1.223</f>
        <v>-</v>
      </c>
      <c r="AD204" s="10" t="str">
        <f>[1]!NSFB1.224</f>
        <v>-</v>
      </c>
      <c r="AE204" s="10" t="str">
        <f>[1]!NSFB1.225</f>
        <v>-</v>
      </c>
      <c r="AF204" s="10" t="str">
        <f>[1]!NSFB1.231</f>
        <v>-</v>
      </c>
      <c r="AG204" s="10" t="str">
        <f>[1]!NSFB1.232</f>
        <v>-</v>
      </c>
      <c r="AH204" s="10" t="str">
        <f>[1]!NSFB1.233</f>
        <v>-</v>
      </c>
      <c r="AI204" s="10" t="str">
        <f>[1]!NSFB1.234</f>
        <v>-</v>
      </c>
      <c r="AJ204" s="10" t="str">
        <f>[1]!NSFB1.235</f>
        <v>-</v>
      </c>
    </row>
    <row r="205" spans="1:36" s="10" customFormat="1" x14ac:dyDescent="0.25">
      <c r="A205" s="10" t="str">
        <f>"PKFB1"</f>
        <v>PKFB1</v>
      </c>
      <c r="B205" s="10" t="str">
        <f>[1]!PKFB1.402</f>
        <v>加權指數</v>
      </c>
      <c r="C205" s="10">
        <f>[1]!PKFB1.123</f>
        <v>100135</v>
      </c>
      <c r="D205" s="10">
        <f>[1]!PKFB1.124</f>
        <v>16424.64</v>
      </c>
      <c r="E205" s="10">
        <f>[1]!PKFB1.125</f>
        <v>-18.760000000000002</v>
      </c>
      <c r="F205" s="10">
        <f>[1]!PKFB1.128</f>
        <v>1648</v>
      </c>
      <c r="G205" s="10">
        <f>[1]!PKFB1.130</f>
        <v>16329.54</v>
      </c>
      <c r="H205" s="10">
        <f>[1]!PKFB1.131</f>
        <v>16456.939999999999</v>
      </c>
      <c r="I205" s="10">
        <f>[1]!PKFB1.132</f>
        <v>16329.54</v>
      </c>
      <c r="J205" s="10">
        <f>[1]!PKFB1.133</f>
        <v>4020107</v>
      </c>
      <c r="K205" s="10" t="str">
        <f>[1]!PKFB1.135</f>
        <v xml:space="preserve"> -</v>
      </c>
      <c r="L205" s="10" t="str">
        <f>[1]!PKFB1.136</f>
        <v xml:space="preserve"> -</v>
      </c>
      <c r="M205" s="10" t="str">
        <f>[1]!PKFB1.437</f>
        <v xml:space="preserve"> -</v>
      </c>
      <c r="N205" s="10" t="str">
        <f>[1]!PKFB1.406</f>
        <v xml:space="preserve"> -</v>
      </c>
      <c r="O205" s="10" t="str">
        <f>[1]!PKFB1.407</f>
        <v xml:space="preserve"> -</v>
      </c>
      <c r="P205" s="10" t="str">
        <f>[1]!PKFB1.431</f>
        <v>-</v>
      </c>
      <c r="Q205" s="10" t="str">
        <f>[1]!PKFB1.201</f>
        <v xml:space="preserve"> -</v>
      </c>
      <c r="R205" s="10" t="str">
        <f>[1]!PKFB1.202</f>
        <v xml:space="preserve"> -</v>
      </c>
      <c r="S205" s="10" t="str">
        <f>[1]!PKFB1.203</f>
        <v xml:space="preserve"> -</v>
      </c>
      <c r="T205" s="10" t="str">
        <f>[1]!PKFB1.204</f>
        <v xml:space="preserve"> -</v>
      </c>
      <c r="U205" s="10" t="str">
        <f>[1]!PKFB1.205</f>
        <v xml:space="preserve"> -</v>
      </c>
      <c r="V205" s="10" t="str">
        <f>[1]!PKFB1.211</f>
        <v xml:space="preserve"> -</v>
      </c>
      <c r="W205" s="10" t="str">
        <f>[1]!PKFB1.212</f>
        <v xml:space="preserve"> -</v>
      </c>
      <c r="X205" s="10" t="str">
        <f>[1]!PKFB1.213</f>
        <v xml:space="preserve"> -</v>
      </c>
      <c r="Y205" s="10" t="str">
        <f>[1]!PKFB1.214</f>
        <v xml:space="preserve"> -</v>
      </c>
      <c r="Z205" s="10" t="str">
        <f>[1]!PKFB1.215</f>
        <v xml:space="preserve"> -</v>
      </c>
      <c r="AA205" s="10" t="str">
        <f>[1]!PKFB1.221</f>
        <v>-</v>
      </c>
      <c r="AB205" s="10" t="str">
        <f>[1]!PKFB1.222</f>
        <v>-</v>
      </c>
      <c r="AC205" s="10" t="str">
        <f>[1]!PKFB1.223</f>
        <v>-</v>
      </c>
      <c r="AD205" s="10" t="str">
        <f>[1]!PKFB1.224</f>
        <v>-</v>
      </c>
      <c r="AE205" s="10" t="str">
        <f>[1]!PKFB1.225</f>
        <v>-</v>
      </c>
      <c r="AF205" s="10" t="str">
        <f>[1]!PKFB1.231</f>
        <v>-</v>
      </c>
      <c r="AG205" s="10" t="str">
        <f>[1]!PKFB1.232</f>
        <v>-</v>
      </c>
      <c r="AH205" s="10" t="str">
        <f>[1]!PKFB1.233</f>
        <v>-</v>
      </c>
      <c r="AI205" s="10" t="str">
        <f>[1]!PKFB1.234</f>
        <v>-</v>
      </c>
      <c r="AJ205" s="10" t="str">
        <f>[1]!PKFB1.235</f>
        <v>-</v>
      </c>
    </row>
    <row r="206" spans="1:36" s="10" customFormat="1" x14ac:dyDescent="0.25">
      <c r="A206" s="10" t="str">
        <f>"PLFB1"</f>
        <v>PLFB1</v>
      </c>
      <c r="B206" s="10" t="str">
        <f>[1]!PLFB1.402</f>
        <v>加權指數</v>
      </c>
      <c r="C206" s="10">
        <f>[1]!PLFB1.123</f>
        <v>100135</v>
      </c>
      <c r="D206" s="10">
        <f>[1]!PLFB1.124</f>
        <v>16424.64</v>
      </c>
      <c r="E206" s="10">
        <f>[1]!PLFB1.125</f>
        <v>-18.760000000000002</v>
      </c>
      <c r="F206" s="10">
        <f>[1]!PLFB1.128</f>
        <v>1648</v>
      </c>
      <c r="G206" s="10">
        <f>[1]!PLFB1.130</f>
        <v>16329.54</v>
      </c>
      <c r="H206" s="10">
        <f>[1]!PLFB1.131</f>
        <v>16456.939999999999</v>
      </c>
      <c r="I206" s="10">
        <f>[1]!PLFB1.132</f>
        <v>16329.54</v>
      </c>
      <c r="J206" s="10">
        <f>[1]!PLFB1.133</f>
        <v>4020107</v>
      </c>
      <c r="K206" s="10" t="str">
        <f>[1]!PLFB1.135</f>
        <v xml:space="preserve"> -</v>
      </c>
      <c r="L206" s="10" t="str">
        <f>[1]!PLFB1.136</f>
        <v xml:space="preserve"> -</v>
      </c>
      <c r="M206" s="10" t="str">
        <f>[1]!PLFB1.437</f>
        <v xml:space="preserve"> -</v>
      </c>
      <c r="N206" s="10" t="str">
        <f>[1]!PLFB1.406</f>
        <v xml:space="preserve"> -</v>
      </c>
      <c r="O206" s="10" t="str">
        <f>[1]!PLFB1.407</f>
        <v xml:space="preserve"> -</v>
      </c>
      <c r="P206" s="10" t="str">
        <f>[1]!PLFB1.431</f>
        <v>-</v>
      </c>
      <c r="Q206" s="10" t="str">
        <f>[1]!PLFB1.201</f>
        <v xml:space="preserve"> -</v>
      </c>
      <c r="R206" s="10" t="str">
        <f>[1]!PLFB1.202</f>
        <v xml:space="preserve"> -</v>
      </c>
      <c r="S206" s="10" t="str">
        <f>[1]!PLFB1.203</f>
        <v xml:space="preserve"> -</v>
      </c>
      <c r="T206" s="10" t="str">
        <f>[1]!PLFB1.204</f>
        <v xml:space="preserve"> -</v>
      </c>
      <c r="U206" s="10" t="str">
        <f>[1]!PLFB1.205</f>
        <v xml:space="preserve"> -</v>
      </c>
      <c r="V206" s="10" t="str">
        <f>[1]!PLFB1.211</f>
        <v xml:space="preserve"> -</v>
      </c>
      <c r="W206" s="10" t="str">
        <f>[1]!PLFB1.212</f>
        <v xml:space="preserve"> -</v>
      </c>
      <c r="X206" s="10" t="str">
        <f>[1]!PLFB1.213</f>
        <v xml:space="preserve"> -</v>
      </c>
      <c r="Y206" s="10" t="str">
        <f>[1]!PLFB1.214</f>
        <v xml:space="preserve"> -</v>
      </c>
      <c r="Z206" s="10" t="str">
        <f>[1]!PLFB1.215</f>
        <v xml:space="preserve"> -</v>
      </c>
      <c r="AA206" s="10" t="str">
        <f>[1]!PLFB1.221</f>
        <v>-</v>
      </c>
      <c r="AB206" s="10" t="str">
        <f>[1]!PLFB1.222</f>
        <v>-</v>
      </c>
      <c r="AC206" s="10" t="str">
        <f>[1]!PLFB1.223</f>
        <v>-</v>
      </c>
      <c r="AD206" s="10" t="str">
        <f>[1]!PLFB1.224</f>
        <v>-</v>
      </c>
      <c r="AE206" s="10" t="str">
        <f>[1]!PLFB1.225</f>
        <v>-</v>
      </c>
      <c r="AF206" s="10" t="str">
        <f>[1]!PLFB1.231</f>
        <v>-</v>
      </c>
      <c r="AG206" s="10" t="str">
        <f>[1]!PLFB1.232</f>
        <v>-</v>
      </c>
      <c r="AH206" s="10" t="str">
        <f>[1]!PLFB1.233</f>
        <v>-</v>
      </c>
      <c r="AI206" s="10" t="str">
        <f>[1]!PLFB1.234</f>
        <v>-</v>
      </c>
      <c r="AJ206" s="10" t="str">
        <f>[1]!PLFB1.235</f>
        <v>-</v>
      </c>
    </row>
    <row r="207" spans="1:36" s="10" customFormat="1" x14ac:dyDescent="0.25">
      <c r="A207" s="10" t="str">
        <f>"OVFB1"</f>
        <v>OVFB1</v>
      </c>
      <c r="B207" s="10" t="str">
        <f>[1]!OVFB1.402</f>
        <v>加權指數</v>
      </c>
      <c r="C207" s="10">
        <f>[1]!OVFB1.123</f>
        <v>100145</v>
      </c>
      <c r="D207" s="10">
        <f>[1]!OVFB1.124</f>
        <v>16422.560000000001</v>
      </c>
      <c r="E207" s="10">
        <f>[1]!OVFB1.125</f>
        <v>-20.84</v>
      </c>
      <c r="F207" s="10">
        <f>[1]!OVFB1.128</f>
        <v>1824</v>
      </c>
      <c r="G207" s="10">
        <f>[1]!OVFB1.130</f>
        <v>16329.54</v>
      </c>
      <c r="H207" s="10">
        <f>[1]!OVFB1.131</f>
        <v>16456.939999999999</v>
      </c>
      <c r="I207" s="10">
        <f>[1]!OVFB1.132</f>
        <v>16329.54</v>
      </c>
      <c r="J207" s="10">
        <f>[1]!OVFB1.133</f>
        <v>4024617</v>
      </c>
      <c r="K207" s="10" t="str">
        <f>[1]!OVFB1.135</f>
        <v xml:space="preserve"> -</v>
      </c>
      <c r="L207" s="10" t="str">
        <f>[1]!OVFB1.136</f>
        <v xml:space="preserve"> -</v>
      </c>
      <c r="M207" s="10" t="str">
        <f>[1]!OVFB1.437</f>
        <v xml:space="preserve"> -</v>
      </c>
      <c r="N207" s="10" t="str">
        <f>[1]!OVFB1.406</f>
        <v xml:space="preserve"> -</v>
      </c>
      <c r="O207" s="10" t="str">
        <f>[1]!OVFB1.407</f>
        <v xml:space="preserve"> -</v>
      </c>
      <c r="P207" s="10" t="str">
        <f>[1]!OVFB1.431</f>
        <v>-</v>
      </c>
      <c r="Q207" s="10" t="str">
        <f>[1]!OVFB1.201</f>
        <v xml:space="preserve"> -</v>
      </c>
      <c r="R207" s="10" t="str">
        <f>[1]!OVFB1.202</f>
        <v xml:space="preserve"> -</v>
      </c>
      <c r="S207" s="10" t="str">
        <f>[1]!OVFB1.203</f>
        <v xml:space="preserve"> -</v>
      </c>
      <c r="T207" s="10" t="str">
        <f>[1]!OVFB1.204</f>
        <v xml:space="preserve"> -</v>
      </c>
      <c r="U207" s="10" t="str">
        <f>[1]!OVFB1.205</f>
        <v xml:space="preserve"> -</v>
      </c>
      <c r="V207" s="10" t="str">
        <f>[1]!OVFB1.211</f>
        <v xml:space="preserve"> -</v>
      </c>
      <c r="W207" s="10" t="str">
        <f>[1]!OVFB1.212</f>
        <v xml:space="preserve"> -</v>
      </c>
      <c r="X207" s="10" t="str">
        <f>[1]!OVFB1.213</f>
        <v xml:space="preserve"> -</v>
      </c>
      <c r="Y207" s="10" t="str">
        <f>[1]!OVFB1.214</f>
        <v xml:space="preserve"> -</v>
      </c>
      <c r="Z207" s="10" t="str">
        <f>[1]!OVFB1.215</f>
        <v xml:space="preserve"> -</v>
      </c>
      <c r="AA207" s="10" t="str">
        <f>[1]!OVFB1.221</f>
        <v>-</v>
      </c>
      <c r="AB207" s="10" t="str">
        <f>[1]!OVFB1.222</f>
        <v>-</v>
      </c>
      <c r="AC207" s="10" t="str">
        <f>[1]!OVFB1.223</f>
        <v>-</v>
      </c>
      <c r="AD207" s="10" t="str">
        <f>[1]!OVFB1.224</f>
        <v>-</v>
      </c>
      <c r="AE207" s="10" t="str">
        <f>[1]!OVFB1.225</f>
        <v>-</v>
      </c>
      <c r="AF207" s="10" t="str">
        <f>[1]!OVFB1.231</f>
        <v>-</v>
      </c>
      <c r="AG207" s="10" t="str">
        <f>[1]!OVFB1.232</f>
        <v>-</v>
      </c>
      <c r="AH207" s="10" t="str">
        <f>[1]!OVFB1.233</f>
        <v>-</v>
      </c>
      <c r="AI207" s="10" t="str">
        <f>[1]!OVFB1.234</f>
        <v>-</v>
      </c>
      <c r="AJ207" s="10" t="str">
        <f>[1]!OVFB1.235</f>
        <v>-</v>
      </c>
    </row>
    <row r="208" spans="1:36" s="10" customFormat="1" x14ac:dyDescent="0.25">
      <c r="A208" s="10" t="str">
        <f>"OHFB1"</f>
        <v>OHFB1</v>
      </c>
      <c r="B208" s="10" t="str">
        <f>[1]!OHFB1.402</f>
        <v>不含金電</v>
      </c>
      <c r="C208" s="10">
        <f>[1]!OHFB1.123</f>
        <v>100140</v>
      </c>
      <c r="D208" s="10">
        <f>[1]!OHFB1.124</f>
        <v>13893.18</v>
      </c>
      <c r="E208" s="10">
        <f>[1]!OHFB1.125</f>
        <v>6.6</v>
      </c>
      <c r="F208" s="10">
        <f>[1]!OHFB1.128</f>
        <v>720</v>
      </c>
      <c r="G208" s="10">
        <f>[1]!OHFB1.130</f>
        <v>13893.03</v>
      </c>
      <c r="H208" s="10">
        <f>[1]!OHFB1.131</f>
        <v>13945.78</v>
      </c>
      <c r="I208" s="10">
        <f>[1]!OHFB1.132</f>
        <v>13875.82</v>
      </c>
      <c r="J208" s="10">
        <f>[1]!OHFB1.133</f>
        <v>872505</v>
      </c>
      <c r="K208" s="10" t="str">
        <f>[1]!OHFB1.135</f>
        <v xml:space="preserve"> -</v>
      </c>
      <c r="L208" s="10" t="str">
        <f>[1]!OHFB1.136</f>
        <v xml:space="preserve"> -</v>
      </c>
      <c r="M208" s="10" t="str">
        <f>[1]!OHFB1.437</f>
        <v xml:space="preserve"> -</v>
      </c>
      <c r="N208" s="10" t="str">
        <f>[1]!OHFB1.406</f>
        <v xml:space="preserve"> -</v>
      </c>
      <c r="O208" s="10" t="str">
        <f>[1]!OHFB1.407</f>
        <v xml:space="preserve"> -</v>
      </c>
      <c r="P208" s="10" t="str">
        <f>[1]!OHFB1.431</f>
        <v>-</v>
      </c>
      <c r="Q208" s="10" t="str">
        <f>[1]!OHFB1.201</f>
        <v xml:space="preserve"> -</v>
      </c>
      <c r="R208" s="10" t="str">
        <f>[1]!OHFB1.202</f>
        <v xml:space="preserve"> -</v>
      </c>
      <c r="S208" s="10" t="str">
        <f>[1]!OHFB1.203</f>
        <v xml:space="preserve"> -</v>
      </c>
      <c r="T208" s="10" t="str">
        <f>[1]!OHFB1.204</f>
        <v xml:space="preserve"> -</v>
      </c>
      <c r="U208" s="10" t="str">
        <f>[1]!OHFB1.205</f>
        <v xml:space="preserve"> -</v>
      </c>
      <c r="V208" s="10" t="str">
        <f>[1]!OHFB1.211</f>
        <v xml:space="preserve"> -</v>
      </c>
      <c r="W208" s="10" t="str">
        <f>[1]!OHFB1.212</f>
        <v xml:space="preserve"> -</v>
      </c>
      <c r="X208" s="10" t="str">
        <f>[1]!OHFB1.213</f>
        <v xml:space="preserve"> -</v>
      </c>
      <c r="Y208" s="10" t="str">
        <f>[1]!OHFB1.214</f>
        <v xml:space="preserve"> -</v>
      </c>
      <c r="Z208" s="10" t="str">
        <f>[1]!OHFB1.215</f>
        <v xml:space="preserve"> -</v>
      </c>
      <c r="AA208" s="10" t="str">
        <f>[1]!OHFB1.221</f>
        <v>-</v>
      </c>
      <c r="AB208" s="10" t="str">
        <f>[1]!OHFB1.222</f>
        <v>-</v>
      </c>
      <c r="AC208" s="10" t="str">
        <f>[1]!OHFB1.223</f>
        <v>-</v>
      </c>
      <c r="AD208" s="10" t="str">
        <f>[1]!OHFB1.224</f>
        <v>-</v>
      </c>
      <c r="AE208" s="10" t="str">
        <f>[1]!OHFB1.225</f>
        <v>-</v>
      </c>
      <c r="AF208" s="10" t="str">
        <f>[1]!OHFB1.231</f>
        <v>-</v>
      </c>
      <c r="AG208" s="10" t="str">
        <f>[1]!OHFB1.232</f>
        <v>-</v>
      </c>
      <c r="AH208" s="10" t="str">
        <f>[1]!OHFB1.233</f>
        <v>-</v>
      </c>
      <c r="AI208" s="10" t="str">
        <f>[1]!OHFB1.234</f>
        <v>-</v>
      </c>
      <c r="AJ208" s="10" t="str">
        <f>[1]!OHFB1.235</f>
        <v>-</v>
      </c>
    </row>
    <row r="209" spans="1:36" s="10" customFormat="1" x14ac:dyDescent="0.25">
      <c r="A209" s="10" t="str">
        <f>"POFB1"</f>
        <v>POFB1</v>
      </c>
      <c r="B209" s="10" t="str">
        <f>[1]!POFB1.402</f>
        <v>加權指數</v>
      </c>
      <c r="C209" s="10">
        <f>[1]!POFB1.123</f>
        <v>100135</v>
      </c>
      <c r="D209" s="10">
        <f>[1]!POFB1.124</f>
        <v>16424.64</v>
      </c>
      <c r="E209" s="10">
        <f>[1]!POFB1.125</f>
        <v>-18.760000000000002</v>
      </c>
      <c r="F209" s="10">
        <f>[1]!POFB1.128</f>
        <v>1648</v>
      </c>
      <c r="G209" s="10">
        <f>[1]!POFB1.130</f>
        <v>16329.54</v>
      </c>
      <c r="H209" s="10">
        <f>[1]!POFB1.131</f>
        <v>16456.939999999999</v>
      </c>
      <c r="I209" s="10">
        <f>[1]!POFB1.132</f>
        <v>16329.54</v>
      </c>
      <c r="J209" s="10">
        <f>[1]!POFB1.133</f>
        <v>4020107</v>
      </c>
      <c r="K209" s="10" t="str">
        <f>[1]!POFB1.135</f>
        <v xml:space="preserve"> -</v>
      </c>
      <c r="L209" s="10" t="str">
        <f>[1]!POFB1.136</f>
        <v xml:space="preserve"> -</v>
      </c>
      <c r="M209" s="10" t="str">
        <f>[1]!POFB1.437</f>
        <v xml:space="preserve"> -</v>
      </c>
      <c r="N209" s="10" t="str">
        <f>[1]!POFB1.406</f>
        <v xml:space="preserve"> -</v>
      </c>
      <c r="O209" s="10" t="str">
        <f>[1]!POFB1.407</f>
        <v xml:space="preserve"> -</v>
      </c>
      <c r="P209" s="10" t="str">
        <f>[1]!POFB1.431</f>
        <v>-</v>
      </c>
      <c r="Q209" s="10" t="str">
        <f>[1]!POFB1.201</f>
        <v xml:space="preserve"> -</v>
      </c>
      <c r="R209" s="10" t="str">
        <f>[1]!POFB1.202</f>
        <v xml:space="preserve"> -</v>
      </c>
      <c r="S209" s="10" t="str">
        <f>[1]!POFB1.203</f>
        <v xml:space="preserve"> -</v>
      </c>
      <c r="T209" s="10" t="str">
        <f>[1]!POFB1.204</f>
        <v xml:space="preserve"> -</v>
      </c>
      <c r="U209" s="10" t="str">
        <f>[1]!POFB1.205</f>
        <v xml:space="preserve"> -</v>
      </c>
      <c r="V209" s="10" t="str">
        <f>[1]!POFB1.211</f>
        <v xml:space="preserve"> -</v>
      </c>
      <c r="W209" s="10" t="str">
        <f>[1]!POFB1.212</f>
        <v xml:space="preserve"> -</v>
      </c>
      <c r="X209" s="10" t="str">
        <f>[1]!POFB1.213</f>
        <v xml:space="preserve"> -</v>
      </c>
      <c r="Y209" s="10" t="str">
        <f>[1]!POFB1.214</f>
        <v xml:space="preserve"> -</v>
      </c>
      <c r="Z209" s="10" t="str">
        <f>[1]!POFB1.215</f>
        <v xml:space="preserve"> -</v>
      </c>
      <c r="AA209" s="10" t="str">
        <f>[1]!POFB1.221</f>
        <v>-</v>
      </c>
      <c r="AB209" s="10" t="str">
        <f>[1]!POFB1.222</f>
        <v>-</v>
      </c>
      <c r="AC209" s="10" t="str">
        <f>[1]!POFB1.223</f>
        <v>-</v>
      </c>
      <c r="AD209" s="10" t="str">
        <f>[1]!POFB1.224</f>
        <v>-</v>
      </c>
      <c r="AE209" s="10" t="str">
        <f>[1]!POFB1.225</f>
        <v>-</v>
      </c>
      <c r="AF209" s="10" t="str">
        <f>[1]!POFB1.231</f>
        <v>-</v>
      </c>
      <c r="AG209" s="10" t="str">
        <f>[1]!POFB1.232</f>
        <v>-</v>
      </c>
      <c r="AH209" s="10" t="str">
        <f>[1]!POFB1.233</f>
        <v>-</v>
      </c>
      <c r="AI209" s="10" t="str">
        <f>[1]!POFB1.234</f>
        <v>-</v>
      </c>
      <c r="AJ209" s="10" t="str">
        <f>[1]!POFB1.235</f>
        <v>-</v>
      </c>
    </row>
    <row r="210" spans="1:36" s="10" customFormat="1" x14ac:dyDescent="0.25">
      <c r="A210" s="10" t="str">
        <f>"OWFB1"</f>
        <v>OWFB1</v>
      </c>
      <c r="B210" s="10" t="e">
        <f>[1]!OWFB1.402</f>
        <v>#N/A</v>
      </c>
      <c r="C210" s="10">
        <f>[1]!OWFB1.123</f>
        <v>0</v>
      </c>
      <c r="D210" s="10">
        <f>[1]!OWFB1.124</f>
        <v>20878632</v>
      </c>
      <c r="E210" s="10" t="str">
        <f>[1]!OWFB1.125</f>
        <v xml:space="preserve"> </v>
      </c>
      <c r="F210" s="10">
        <f>[1]!OWFB1.128</f>
        <v>1212870150</v>
      </c>
      <c r="G210" s="10">
        <f>[1]!OWFB1.130</f>
        <v>20803788</v>
      </c>
      <c r="H210" s="10">
        <f>[1]!OWFB1.131</f>
        <v>20804690</v>
      </c>
      <c r="I210" s="10">
        <f>[1]!OWFB1.132</f>
        <v>10989732</v>
      </c>
      <c r="J210" s="10">
        <f>[1]!OWFB1.133</f>
        <v>2088371110</v>
      </c>
      <c r="K210" s="10" t="str">
        <f>[1]!OWFB1.135</f>
        <v xml:space="preserve"> -</v>
      </c>
      <c r="L210" s="10" t="str">
        <f>[1]!OWFB1.136</f>
        <v xml:space="preserve"> -</v>
      </c>
      <c r="M210" s="10" t="str">
        <f>[1]!OWFB1.437</f>
        <v xml:space="preserve"> -</v>
      </c>
      <c r="N210" s="10" t="str">
        <f>[1]!OWFB1.406</f>
        <v xml:space="preserve"> -</v>
      </c>
      <c r="O210" s="10" t="str">
        <f>[1]!OWFB1.407</f>
        <v xml:space="preserve"> -</v>
      </c>
      <c r="P210" s="10" t="str">
        <f>[1]!OWFB1.431</f>
        <v>-</v>
      </c>
      <c r="Q210" s="10" t="str">
        <f>[1]!OWFB1.201</f>
        <v xml:space="preserve"> -</v>
      </c>
      <c r="R210" s="10" t="str">
        <f>[1]!OWFB1.202</f>
        <v xml:space="preserve"> -</v>
      </c>
      <c r="S210" s="10" t="str">
        <f>[1]!OWFB1.203</f>
        <v xml:space="preserve"> -</v>
      </c>
      <c r="T210" s="10" t="str">
        <f>[1]!OWFB1.204</f>
        <v xml:space="preserve"> -</v>
      </c>
      <c r="U210" s="10" t="str">
        <f>[1]!OWFB1.205</f>
        <v xml:space="preserve"> -</v>
      </c>
      <c r="V210" s="10" t="str">
        <f>[1]!OWFB1.211</f>
        <v xml:space="preserve"> -</v>
      </c>
      <c r="W210" s="10" t="str">
        <f>[1]!OWFB1.212</f>
        <v xml:space="preserve"> -</v>
      </c>
      <c r="X210" s="10" t="str">
        <f>[1]!OWFB1.213</f>
        <v xml:space="preserve"> -</v>
      </c>
      <c r="Y210" s="10" t="str">
        <f>[1]!OWFB1.214</f>
        <v xml:space="preserve"> -</v>
      </c>
      <c r="Z210" s="10" t="str">
        <f>[1]!OWFB1.215</f>
        <v xml:space="preserve"> -</v>
      </c>
      <c r="AA210" s="10" t="str">
        <f>[1]!OWFB1.221</f>
        <v>-</v>
      </c>
      <c r="AB210" s="10" t="str">
        <f>[1]!OWFB1.222</f>
        <v>-</v>
      </c>
      <c r="AC210" s="10" t="str">
        <f>[1]!OWFB1.223</f>
        <v>-</v>
      </c>
      <c r="AD210" s="10" t="str">
        <f>[1]!OWFB1.224</f>
        <v>-</v>
      </c>
      <c r="AE210" s="10" t="str">
        <f>[1]!OWFB1.225</f>
        <v>-</v>
      </c>
      <c r="AF210" s="10" t="str">
        <f>[1]!OWFB1.231</f>
        <v>-</v>
      </c>
      <c r="AG210" s="10" t="str">
        <f>[1]!OWFB1.232</f>
        <v>-</v>
      </c>
      <c r="AH210" s="10" t="str">
        <f>[1]!OWFB1.233</f>
        <v>-</v>
      </c>
      <c r="AI210" s="10" t="str">
        <f>[1]!OWFB1.234</f>
        <v>-</v>
      </c>
      <c r="AJ210" s="10" t="str">
        <f>[1]!OWFB1.235</f>
        <v>-</v>
      </c>
    </row>
    <row r="211" spans="1:36" s="10" customFormat="1" x14ac:dyDescent="0.25">
      <c r="A211" s="10" t="str">
        <f>"PBFB1"</f>
        <v>PBFB1</v>
      </c>
      <c r="B211" s="10" t="str">
        <f>[1]!PBFB1.402</f>
        <v>加權指數</v>
      </c>
      <c r="C211" s="10">
        <f>[1]!PBFB1.123</f>
        <v>100150</v>
      </c>
      <c r="D211" s="10">
        <f>[1]!PBFB1.124</f>
        <v>16421.62</v>
      </c>
      <c r="E211" s="10">
        <f>[1]!PBFB1.125</f>
        <v>-21.78</v>
      </c>
      <c r="F211" s="10">
        <f>[1]!PBFB1.128</f>
        <v>2439</v>
      </c>
      <c r="G211" s="10">
        <f>[1]!PBFB1.130</f>
        <v>16329.54</v>
      </c>
      <c r="H211" s="10">
        <f>[1]!PBFB1.131</f>
        <v>16456.939999999999</v>
      </c>
      <c r="I211" s="10">
        <f>[1]!PBFB1.132</f>
        <v>16329.54</v>
      </c>
      <c r="J211" s="10">
        <f>[1]!PBFB1.133</f>
        <v>4027056</v>
      </c>
      <c r="K211" s="10" t="str">
        <f>[1]!PBFB1.135</f>
        <v xml:space="preserve"> -</v>
      </c>
      <c r="L211" s="10" t="str">
        <f>[1]!PBFB1.136</f>
        <v xml:space="preserve"> -</v>
      </c>
      <c r="M211" s="10" t="str">
        <f>[1]!PBFB1.437</f>
        <v xml:space="preserve"> -</v>
      </c>
      <c r="N211" s="10" t="str">
        <f>[1]!PBFB1.406</f>
        <v xml:space="preserve"> -</v>
      </c>
      <c r="O211" s="10" t="str">
        <f>[1]!PBFB1.407</f>
        <v xml:space="preserve"> -</v>
      </c>
      <c r="P211" s="10" t="str">
        <f>[1]!PBFB1.431</f>
        <v>-</v>
      </c>
      <c r="Q211" s="10" t="str">
        <f>[1]!PBFB1.201</f>
        <v xml:space="preserve"> -</v>
      </c>
      <c r="R211" s="10" t="str">
        <f>[1]!PBFB1.202</f>
        <v xml:space="preserve"> -</v>
      </c>
      <c r="S211" s="10" t="str">
        <f>[1]!PBFB1.203</f>
        <v xml:space="preserve"> -</v>
      </c>
      <c r="T211" s="10" t="str">
        <f>[1]!PBFB1.204</f>
        <v xml:space="preserve"> -</v>
      </c>
      <c r="U211" s="10" t="str">
        <f>[1]!PBFB1.205</f>
        <v xml:space="preserve"> -</v>
      </c>
      <c r="V211" s="10" t="str">
        <f>[1]!PBFB1.211</f>
        <v xml:space="preserve"> -</v>
      </c>
      <c r="W211" s="10" t="str">
        <f>[1]!PBFB1.212</f>
        <v xml:space="preserve"> -</v>
      </c>
      <c r="X211" s="10" t="str">
        <f>[1]!PBFB1.213</f>
        <v xml:space="preserve"> -</v>
      </c>
      <c r="Y211" s="10" t="str">
        <f>[1]!PBFB1.214</f>
        <v xml:space="preserve"> -</v>
      </c>
      <c r="Z211" s="10" t="str">
        <f>[1]!PBFB1.215</f>
        <v xml:space="preserve"> -</v>
      </c>
      <c r="AA211" s="10" t="str">
        <f>[1]!PBFB1.221</f>
        <v>-</v>
      </c>
      <c r="AB211" s="10" t="str">
        <f>[1]!PBFB1.222</f>
        <v>-</v>
      </c>
      <c r="AC211" s="10" t="str">
        <f>[1]!PBFB1.223</f>
        <v>-</v>
      </c>
      <c r="AD211" s="10" t="str">
        <f>[1]!PBFB1.224</f>
        <v>-</v>
      </c>
      <c r="AE211" s="10" t="str">
        <f>[1]!PBFB1.225</f>
        <v>-</v>
      </c>
      <c r="AF211" s="10" t="str">
        <f>[1]!PBFB1.231</f>
        <v>-</v>
      </c>
      <c r="AG211" s="10" t="str">
        <f>[1]!PBFB1.232</f>
        <v>-</v>
      </c>
      <c r="AH211" s="10" t="str">
        <f>[1]!PBFB1.233</f>
        <v>-</v>
      </c>
      <c r="AI211" s="10" t="str">
        <f>[1]!PBFB1.234</f>
        <v>-</v>
      </c>
      <c r="AJ211" s="10" t="str">
        <f>[1]!PBFB1.235</f>
        <v>-</v>
      </c>
    </row>
    <row r="212" spans="1:36" s="10" customFormat="1" x14ac:dyDescent="0.25">
      <c r="A212" s="10" t="str">
        <f>"OYFB1"</f>
        <v>OYFB1</v>
      </c>
      <c r="B212" s="10" t="str">
        <f>[1]!OYFB1.402</f>
        <v>加權指數</v>
      </c>
      <c r="C212" s="10">
        <f>[1]!OYFB1.123</f>
        <v>100140</v>
      </c>
      <c r="D212" s="10">
        <f>[1]!OYFB1.124</f>
        <v>16428.68</v>
      </c>
      <c r="E212" s="10">
        <f>[1]!OYFB1.125</f>
        <v>-14.72</v>
      </c>
      <c r="F212" s="10">
        <f>[1]!OYFB1.128</f>
        <v>2686</v>
      </c>
      <c r="G212" s="10">
        <f>[1]!OYFB1.130</f>
        <v>16329.54</v>
      </c>
      <c r="H212" s="10">
        <f>[1]!OYFB1.131</f>
        <v>16456.939999999999</v>
      </c>
      <c r="I212" s="10">
        <f>[1]!OYFB1.132</f>
        <v>16329.54</v>
      </c>
      <c r="J212" s="10">
        <f>[1]!OYFB1.133</f>
        <v>4022793</v>
      </c>
      <c r="K212" s="10" t="str">
        <f>[1]!OYFB1.135</f>
        <v xml:space="preserve"> -</v>
      </c>
      <c r="L212" s="10" t="str">
        <f>[1]!OYFB1.136</f>
        <v xml:space="preserve"> -</v>
      </c>
      <c r="M212" s="10" t="str">
        <f>[1]!OYFB1.437</f>
        <v xml:space="preserve"> -</v>
      </c>
      <c r="N212" s="10" t="str">
        <f>[1]!OYFB1.406</f>
        <v xml:space="preserve"> -</v>
      </c>
      <c r="O212" s="10" t="str">
        <f>[1]!OYFB1.407</f>
        <v xml:space="preserve"> -</v>
      </c>
      <c r="P212" s="10" t="str">
        <f>[1]!OYFB1.431</f>
        <v>-</v>
      </c>
      <c r="Q212" s="10" t="str">
        <f>[1]!OYFB1.201</f>
        <v xml:space="preserve"> -</v>
      </c>
      <c r="R212" s="10" t="str">
        <f>[1]!OYFB1.202</f>
        <v xml:space="preserve"> -</v>
      </c>
      <c r="S212" s="10" t="str">
        <f>[1]!OYFB1.203</f>
        <v xml:space="preserve"> -</v>
      </c>
      <c r="T212" s="10" t="str">
        <f>[1]!OYFB1.204</f>
        <v xml:space="preserve"> -</v>
      </c>
      <c r="U212" s="10" t="str">
        <f>[1]!OYFB1.205</f>
        <v xml:space="preserve"> -</v>
      </c>
      <c r="V212" s="10" t="str">
        <f>[1]!OYFB1.211</f>
        <v xml:space="preserve"> -</v>
      </c>
      <c r="W212" s="10" t="str">
        <f>[1]!OYFB1.212</f>
        <v xml:space="preserve"> -</v>
      </c>
      <c r="X212" s="10" t="str">
        <f>[1]!OYFB1.213</f>
        <v xml:space="preserve"> -</v>
      </c>
      <c r="Y212" s="10" t="str">
        <f>[1]!OYFB1.214</f>
        <v xml:space="preserve"> -</v>
      </c>
      <c r="Z212" s="10" t="str">
        <f>[1]!OYFB1.215</f>
        <v xml:space="preserve"> -</v>
      </c>
      <c r="AA212" s="10" t="str">
        <f>[1]!OYFB1.221</f>
        <v>-</v>
      </c>
      <c r="AB212" s="10" t="str">
        <f>[1]!OYFB1.222</f>
        <v>-</v>
      </c>
      <c r="AC212" s="10" t="str">
        <f>[1]!OYFB1.223</f>
        <v>-</v>
      </c>
      <c r="AD212" s="10" t="str">
        <f>[1]!OYFB1.224</f>
        <v>-</v>
      </c>
      <c r="AE212" s="10" t="str">
        <f>[1]!OYFB1.225</f>
        <v>-</v>
      </c>
      <c r="AF212" s="10" t="str">
        <f>[1]!OYFB1.231</f>
        <v>-</v>
      </c>
      <c r="AG212" s="10" t="str">
        <f>[1]!OYFB1.232</f>
        <v>-</v>
      </c>
      <c r="AH212" s="10" t="str">
        <f>[1]!OYFB1.233</f>
        <v>-</v>
      </c>
      <c r="AI212" s="10" t="str">
        <f>[1]!OYFB1.234</f>
        <v>-</v>
      </c>
      <c r="AJ212" s="10" t="str">
        <f>[1]!OYFB1.235</f>
        <v>-</v>
      </c>
    </row>
    <row r="213" spans="1:36" s="10" customFormat="1" x14ac:dyDescent="0.25">
      <c r="A213" s="10" t="str">
        <f>"OXFB1"</f>
        <v>OXFB1</v>
      </c>
      <c r="B213" s="10" t="str">
        <f>[1]!OXFB1.402</f>
        <v>不含金電</v>
      </c>
      <c r="C213" s="10">
        <f>[1]!OXFB1.123</f>
        <v>100140</v>
      </c>
      <c r="D213" s="10">
        <f>[1]!OXFB1.124</f>
        <v>13893.18</v>
      </c>
      <c r="E213" s="10">
        <f>[1]!OXFB1.125</f>
        <v>6.6</v>
      </c>
      <c r="F213" s="10">
        <f>[1]!OXFB1.128</f>
        <v>720</v>
      </c>
      <c r="G213" s="10">
        <f>[1]!OXFB1.130</f>
        <v>13893.03</v>
      </c>
      <c r="H213" s="10">
        <f>[1]!OXFB1.131</f>
        <v>13945.78</v>
      </c>
      <c r="I213" s="10">
        <f>[1]!OXFB1.132</f>
        <v>13875.82</v>
      </c>
      <c r="J213" s="10">
        <f>[1]!OXFB1.133</f>
        <v>872505</v>
      </c>
      <c r="K213" s="10" t="str">
        <f>[1]!OXFB1.135</f>
        <v xml:space="preserve"> -</v>
      </c>
      <c r="L213" s="10" t="str">
        <f>[1]!OXFB1.136</f>
        <v xml:space="preserve"> -</v>
      </c>
      <c r="M213" s="10" t="str">
        <f>[1]!OXFB1.437</f>
        <v xml:space="preserve"> -</v>
      </c>
      <c r="N213" s="10" t="str">
        <f>[1]!OXFB1.406</f>
        <v xml:space="preserve"> -</v>
      </c>
      <c r="O213" s="10" t="str">
        <f>[1]!OXFB1.407</f>
        <v xml:space="preserve"> -</v>
      </c>
      <c r="P213" s="10" t="str">
        <f>[1]!OXFB1.431</f>
        <v>-</v>
      </c>
      <c r="Q213" s="10" t="str">
        <f>[1]!OXFB1.201</f>
        <v xml:space="preserve"> -</v>
      </c>
      <c r="R213" s="10" t="str">
        <f>[1]!OXFB1.202</f>
        <v xml:space="preserve"> -</v>
      </c>
      <c r="S213" s="10" t="str">
        <f>[1]!OXFB1.203</f>
        <v xml:space="preserve"> -</v>
      </c>
      <c r="T213" s="10" t="str">
        <f>[1]!OXFB1.204</f>
        <v xml:space="preserve"> -</v>
      </c>
      <c r="U213" s="10" t="str">
        <f>[1]!OXFB1.205</f>
        <v xml:space="preserve"> -</v>
      </c>
      <c r="V213" s="10" t="str">
        <f>[1]!OXFB1.211</f>
        <v xml:space="preserve"> -</v>
      </c>
      <c r="W213" s="10" t="str">
        <f>[1]!OXFB1.212</f>
        <v xml:space="preserve"> -</v>
      </c>
      <c r="X213" s="10" t="str">
        <f>[1]!OXFB1.213</f>
        <v xml:space="preserve"> -</v>
      </c>
      <c r="Y213" s="10" t="str">
        <f>[1]!OXFB1.214</f>
        <v xml:space="preserve"> -</v>
      </c>
      <c r="Z213" s="10" t="str">
        <f>[1]!OXFB1.215</f>
        <v xml:space="preserve"> -</v>
      </c>
      <c r="AA213" s="10" t="str">
        <f>[1]!OXFB1.221</f>
        <v>-</v>
      </c>
      <c r="AB213" s="10" t="str">
        <f>[1]!OXFB1.222</f>
        <v>-</v>
      </c>
      <c r="AC213" s="10" t="str">
        <f>[1]!OXFB1.223</f>
        <v>-</v>
      </c>
      <c r="AD213" s="10" t="str">
        <f>[1]!OXFB1.224</f>
        <v>-</v>
      </c>
      <c r="AE213" s="10" t="str">
        <f>[1]!OXFB1.225</f>
        <v>-</v>
      </c>
      <c r="AF213" s="10" t="str">
        <f>[1]!OXFB1.231</f>
        <v>-</v>
      </c>
      <c r="AG213" s="10" t="str">
        <f>[1]!OXFB1.232</f>
        <v>-</v>
      </c>
      <c r="AH213" s="10" t="str">
        <f>[1]!OXFB1.233</f>
        <v>-</v>
      </c>
      <c r="AI213" s="10" t="str">
        <f>[1]!OXFB1.234</f>
        <v>-</v>
      </c>
      <c r="AJ213" s="10" t="str">
        <f>[1]!OXFB1.235</f>
        <v>-</v>
      </c>
    </row>
    <row r="214" spans="1:36" s="10" customFormat="1" x14ac:dyDescent="0.25">
      <c r="A214" s="10" t="str">
        <f>"NUFB1"</f>
        <v>NUFB1</v>
      </c>
      <c r="B214" s="10" t="str">
        <f>[1]!NUFB1.402</f>
        <v>加權指數</v>
      </c>
      <c r="C214" s="10">
        <f>[1]!NUFB1.123</f>
        <v>100145</v>
      </c>
      <c r="D214" s="10">
        <f>[1]!NUFB1.124</f>
        <v>16422.560000000001</v>
      </c>
      <c r="E214" s="10">
        <f>[1]!NUFB1.125</f>
        <v>-20.84</v>
      </c>
      <c r="F214" s="10">
        <f>[1]!NUFB1.128</f>
        <v>1824</v>
      </c>
      <c r="G214" s="10">
        <f>[1]!NUFB1.130</f>
        <v>16329.54</v>
      </c>
      <c r="H214" s="10">
        <f>[1]!NUFB1.131</f>
        <v>16456.939999999999</v>
      </c>
      <c r="I214" s="10">
        <f>[1]!NUFB1.132</f>
        <v>16329.54</v>
      </c>
      <c r="J214" s="10">
        <f>[1]!NUFB1.133</f>
        <v>4024617</v>
      </c>
      <c r="K214" s="10" t="str">
        <f>[1]!NUFB1.135</f>
        <v xml:space="preserve"> -</v>
      </c>
      <c r="L214" s="10" t="str">
        <f>[1]!NUFB1.136</f>
        <v xml:space="preserve"> -</v>
      </c>
      <c r="M214" s="10" t="str">
        <f>[1]!NUFB1.437</f>
        <v xml:space="preserve"> -</v>
      </c>
      <c r="N214" s="10" t="str">
        <f>[1]!NUFB1.406</f>
        <v xml:space="preserve"> -</v>
      </c>
      <c r="O214" s="10" t="str">
        <f>[1]!NUFB1.407</f>
        <v xml:space="preserve"> -</v>
      </c>
      <c r="P214" s="10" t="str">
        <f>[1]!NUFB1.431</f>
        <v>-</v>
      </c>
      <c r="Q214" s="10" t="str">
        <f>[1]!NUFB1.201</f>
        <v xml:space="preserve"> -</v>
      </c>
      <c r="R214" s="10" t="str">
        <f>[1]!NUFB1.202</f>
        <v xml:space="preserve"> -</v>
      </c>
      <c r="S214" s="10" t="str">
        <f>[1]!NUFB1.203</f>
        <v xml:space="preserve"> -</v>
      </c>
      <c r="T214" s="10" t="str">
        <f>[1]!NUFB1.204</f>
        <v xml:space="preserve"> -</v>
      </c>
      <c r="U214" s="10" t="str">
        <f>[1]!NUFB1.205</f>
        <v xml:space="preserve"> -</v>
      </c>
      <c r="V214" s="10" t="str">
        <f>[1]!NUFB1.211</f>
        <v xml:space="preserve"> -</v>
      </c>
      <c r="W214" s="10" t="str">
        <f>[1]!NUFB1.212</f>
        <v xml:space="preserve"> -</v>
      </c>
      <c r="X214" s="10" t="str">
        <f>[1]!NUFB1.213</f>
        <v xml:space="preserve"> -</v>
      </c>
      <c r="Y214" s="10" t="str">
        <f>[1]!NUFB1.214</f>
        <v xml:space="preserve"> -</v>
      </c>
      <c r="Z214" s="10" t="str">
        <f>[1]!NUFB1.215</f>
        <v xml:space="preserve"> -</v>
      </c>
      <c r="AA214" s="10" t="str">
        <f>[1]!NUFB1.221</f>
        <v>-</v>
      </c>
      <c r="AB214" s="10" t="str">
        <f>[1]!NUFB1.222</f>
        <v>-</v>
      </c>
      <c r="AC214" s="10" t="str">
        <f>[1]!NUFB1.223</f>
        <v>-</v>
      </c>
      <c r="AD214" s="10" t="str">
        <f>[1]!NUFB1.224</f>
        <v>-</v>
      </c>
      <c r="AE214" s="10" t="str">
        <f>[1]!NUFB1.225</f>
        <v>-</v>
      </c>
      <c r="AF214" s="10" t="str">
        <f>[1]!NUFB1.231</f>
        <v>-</v>
      </c>
      <c r="AG214" s="10" t="str">
        <f>[1]!NUFB1.232</f>
        <v>-</v>
      </c>
      <c r="AH214" s="10" t="str">
        <f>[1]!NUFB1.233</f>
        <v>-</v>
      </c>
      <c r="AI214" s="10" t="str">
        <f>[1]!NUFB1.234</f>
        <v>-</v>
      </c>
      <c r="AJ214" s="10" t="str">
        <f>[1]!NUFB1.235</f>
        <v>-</v>
      </c>
    </row>
    <row r="215" spans="1:36" s="10" customFormat="1" x14ac:dyDescent="0.25">
      <c r="A215" s="10" t="str">
        <f>"NVFB1"</f>
        <v>NVFB1</v>
      </c>
      <c r="B215" s="10" t="str">
        <f>[1]!NVFB1.402</f>
        <v>加權指數</v>
      </c>
      <c r="C215" s="10">
        <f>[1]!NVFB1.123</f>
        <v>100145</v>
      </c>
      <c r="D215" s="10">
        <f>[1]!NVFB1.124</f>
        <v>16422.560000000001</v>
      </c>
      <c r="E215" s="10">
        <f>[1]!NVFB1.125</f>
        <v>-20.84</v>
      </c>
      <c r="F215" s="10">
        <f>[1]!NVFB1.128</f>
        <v>1824</v>
      </c>
      <c r="G215" s="10">
        <f>[1]!NVFB1.130</f>
        <v>16329.54</v>
      </c>
      <c r="H215" s="10">
        <f>[1]!NVFB1.131</f>
        <v>16456.939999999999</v>
      </c>
      <c r="I215" s="10">
        <f>[1]!NVFB1.132</f>
        <v>16329.54</v>
      </c>
      <c r="J215" s="10">
        <f>[1]!NVFB1.133</f>
        <v>4024617</v>
      </c>
      <c r="K215" s="10" t="str">
        <f>[1]!NVFB1.135</f>
        <v xml:space="preserve"> -</v>
      </c>
      <c r="L215" s="10" t="str">
        <f>[1]!NVFB1.136</f>
        <v xml:space="preserve"> -</v>
      </c>
      <c r="M215" s="10" t="str">
        <f>[1]!NVFB1.437</f>
        <v xml:space="preserve"> -</v>
      </c>
      <c r="N215" s="10" t="str">
        <f>[1]!NVFB1.406</f>
        <v xml:space="preserve"> -</v>
      </c>
      <c r="O215" s="10" t="str">
        <f>[1]!NVFB1.407</f>
        <v xml:space="preserve"> -</v>
      </c>
      <c r="P215" s="10" t="str">
        <f>[1]!NVFB1.431</f>
        <v>-</v>
      </c>
      <c r="Q215" s="10" t="str">
        <f>[1]!NVFB1.201</f>
        <v xml:space="preserve"> -</v>
      </c>
      <c r="R215" s="10" t="str">
        <f>[1]!NVFB1.202</f>
        <v xml:space="preserve"> -</v>
      </c>
      <c r="S215" s="10" t="str">
        <f>[1]!NVFB1.203</f>
        <v xml:space="preserve"> -</v>
      </c>
      <c r="T215" s="10" t="str">
        <f>[1]!NVFB1.204</f>
        <v xml:space="preserve"> -</v>
      </c>
      <c r="U215" s="10" t="str">
        <f>[1]!NVFB1.205</f>
        <v xml:space="preserve"> -</v>
      </c>
      <c r="V215" s="10" t="str">
        <f>[1]!NVFB1.211</f>
        <v xml:space="preserve"> -</v>
      </c>
      <c r="W215" s="10" t="str">
        <f>[1]!NVFB1.212</f>
        <v xml:space="preserve"> -</v>
      </c>
      <c r="X215" s="10" t="str">
        <f>[1]!NVFB1.213</f>
        <v xml:space="preserve"> -</v>
      </c>
      <c r="Y215" s="10" t="str">
        <f>[1]!NVFB1.214</f>
        <v xml:space="preserve"> -</v>
      </c>
      <c r="Z215" s="10" t="str">
        <f>[1]!NVFB1.215</f>
        <v xml:space="preserve"> -</v>
      </c>
      <c r="AA215" s="10" t="str">
        <f>[1]!NVFB1.221</f>
        <v>-</v>
      </c>
      <c r="AB215" s="10" t="str">
        <f>[1]!NVFB1.222</f>
        <v>-</v>
      </c>
      <c r="AC215" s="10" t="str">
        <f>[1]!NVFB1.223</f>
        <v>-</v>
      </c>
      <c r="AD215" s="10" t="str">
        <f>[1]!NVFB1.224</f>
        <v>-</v>
      </c>
      <c r="AE215" s="10" t="str">
        <f>[1]!NVFB1.225</f>
        <v>-</v>
      </c>
      <c r="AF215" s="10" t="str">
        <f>[1]!NVFB1.231</f>
        <v>-</v>
      </c>
      <c r="AG215" s="10" t="str">
        <f>[1]!NVFB1.232</f>
        <v>-</v>
      </c>
      <c r="AH215" s="10" t="str">
        <f>[1]!NVFB1.233</f>
        <v>-</v>
      </c>
      <c r="AI215" s="10" t="str">
        <f>[1]!NVFB1.234</f>
        <v>-</v>
      </c>
      <c r="AJ215" s="10" t="str">
        <f>[1]!NVFB1.235</f>
        <v>-</v>
      </c>
    </row>
    <row r="216" spans="1:36" s="10" customFormat="1" x14ac:dyDescent="0.25">
      <c r="A216" s="10" t="str">
        <f>"PRFB1"</f>
        <v>PRFB1</v>
      </c>
      <c r="B216" s="10" t="str">
        <f>[1]!PRFB1.402</f>
        <v>加權指數</v>
      </c>
      <c r="C216" s="10">
        <f>[1]!PRFB1.123</f>
        <v>100130</v>
      </c>
      <c r="D216" s="10">
        <f>[1]!PRFB1.124</f>
        <v>16422.080000000002</v>
      </c>
      <c r="E216" s="10">
        <f>[1]!PRFB1.125</f>
        <v>-21.32</v>
      </c>
      <c r="F216" s="10">
        <f>[1]!PRFB1.128</f>
        <v>3347</v>
      </c>
      <c r="G216" s="10">
        <f>[1]!PRFB1.130</f>
        <v>16329.54</v>
      </c>
      <c r="H216" s="10">
        <f>[1]!PRFB1.131</f>
        <v>16456.939999999999</v>
      </c>
      <c r="I216" s="10">
        <f>[1]!PRFB1.132</f>
        <v>16329.54</v>
      </c>
      <c r="J216" s="10">
        <f>[1]!PRFB1.133</f>
        <v>4018459</v>
      </c>
      <c r="K216" s="10" t="str">
        <f>[1]!PRFB1.135</f>
        <v xml:space="preserve"> -</v>
      </c>
      <c r="L216" s="10" t="str">
        <f>[1]!PRFB1.136</f>
        <v xml:space="preserve"> -</v>
      </c>
      <c r="M216" s="10" t="str">
        <f>[1]!PRFB1.437</f>
        <v xml:space="preserve"> -</v>
      </c>
      <c r="N216" s="10" t="str">
        <f>[1]!PRFB1.406</f>
        <v xml:space="preserve"> -</v>
      </c>
      <c r="O216" s="10" t="str">
        <f>[1]!PRFB1.407</f>
        <v xml:space="preserve"> -</v>
      </c>
      <c r="P216" s="10" t="str">
        <f>[1]!PRFB1.431</f>
        <v>-</v>
      </c>
      <c r="Q216" s="10" t="str">
        <f>[1]!PRFB1.201</f>
        <v xml:space="preserve"> -</v>
      </c>
      <c r="R216" s="10" t="str">
        <f>[1]!PRFB1.202</f>
        <v xml:space="preserve"> -</v>
      </c>
      <c r="S216" s="10" t="str">
        <f>[1]!PRFB1.203</f>
        <v xml:space="preserve"> -</v>
      </c>
      <c r="T216" s="10" t="str">
        <f>[1]!PRFB1.204</f>
        <v xml:space="preserve"> -</v>
      </c>
      <c r="U216" s="10" t="str">
        <f>[1]!PRFB1.205</f>
        <v xml:space="preserve"> -</v>
      </c>
      <c r="V216" s="10" t="str">
        <f>[1]!PRFB1.211</f>
        <v xml:space="preserve"> -</v>
      </c>
      <c r="W216" s="10" t="str">
        <f>[1]!PRFB1.212</f>
        <v xml:space="preserve"> -</v>
      </c>
      <c r="X216" s="10" t="str">
        <f>[1]!PRFB1.213</f>
        <v xml:space="preserve"> -</v>
      </c>
      <c r="Y216" s="10" t="str">
        <f>[1]!PRFB1.214</f>
        <v xml:space="preserve"> -</v>
      </c>
      <c r="Z216" s="10" t="str">
        <f>[1]!PRFB1.215</f>
        <v xml:space="preserve"> -</v>
      </c>
      <c r="AA216" s="10" t="str">
        <f>[1]!PRFB1.221</f>
        <v>-</v>
      </c>
      <c r="AB216" s="10" t="str">
        <f>[1]!PRFB1.222</f>
        <v>-</v>
      </c>
      <c r="AC216" s="10" t="str">
        <f>[1]!PRFB1.223</f>
        <v>-</v>
      </c>
      <c r="AD216" s="10" t="str">
        <f>[1]!PRFB1.224</f>
        <v>-</v>
      </c>
      <c r="AE216" s="10" t="str">
        <f>[1]!PRFB1.225</f>
        <v>-</v>
      </c>
      <c r="AF216" s="10" t="str">
        <f>[1]!PRFB1.231</f>
        <v>-</v>
      </c>
      <c r="AG216" s="10" t="str">
        <f>[1]!PRFB1.232</f>
        <v>-</v>
      </c>
      <c r="AH216" s="10" t="str">
        <f>[1]!PRFB1.233</f>
        <v>-</v>
      </c>
      <c r="AI216" s="10" t="str">
        <f>[1]!PRFB1.234</f>
        <v>-</v>
      </c>
      <c r="AJ216" s="10" t="str">
        <f>[1]!PRFB1.235</f>
        <v>-</v>
      </c>
    </row>
    <row r="217" spans="1:36" s="10" customFormat="1" x14ac:dyDescent="0.25">
      <c r="A217" s="10" t="str">
        <f>"NWFB1"</f>
        <v>NWFB1</v>
      </c>
      <c r="B217" s="10" t="str">
        <f>[1]!NWFB1.402</f>
        <v>加權指數</v>
      </c>
      <c r="C217" s="10">
        <f>[1]!NWFB1.123</f>
        <v>100140</v>
      </c>
      <c r="D217" s="10">
        <f>[1]!NWFB1.124</f>
        <v>16428.68</v>
      </c>
      <c r="E217" s="10">
        <f>[1]!NWFB1.125</f>
        <v>-14.72</v>
      </c>
      <c r="F217" s="10">
        <f>[1]!NWFB1.128</f>
        <v>2686</v>
      </c>
      <c r="G217" s="10">
        <f>[1]!NWFB1.130</f>
        <v>16329.54</v>
      </c>
      <c r="H217" s="10">
        <f>[1]!NWFB1.131</f>
        <v>16456.939999999999</v>
      </c>
      <c r="I217" s="10">
        <f>[1]!NWFB1.132</f>
        <v>16329.54</v>
      </c>
      <c r="J217" s="10">
        <f>[1]!NWFB1.133</f>
        <v>4022793</v>
      </c>
      <c r="K217" s="10" t="str">
        <f>[1]!NWFB1.135</f>
        <v xml:space="preserve"> -</v>
      </c>
      <c r="L217" s="10" t="str">
        <f>[1]!NWFB1.136</f>
        <v xml:space="preserve"> -</v>
      </c>
      <c r="M217" s="10" t="str">
        <f>[1]!NWFB1.437</f>
        <v xml:space="preserve"> -</v>
      </c>
      <c r="N217" s="10" t="str">
        <f>[1]!NWFB1.406</f>
        <v xml:space="preserve"> -</v>
      </c>
      <c r="O217" s="10" t="str">
        <f>[1]!NWFB1.407</f>
        <v xml:space="preserve"> -</v>
      </c>
      <c r="P217" s="10" t="str">
        <f>[1]!NWFB1.431</f>
        <v>-</v>
      </c>
      <c r="Q217" s="10" t="str">
        <f>[1]!NWFB1.201</f>
        <v xml:space="preserve"> -</v>
      </c>
      <c r="R217" s="10" t="str">
        <f>[1]!NWFB1.202</f>
        <v xml:space="preserve"> -</v>
      </c>
      <c r="S217" s="10" t="str">
        <f>[1]!NWFB1.203</f>
        <v xml:space="preserve"> -</v>
      </c>
      <c r="T217" s="10" t="str">
        <f>[1]!NWFB1.204</f>
        <v xml:space="preserve"> -</v>
      </c>
      <c r="U217" s="10" t="str">
        <f>[1]!NWFB1.205</f>
        <v xml:space="preserve"> -</v>
      </c>
      <c r="V217" s="10" t="str">
        <f>[1]!NWFB1.211</f>
        <v xml:space="preserve"> -</v>
      </c>
      <c r="W217" s="10" t="str">
        <f>[1]!NWFB1.212</f>
        <v xml:space="preserve"> -</v>
      </c>
      <c r="X217" s="10" t="str">
        <f>[1]!NWFB1.213</f>
        <v xml:space="preserve"> -</v>
      </c>
      <c r="Y217" s="10" t="str">
        <f>[1]!NWFB1.214</f>
        <v xml:space="preserve"> -</v>
      </c>
      <c r="Z217" s="10" t="str">
        <f>[1]!NWFB1.215</f>
        <v xml:space="preserve"> -</v>
      </c>
      <c r="AA217" s="10" t="str">
        <f>[1]!NWFB1.221</f>
        <v>-</v>
      </c>
      <c r="AB217" s="10" t="str">
        <f>[1]!NWFB1.222</f>
        <v>-</v>
      </c>
      <c r="AC217" s="10" t="str">
        <f>[1]!NWFB1.223</f>
        <v>-</v>
      </c>
      <c r="AD217" s="10" t="str">
        <f>[1]!NWFB1.224</f>
        <v>-</v>
      </c>
      <c r="AE217" s="10" t="str">
        <f>[1]!NWFB1.225</f>
        <v>-</v>
      </c>
      <c r="AF217" s="10" t="str">
        <f>[1]!NWFB1.231</f>
        <v>-</v>
      </c>
      <c r="AG217" s="10" t="str">
        <f>[1]!NWFB1.232</f>
        <v>-</v>
      </c>
      <c r="AH217" s="10" t="str">
        <f>[1]!NWFB1.233</f>
        <v>-</v>
      </c>
      <c r="AI217" s="10" t="str">
        <f>[1]!NWFB1.234</f>
        <v>-</v>
      </c>
      <c r="AJ217" s="10" t="str">
        <f>[1]!NWFB1.235</f>
        <v>-</v>
      </c>
    </row>
    <row r="218" spans="1:36" s="10" customFormat="1" x14ac:dyDescent="0.25">
      <c r="A218" s="10" t="str">
        <f>"PQFB1"</f>
        <v>PQFB1</v>
      </c>
      <c r="B218" s="10" t="str">
        <f>[1]!PQFB1.402</f>
        <v>不含金電</v>
      </c>
      <c r="C218" s="10">
        <f>[1]!PQFB1.123</f>
        <v>100130</v>
      </c>
      <c r="D218" s="10">
        <f>[1]!PQFB1.124</f>
        <v>13895.08</v>
      </c>
      <c r="E218" s="10">
        <f>[1]!PQFB1.125</f>
        <v>8.5</v>
      </c>
      <c r="F218" s="10">
        <f>[1]!PQFB1.128</f>
        <v>449</v>
      </c>
      <c r="G218" s="10">
        <f>[1]!PQFB1.130</f>
        <v>13893.03</v>
      </c>
      <c r="H218" s="10">
        <f>[1]!PQFB1.131</f>
        <v>13945.78</v>
      </c>
      <c r="I218" s="10">
        <f>[1]!PQFB1.132</f>
        <v>13875.82</v>
      </c>
      <c r="J218" s="10">
        <f>[1]!PQFB1.133</f>
        <v>871174</v>
      </c>
      <c r="K218" s="10" t="str">
        <f>[1]!PQFB1.135</f>
        <v xml:space="preserve"> -</v>
      </c>
      <c r="L218" s="10" t="str">
        <f>[1]!PQFB1.136</f>
        <v xml:space="preserve"> -</v>
      </c>
      <c r="M218" s="10" t="str">
        <f>[1]!PQFB1.437</f>
        <v xml:space="preserve"> -</v>
      </c>
      <c r="N218" s="10" t="str">
        <f>[1]!PQFB1.406</f>
        <v xml:space="preserve"> -</v>
      </c>
      <c r="O218" s="10" t="str">
        <f>[1]!PQFB1.407</f>
        <v xml:space="preserve"> -</v>
      </c>
      <c r="P218" s="10" t="str">
        <f>[1]!PQFB1.431</f>
        <v>-</v>
      </c>
      <c r="Q218" s="10" t="str">
        <f>[1]!PQFB1.201</f>
        <v xml:space="preserve"> -</v>
      </c>
      <c r="R218" s="10" t="str">
        <f>[1]!PQFB1.202</f>
        <v xml:space="preserve"> -</v>
      </c>
      <c r="S218" s="10" t="str">
        <f>[1]!PQFB1.203</f>
        <v xml:space="preserve"> -</v>
      </c>
      <c r="T218" s="10" t="str">
        <f>[1]!PQFB1.204</f>
        <v xml:space="preserve"> -</v>
      </c>
      <c r="U218" s="10" t="str">
        <f>[1]!PQFB1.205</f>
        <v xml:space="preserve"> -</v>
      </c>
      <c r="V218" s="10" t="str">
        <f>[1]!PQFB1.211</f>
        <v xml:space="preserve"> -</v>
      </c>
      <c r="W218" s="10" t="str">
        <f>[1]!PQFB1.212</f>
        <v xml:space="preserve"> -</v>
      </c>
      <c r="X218" s="10" t="str">
        <f>[1]!PQFB1.213</f>
        <v xml:space="preserve"> -</v>
      </c>
      <c r="Y218" s="10" t="str">
        <f>[1]!PQFB1.214</f>
        <v xml:space="preserve"> -</v>
      </c>
      <c r="Z218" s="10" t="str">
        <f>[1]!PQFB1.215</f>
        <v xml:space="preserve"> -</v>
      </c>
      <c r="AA218" s="10" t="str">
        <f>[1]!PQFB1.221</f>
        <v>-</v>
      </c>
      <c r="AB218" s="10" t="str">
        <f>[1]!PQFB1.222</f>
        <v>-</v>
      </c>
      <c r="AC218" s="10" t="str">
        <f>[1]!PQFB1.223</f>
        <v>-</v>
      </c>
      <c r="AD218" s="10" t="str">
        <f>[1]!PQFB1.224</f>
        <v>-</v>
      </c>
      <c r="AE218" s="10" t="str">
        <f>[1]!PQFB1.225</f>
        <v>-</v>
      </c>
      <c r="AF218" s="10" t="str">
        <f>[1]!PQFB1.231</f>
        <v>-</v>
      </c>
      <c r="AG218" s="10" t="str">
        <f>[1]!PQFB1.232</f>
        <v>-</v>
      </c>
      <c r="AH218" s="10" t="str">
        <f>[1]!PQFB1.233</f>
        <v>-</v>
      </c>
      <c r="AI218" s="10" t="str">
        <f>[1]!PQFB1.234</f>
        <v>-</v>
      </c>
      <c r="AJ218" s="10" t="str">
        <f>[1]!PQFB1.235</f>
        <v>-</v>
      </c>
    </row>
    <row r="219" spans="1:36" s="10" customFormat="1" x14ac:dyDescent="0.25">
      <c r="A219" s="10" t="str">
        <f>"PMFB1"</f>
        <v>PMFB1</v>
      </c>
      <c r="B219" s="10" t="str">
        <f>[1]!PMFB1.402</f>
        <v>加權指數</v>
      </c>
      <c r="C219" s="10">
        <f>[1]!PMFB1.123</f>
        <v>100135</v>
      </c>
      <c r="D219" s="10">
        <f>[1]!PMFB1.124</f>
        <v>16424.64</v>
      </c>
      <c r="E219" s="10">
        <f>[1]!PMFB1.125</f>
        <v>-18.760000000000002</v>
      </c>
      <c r="F219" s="10">
        <f>[1]!PMFB1.128</f>
        <v>1648</v>
      </c>
      <c r="G219" s="10">
        <f>[1]!PMFB1.130</f>
        <v>16329.54</v>
      </c>
      <c r="H219" s="10">
        <f>[1]!PMFB1.131</f>
        <v>16456.939999999999</v>
      </c>
      <c r="I219" s="10">
        <f>[1]!PMFB1.132</f>
        <v>16329.54</v>
      </c>
      <c r="J219" s="10">
        <f>[1]!PMFB1.133</f>
        <v>4020107</v>
      </c>
      <c r="K219" s="10" t="str">
        <f>[1]!PMFB1.135</f>
        <v xml:space="preserve"> -</v>
      </c>
      <c r="L219" s="10" t="str">
        <f>[1]!PMFB1.136</f>
        <v xml:space="preserve"> -</v>
      </c>
      <c r="M219" s="10" t="str">
        <f>[1]!PMFB1.437</f>
        <v xml:space="preserve"> -</v>
      </c>
      <c r="N219" s="10" t="str">
        <f>[1]!PMFB1.406</f>
        <v xml:space="preserve"> -</v>
      </c>
      <c r="O219" s="10" t="str">
        <f>[1]!PMFB1.407</f>
        <v xml:space="preserve"> -</v>
      </c>
      <c r="P219" s="10" t="str">
        <f>[1]!PMFB1.431</f>
        <v>-</v>
      </c>
      <c r="Q219" s="10" t="str">
        <f>[1]!PMFB1.201</f>
        <v xml:space="preserve"> -</v>
      </c>
      <c r="R219" s="10" t="str">
        <f>[1]!PMFB1.202</f>
        <v xml:space="preserve"> -</v>
      </c>
      <c r="S219" s="10" t="str">
        <f>[1]!PMFB1.203</f>
        <v xml:space="preserve"> -</v>
      </c>
      <c r="T219" s="10" t="str">
        <f>[1]!PMFB1.204</f>
        <v xml:space="preserve"> -</v>
      </c>
      <c r="U219" s="10" t="str">
        <f>[1]!PMFB1.205</f>
        <v xml:space="preserve"> -</v>
      </c>
      <c r="V219" s="10" t="str">
        <f>[1]!PMFB1.211</f>
        <v xml:space="preserve"> -</v>
      </c>
      <c r="W219" s="10" t="str">
        <f>[1]!PMFB1.212</f>
        <v xml:space="preserve"> -</v>
      </c>
      <c r="X219" s="10" t="str">
        <f>[1]!PMFB1.213</f>
        <v xml:space="preserve"> -</v>
      </c>
      <c r="Y219" s="10" t="str">
        <f>[1]!PMFB1.214</f>
        <v xml:space="preserve"> -</v>
      </c>
      <c r="Z219" s="10" t="str">
        <f>[1]!PMFB1.215</f>
        <v xml:space="preserve"> -</v>
      </c>
      <c r="AA219" s="10" t="str">
        <f>[1]!PMFB1.221</f>
        <v>-</v>
      </c>
      <c r="AB219" s="10" t="str">
        <f>[1]!PMFB1.222</f>
        <v>-</v>
      </c>
      <c r="AC219" s="10" t="str">
        <f>[1]!PMFB1.223</f>
        <v>-</v>
      </c>
      <c r="AD219" s="10" t="str">
        <f>[1]!PMFB1.224</f>
        <v>-</v>
      </c>
      <c r="AE219" s="10" t="str">
        <f>[1]!PMFB1.225</f>
        <v>-</v>
      </c>
      <c r="AF219" s="10" t="str">
        <f>[1]!PMFB1.231</f>
        <v>-</v>
      </c>
      <c r="AG219" s="10" t="str">
        <f>[1]!PMFB1.232</f>
        <v>-</v>
      </c>
      <c r="AH219" s="10" t="str">
        <f>[1]!PMFB1.233</f>
        <v>-</v>
      </c>
      <c r="AI219" s="10" t="str">
        <f>[1]!PMFB1.234</f>
        <v>-</v>
      </c>
      <c r="AJ219" s="10" t="str">
        <f>[1]!PMFB1.235</f>
        <v>-</v>
      </c>
    </row>
    <row r="220" spans="1:36" s="10" customFormat="1" x14ac:dyDescent="0.25">
      <c r="A220" s="10" t="str">
        <f>"NXFB1"</f>
        <v>NXFB1</v>
      </c>
      <c r="B220" s="10" t="e">
        <f>[1]!NXFB1.402</f>
        <v>#N/A</v>
      </c>
      <c r="C220" s="10">
        <f>[1]!NXFB1.123</f>
        <v>0</v>
      </c>
      <c r="D220" s="10">
        <f>[1]!NXFB1.124</f>
        <v>20878632</v>
      </c>
      <c r="E220" s="10" t="str">
        <f>[1]!NXFB1.125</f>
        <v xml:space="preserve"> </v>
      </c>
      <c r="F220" s="10">
        <f>[1]!NXFB1.128</f>
        <v>1212870150</v>
      </c>
      <c r="G220" s="10">
        <f>[1]!NXFB1.130</f>
        <v>20803788</v>
      </c>
      <c r="H220" s="10">
        <f>[1]!NXFB1.131</f>
        <v>20804690</v>
      </c>
      <c r="I220" s="10">
        <f>[1]!NXFB1.132</f>
        <v>10989732</v>
      </c>
      <c r="J220" s="10">
        <f>[1]!NXFB1.133</f>
        <v>2088371110</v>
      </c>
      <c r="K220" s="10" t="str">
        <f>[1]!NXFB1.135</f>
        <v xml:space="preserve"> -</v>
      </c>
      <c r="L220" s="10" t="str">
        <f>[1]!NXFB1.136</f>
        <v xml:space="preserve"> -</v>
      </c>
      <c r="M220" s="10" t="str">
        <f>[1]!NXFB1.437</f>
        <v xml:space="preserve"> -</v>
      </c>
      <c r="N220" s="10" t="str">
        <f>[1]!NXFB1.406</f>
        <v xml:space="preserve"> -</v>
      </c>
      <c r="O220" s="10" t="str">
        <f>[1]!NXFB1.407</f>
        <v xml:space="preserve"> -</v>
      </c>
      <c r="P220" s="10" t="str">
        <f>[1]!NXFB1.431</f>
        <v>-</v>
      </c>
      <c r="Q220" s="10" t="str">
        <f>[1]!NXFB1.201</f>
        <v xml:space="preserve"> -</v>
      </c>
      <c r="R220" s="10" t="str">
        <f>[1]!NXFB1.202</f>
        <v xml:space="preserve"> -</v>
      </c>
      <c r="S220" s="10" t="str">
        <f>[1]!NXFB1.203</f>
        <v xml:space="preserve"> -</v>
      </c>
      <c r="T220" s="10" t="str">
        <f>[1]!NXFB1.204</f>
        <v xml:space="preserve"> -</v>
      </c>
      <c r="U220" s="10" t="str">
        <f>[1]!NXFB1.205</f>
        <v xml:space="preserve"> -</v>
      </c>
      <c r="V220" s="10" t="str">
        <f>[1]!NXFB1.211</f>
        <v xml:space="preserve"> -</v>
      </c>
      <c r="W220" s="10" t="str">
        <f>[1]!NXFB1.212</f>
        <v xml:space="preserve"> -</v>
      </c>
      <c r="X220" s="10" t="str">
        <f>[1]!NXFB1.213</f>
        <v xml:space="preserve"> -</v>
      </c>
      <c r="Y220" s="10" t="str">
        <f>[1]!NXFB1.214</f>
        <v xml:space="preserve"> -</v>
      </c>
      <c r="Z220" s="10" t="str">
        <f>[1]!NXFB1.215</f>
        <v xml:space="preserve"> -</v>
      </c>
      <c r="AA220" s="10" t="str">
        <f>[1]!NXFB1.221</f>
        <v>-</v>
      </c>
      <c r="AB220" s="10" t="str">
        <f>[1]!NXFB1.222</f>
        <v>-</v>
      </c>
      <c r="AC220" s="10" t="str">
        <f>[1]!NXFB1.223</f>
        <v>-</v>
      </c>
      <c r="AD220" s="10" t="str">
        <f>[1]!NXFB1.224</f>
        <v>-</v>
      </c>
      <c r="AE220" s="10" t="str">
        <f>[1]!NXFB1.225</f>
        <v>-</v>
      </c>
      <c r="AF220" s="10" t="str">
        <f>[1]!NXFB1.231</f>
        <v>-</v>
      </c>
      <c r="AG220" s="10" t="str">
        <f>[1]!NXFB1.232</f>
        <v>-</v>
      </c>
      <c r="AH220" s="10" t="str">
        <f>[1]!NXFB1.233</f>
        <v>-</v>
      </c>
      <c r="AI220" s="10" t="str">
        <f>[1]!NXFB1.234</f>
        <v>-</v>
      </c>
      <c r="AJ220" s="10" t="str">
        <f>[1]!NXFB1.235</f>
        <v>-</v>
      </c>
    </row>
    <row r="221" spans="1:36" s="10" customFormat="1" x14ac:dyDescent="0.25">
      <c r="A221" s="10" t="str">
        <f>"NYFB1"</f>
        <v>NYFB1</v>
      </c>
      <c r="B221" s="10" t="e">
        <f>[1]!NYFB1.402</f>
        <v>#N/A</v>
      </c>
      <c r="C221" s="10">
        <f>[1]!NYFB1.123</f>
        <v>0</v>
      </c>
      <c r="D221" s="10">
        <f>[1]!NYFB1.124</f>
        <v>20878632</v>
      </c>
      <c r="E221" s="10" t="str">
        <f>[1]!NYFB1.125</f>
        <v xml:space="preserve"> </v>
      </c>
      <c r="F221" s="10">
        <f>[1]!NYFB1.128</f>
        <v>1212870150</v>
      </c>
      <c r="G221" s="10">
        <f>[1]!NYFB1.130</f>
        <v>20803788</v>
      </c>
      <c r="H221" s="10">
        <f>[1]!NYFB1.131</f>
        <v>20804690</v>
      </c>
      <c r="I221" s="10">
        <f>[1]!NYFB1.132</f>
        <v>10989732</v>
      </c>
      <c r="J221" s="10">
        <f>[1]!NYFB1.133</f>
        <v>2088371110</v>
      </c>
      <c r="K221" s="10" t="str">
        <f>[1]!NYFB1.135</f>
        <v xml:space="preserve"> -</v>
      </c>
      <c r="L221" s="10" t="str">
        <f>[1]!NYFB1.136</f>
        <v xml:space="preserve"> -</v>
      </c>
      <c r="M221" s="10" t="str">
        <f>[1]!NYFB1.437</f>
        <v xml:space="preserve"> -</v>
      </c>
      <c r="N221" s="10" t="str">
        <f>[1]!NYFB1.406</f>
        <v xml:space="preserve"> -</v>
      </c>
      <c r="O221" s="10" t="str">
        <f>[1]!NYFB1.407</f>
        <v xml:space="preserve"> -</v>
      </c>
      <c r="P221" s="10" t="str">
        <f>[1]!NYFB1.431</f>
        <v>-</v>
      </c>
      <c r="Q221" s="10" t="str">
        <f>[1]!NYFB1.201</f>
        <v xml:space="preserve"> -</v>
      </c>
      <c r="R221" s="10" t="str">
        <f>[1]!NYFB1.202</f>
        <v xml:space="preserve"> -</v>
      </c>
      <c r="S221" s="10" t="str">
        <f>[1]!NYFB1.203</f>
        <v xml:space="preserve"> -</v>
      </c>
      <c r="T221" s="10" t="str">
        <f>[1]!NYFB1.204</f>
        <v xml:space="preserve"> -</v>
      </c>
      <c r="U221" s="10" t="str">
        <f>[1]!NYFB1.205</f>
        <v xml:space="preserve"> -</v>
      </c>
      <c r="V221" s="10" t="str">
        <f>[1]!NYFB1.211</f>
        <v xml:space="preserve"> -</v>
      </c>
      <c r="W221" s="10" t="str">
        <f>[1]!NYFB1.212</f>
        <v xml:space="preserve"> -</v>
      </c>
      <c r="X221" s="10" t="str">
        <f>[1]!NYFB1.213</f>
        <v xml:space="preserve"> -</v>
      </c>
      <c r="Y221" s="10" t="str">
        <f>[1]!NYFB1.214</f>
        <v xml:space="preserve"> -</v>
      </c>
      <c r="Z221" s="10" t="str">
        <f>[1]!NYFB1.215</f>
        <v xml:space="preserve"> -</v>
      </c>
      <c r="AA221" s="10" t="str">
        <f>[1]!NYFB1.221</f>
        <v>-</v>
      </c>
      <c r="AB221" s="10" t="str">
        <f>[1]!NYFB1.222</f>
        <v>-</v>
      </c>
      <c r="AC221" s="10" t="str">
        <f>[1]!NYFB1.223</f>
        <v>-</v>
      </c>
      <c r="AD221" s="10" t="str">
        <f>[1]!NYFB1.224</f>
        <v>-</v>
      </c>
      <c r="AE221" s="10" t="str">
        <f>[1]!NYFB1.225</f>
        <v>-</v>
      </c>
      <c r="AF221" s="10" t="str">
        <f>[1]!NYFB1.231</f>
        <v>-</v>
      </c>
      <c r="AG221" s="10" t="str">
        <f>[1]!NYFB1.232</f>
        <v>-</v>
      </c>
      <c r="AH221" s="10" t="str">
        <f>[1]!NYFB1.233</f>
        <v>-</v>
      </c>
      <c r="AI221" s="10" t="str">
        <f>[1]!NYFB1.234</f>
        <v>-</v>
      </c>
      <c r="AJ221" s="10" t="str">
        <f>[1]!NYFB1.235</f>
        <v>-</v>
      </c>
    </row>
    <row r="222" spans="1:36" s="10" customFormat="1" x14ac:dyDescent="0.25">
      <c r="A222" s="10" t="str">
        <f>"PFFB1"</f>
        <v>PFFB1</v>
      </c>
      <c r="B222" s="10" t="e">
        <f>[1]!PFFB1.402</f>
        <v>#N/A</v>
      </c>
      <c r="C222" s="10">
        <f>[1]!PFFB1.123</f>
        <v>0</v>
      </c>
      <c r="D222" s="10">
        <f>[1]!PFFB1.124</f>
        <v>20878632</v>
      </c>
      <c r="E222" s="10" t="str">
        <f>[1]!PFFB1.125</f>
        <v xml:space="preserve"> </v>
      </c>
      <c r="F222" s="10">
        <f>[1]!PFFB1.128</f>
        <v>1212870150</v>
      </c>
      <c r="G222" s="10">
        <f>[1]!PFFB1.130</f>
        <v>20803788</v>
      </c>
      <c r="H222" s="10">
        <f>[1]!PFFB1.131</f>
        <v>20804690</v>
      </c>
      <c r="I222" s="10">
        <f>[1]!PFFB1.132</f>
        <v>10989732</v>
      </c>
      <c r="J222" s="10">
        <f>[1]!PFFB1.133</f>
        <v>2088371110</v>
      </c>
      <c r="K222" s="10" t="str">
        <f>[1]!PFFB1.135</f>
        <v xml:space="preserve"> -</v>
      </c>
      <c r="L222" s="10" t="str">
        <f>[1]!PFFB1.136</f>
        <v xml:space="preserve"> -</v>
      </c>
      <c r="M222" s="10" t="str">
        <f>[1]!PFFB1.437</f>
        <v xml:space="preserve"> -</v>
      </c>
      <c r="N222" s="10" t="str">
        <f>[1]!PFFB1.406</f>
        <v xml:space="preserve"> -</v>
      </c>
      <c r="O222" s="10" t="str">
        <f>[1]!PFFB1.407</f>
        <v xml:space="preserve"> -</v>
      </c>
      <c r="P222" s="10" t="str">
        <f>[1]!PFFB1.431</f>
        <v>-</v>
      </c>
      <c r="Q222" s="10" t="str">
        <f>[1]!PFFB1.201</f>
        <v xml:space="preserve"> -</v>
      </c>
      <c r="R222" s="10" t="str">
        <f>[1]!PFFB1.202</f>
        <v xml:space="preserve"> -</v>
      </c>
      <c r="S222" s="10" t="str">
        <f>[1]!PFFB1.203</f>
        <v xml:space="preserve"> -</v>
      </c>
      <c r="T222" s="10" t="str">
        <f>[1]!PFFB1.204</f>
        <v xml:space="preserve"> -</v>
      </c>
      <c r="U222" s="10" t="str">
        <f>[1]!PFFB1.205</f>
        <v xml:space="preserve"> -</v>
      </c>
      <c r="V222" s="10" t="str">
        <f>[1]!PFFB1.211</f>
        <v xml:space="preserve"> -</v>
      </c>
      <c r="W222" s="10" t="str">
        <f>[1]!PFFB1.212</f>
        <v xml:space="preserve"> -</v>
      </c>
      <c r="X222" s="10" t="str">
        <f>[1]!PFFB1.213</f>
        <v xml:space="preserve"> -</v>
      </c>
      <c r="Y222" s="10" t="str">
        <f>[1]!PFFB1.214</f>
        <v xml:space="preserve"> -</v>
      </c>
      <c r="Z222" s="10" t="str">
        <f>[1]!PFFB1.215</f>
        <v xml:space="preserve"> -</v>
      </c>
      <c r="AA222" s="10" t="str">
        <f>[1]!PFFB1.221</f>
        <v>-</v>
      </c>
      <c r="AB222" s="10" t="str">
        <f>[1]!PFFB1.222</f>
        <v>-</v>
      </c>
      <c r="AC222" s="10" t="str">
        <f>[1]!PFFB1.223</f>
        <v>-</v>
      </c>
      <c r="AD222" s="10" t="str">
        <f>[1]!PFFB1.224</f>
        <v>-</v>
      </c>
      <c r="AE222" s="10" t="str">
        <f>[1]!PFFB1.225</f>
        <v>-</v>
      </c>
      <c r="AF222" s="10" t="str">
        <f>[1]!PFFB1.231</f>
        <v>-</v>
      </c>
      <c r="AG222" s="10" t="str">
        <f>[1]!PFFB1.232</f>
        <v>-</v>
      </c>
      <c r="AH222" s="10" t="str">
        <f>[1]!PFFB1.233</f>
        <v>-</v>
      </c>
      <c r="AI222" s="10" t="str">
        <f>[1]!PFFB1.234</f>
        <v>-</v>
      </c>
      <c r="AJ222" s="10" t="str">
        <f>[1]!PFFB1.235</f>
        <v>-</v>
      </c>
    </row>
    <row r="223" spans="1:36" s="10" customFormat="1" x14ac:dyDescent="0.25">
      <c r="A223" s="10" t="str">
        <f>"NZFB1"</f>
        <v>NZFB1</v>
      </c>
      <c r="B223" s="10" t="str">
        <f>[1]!NZFB1.402</f>
        <v>加權指數</v>
      </c>
      <c r="C223" s="10">
        <f>[1]!NZFB1.123</f>
        <v>100135</v>
      </c>
      <c r="D223" s="10">
        <f>[1]!NZFB1.124</f>
        <v>16424.64</v>
      </c>
      <c r="E223" s="10">
        <f>[1]!NZFB1.125</f>
        <v>-18.760000000000002</v>
      </c>
      <c r="F223" s="10">
        <f>[1]!NZFB1.128</f>
        <v>1648</v>
      </c>
      <c r="G223" s="10">
        <f>[1]!NZFB1.130</f>
        <v>16329.54</v>
      </c>
      <c r="H223" s="10">
        <f>[1]!NZFB1.131</f>
        <v>16456.939999999999</v>
      </c>
      <c r="I223" s="10">
        <f>[1]!NZFB1.132</f>
        <v>16329.54</v>
      </c>
      <c r="J223" s="10">
        <f>[1]!NZFB1.133</f>
        <v>4020107</v>
      </c>
      <c r="K223" s="10" t="str">
        <f>[1]!NZFB1.135</f>
        <v xml:space="preserve"> -</v>
      </c>
      <c r="L223" s="10" t="str">
        <f>[1]!NZFB1.136</f>
        <v xml:space="preserve"> -</v>
      </c>
      <c r="M223" s="10" t="str">
        <f>[1]!NZFB1.437</f>
        <v xml:space="preserve"> -</v>
      </c>
      <c r="N223" s="10" t="str">
        <f>[1]!NZFB1.406</f>
        <v xml:space="preserve"> -</v>
      </c>
      <c r="O223" s="10" t="str">
        <f>[1]!NZFB1.407</f>
        <v xml:space="preserve"> -</v>
      </c>
      <c r="P223" s="10" t="str">
        <f>[1]!NZFB1.431</f>
        <v>-</v>
      </c>
      <c r="Q223" s="10" t="str">
        <f>[1]!NZFB1.201</f>
        <v xml:space="preserve"> -</v>
      </c>
      <c r="R223" s="10" t="str">
        <f>[1]!NZFB1.202</f>
        <v xml:space="preserve"> -</v>
      </c>
      <c r="S223" s="10" t="str">
        <f>[1]!NZFB1.203</f>
        <v xml:space="preserve"> -</v>
      </c>
      <c r="T223" s="10" t="str">
        <f>[1]!NZFB1.204</f>
        <v xml:space="preserve"> -</v>
      </c>
      <c r="U223" s="10" t="str">
        <f>[1]!NZFB1.205</f>
        <v xml:space="preserve"> -</v>
      </c>
      <c r="V223" s="10" t="str">
        <f>[1]!NZFB1.211</f>
        <v xml:space="preserve"> -</v>
      </c>
      <c r="W223" s="10" t="str">
        <f>[1]!NZFB1.212</f>
        <v xml:space="preserve"> -</v>
      </c>
      <c r="X223" s="10" t="str">
        <f>[1]!NZFB1.213</f>
        <v xml:space="preserve"> -</v>
      </c>
      <c r="Y223" s="10" t="str">
        <f>[1]!NZFB1.214</f>
        <v xml:space="preserve"> -</v>
      </c>
      <c r="Z223" s="10" t="str">
        <f>[1]!NZFB1.215</f>
        <v xml:space="preserve"> -</v>
      </c>
      <c r="AA223" s="10" t="str">
        <f>[1]!NZFB1.221</f>
        <v>-</v>
      </c>
      <c r="AB223" s="10" t="str">
        <f>[1]!NZFB1.222</f>
        <v>-</v>
      </c>
      <c r="AC223" s="10" t="str">
        <f>[1]!NZFB1.223</f>
        <v>-</v>
      </c>
      <c r="AD223" s="10" t="str">
        <f>[1]!NZFB1.224</f>
        <v>-</v>
      </c>
      <c r="AE223" s="10" t="str">
        <f>[1]!NZFB1.225</f>
        <v>-</v>
      </c>
      <c r="AF223" s="10" t="str">
        <f>[1]!NZFB1.231</f>
        <v>-</v>
      </c>
      <c r="AG223" s="10" t="str">
        <f>[1]!NZFB1.232</f>
        <v>-</v>
      </c>
      <c r="AH223" s="10" t="str">
        <f>[1]!NZFB1.233</f>
        <v>-</v>
      </c>
      <c r="AI223" s="10" t="str">
        <f>[1]!NZFB1.234</f>
        <v>-</v>
      </c>
      <c r="AJ223" s="10" t="str">
        <f>[1]!NZFB1.235</f>
        <v>-</v>
      </c>
    </row>
    <row r="224" spans="1:36" s="10" customFormat="1" x14ac:dyDescent="0.25">
      <c r="A224" s="10" t="str">
        <f>"OAFB1"</f>
        <v>OAFB1</v>
      </c>
      <c r="B224" s="10" t="str">
        <f>[1]!OAFB1.402</f>
        <v>加權指數</v>
      </c>
      <c r="C224" s="10">
        <f>[1]!OAFB1.123</f>
        <v>100150</v>
      </c>
      <c r="D224" s="10">
        <f>[1]!OAFB1.124</f>
        <v>16421.62</v>
      </c>
      <c r="E224" s="10">
        <f>[1]!OAFB1.125</f>
        <v>-21.78</v>
      </c>
      <c r="F224" s="10">
        <f>[1]!OAFB1.128</f>
        <v>2439</v>
      </c>
      <c r="G224" s="10">
        <f>[1]!OAFB1.130</f>
        <v>16329.54</v>
      </c>
      <c r="H224" s="10">
        <f>[1]!OAFB1.131</f>
        <v>16456.939999999999</v>
      </c>
      <c r="I224" s="10">
        <f>[1]!OAFB1.132</f>
        <v>16329.54</v>
      </c>
      <c r="J224" s="10">
        <f>[1]!OAFB1.133</f>
        <v>4027056</v>
      </c>
      <c r="K224" s="10" t="str">
        <f>[1]!OAFB1.135</f>
        <v xml:space="preserve"> -</v>
      </c>
      <c r="L224" s="10" t="str">
        <f>[1]!OAFB1.136</f>
        <v xml:space="preserve"> -</v>
      </c>
      <c r="M224" s="10" t="str">
        <f>[1]!OAFB1.437</f>
        <v xml:space="preserve"> -</v>
      </c>
      <c r="N224" s="10" t="str">
        <f>[1]!OAFB1.406</f>
        <v xml:space="preserve"> -</v>
      </c>
      <c r="O224" s="10" t="str">
        <f>[1]!OAFB1.407</f>
        <v xml:space="preserve"> -</v>
      </c>
      <c r="P224" s="10" t="str">
        <f>[1]!OAFB1.431</f>
        <v>-</v>
      </c>
      <c r="Q224" s="10" t="str">
        <f>[1]!OAFB1.201</f>
        <v xml:space="preserve"> -</v>
      </c>
      <c r="R224" s="10" t="str">
        <f>[1]!OAFB1.202</f>
        <v xml:space="preserve"> -</v>
      </c>
      <c r="S224" s="10" t="str">
        <f>[1]!OAFB1.203</f>
        <v xml:space="preserve"> -</v>
      </c>
      <c r="T224" s="10" t="str">
        <f>[1]!OAFB1.204</f>
        <v xml:space="preserve"> -</v>
      </c>
      <c r="U224" s="10" t="str">
        <f>[1]!OAFB1.205</f>
        <v xml:space="preserve"> -</v>
      </c>
      <c r="V224" s="10" t="str">
        <f>[1]!OAFB1.211</f>
        <v xml:space="preserve"> -</v>
      </c>
      <c r="W224" s="10" t="str">
        <f>[1]!OAFB1.212</f>
        <v xml:space="preserve"> -</v>
      </c>
      <c r="X224" s="10" t="str">
        <f>[1]!OAFB1.213</f>
        <v xml:space="preserve"> -</v>
      </c>
      <c r="Y224" s="10" t="str">
        <f>[1]!OAFB1.214</f>
        <v xml:space="preserve"> -</v>
      </c>
      <c r="Z224" s="10" t="str">
        <f>[1]!OAFB1.215</f>
        <v xml:space="preserve"> -</v>
      </c>
      <c r="AA224" s="10" t="str">
        <f>[1]!OAFB1.221</f>
        <v>-</v>
      </c>
      <c r="AB224" s="10" t="str">
        <f>[1]!OAFB1.222</f>
        <v>-</v>
      </c>
      <c r="AC224" s="10" t="str">
        <f>[1]!OAFB1.223</f>
        <v>-</v>
      </c>
      <c r="AD224" s="10" t="str">
        <f>[1]!OAFB1.224</f>
        <v>-</v>
      </c>
      <c r="AE224" s="10" t="str">
        <f>[1]!OAFB1.225</f>
        <v>-</v>
      </c>
      <c r="AF224" s="10" t="str">
        <f>[1]!OAFB1.231</f>
        <v>-</v>
      </c>
      <c r="AG224" s="10" t="str">
        <f>[1]!OAFB1.232</f>
        <v>-</v>
      </c>
      <c r="AH224" s="10" t="str">
        <f>[1]!OAFB1.233</f>
        <v>-</v>
      </c>
      <c r="AI224" s="10" t="str">
        <f>[1]!OAFB1.234</f>
        <v>-</v>
      </c>
      <c r="AJ224" s="10" t="str">
        <f>[1]!OAFB1.235</f>
        <v>-</v>
      </c>
    </row>
    <row r="225" spans="1:36" s="10" customFormat="1" x14ac:dyDescent="0.25">
      <c r="A225" s="10" t="str">
        <f>"OBFB1"</f>
        <v>OBFB1</v>
      </c>
      <c r="B225" s="10" t="e">
        <f>[1]!OBFB1.402</f>
        <v>#N/A</v>
      </c>
      <c r="C225" s="10">
        <f>[1]!OBFB1.123</f>
        <v>0</v>
      </c>
      <c r="D225" s="10">
        <f>[1]!OBFB1.124</f>
        <v>20878632</v>
      </c>
      <c r="E225" s="10" t="str">
        <f>[1]!OBFB1.125</f>
        <v xml:space="preserve"> </v>
      </c>
      <c r="F225" s="10">
        <f>[1]!OBFB1.128</f>
        <v>1212870150</v>
      </c>
      <c r="G225" s="10">
        <f>[1]!OBFB1.130</f>
        <v>20803788</v>
      </c>
      <c r="H225" s="10">
        <f>[1]!OBFB1.131</f>
        <v>20804690</v>
      </c>
      <c r="I225" s="10">
        <f>[1]!OBFB1.132</f>
        <v>10989732</v>
      </c>
      <c r="J225" s="10">
        <f>[1]!OBFB1.133</f>
        <v>2088371110</v>
      </c>
      <c r="K225" s="10" t="str">
        <f>[1]!OBFB1.135</f>
        <v xml:space="preserve"> -</v>
      </c>
      <c r="L225" s="10" t="str">
        <f>[1]!OBFB1.136</f>
        <v xml:space="preserve"> -</v>
      </c>
      <c r="M225" s="10" t="str">
        <f>[1]!OBFB1.437</f>
        <v xml:space="preserve"> -</v>
      </c>
      <c r="N225" s="10" t="str">
        <f>[1]!OBFB1.406</f>
        <v xml:space="preserve"> -</v>
      </c>
      <c r="O225" s="10" t="str">
        <f>[1]!OBFB1.407</f>
        <v xml:space="preserve"> -</v>
      </c>
      <c r="P225" s="10" t="str">
        <f>[1]!OBFB1.431</f>
        <v>-</v>
      </c>
      <c r="Q225" s="10" t="str">
        <f>[1]!OBFB1.201</f>
        <v xml:space="preserve"> -</v>
      </c>
      <c r="R225" s="10" t="str">
        <f>[1]!OBFB1.202</f>
        <v xml:space="preserve"> -</v>
      </c>
      <c r="S225" s="10" t="str">
        <f>[1]!OBFB1.203</f>
        <v xml:space="preserve"> -</v>
      </c>
      <c r="T225" s="10" t="str">
        <f>[1]!OBFB1.204</f>
        <v xml:space="preserve"> -</v>
      </c>
      <c r="U225" s="10" t="str">
        <f>[1]!OBFB1.205</f>
        <v xml:space="preserve"> -</v>
      </c>
      <c r="V225" s="10" t="str">
        <f>[1]!OBFB1.211</f>
        <v xml:space="preserve"> -</v>
      </c>
      <c r="W225" s="10" t="str">
        <f>[1]!OBFB1.212</f>
        <v xml:space="preserve"> -</v>
      </c>
      <c r="X225" s="10" t="str">
        <f>[1]!OBFB1.213</f>
        <v xml:space="preserve"> -</v>
      </c>
      <c r="Y225" s="10" t="str">
        <f>[1]!OBFB1.214</f>
        <v xml:space="preserve"> -</v>
      </c>
      <c r="Z225" s="10" t="str">
        <f>[1]!OBFB1.215</f>
        <v xml:space="preserve"> -</v>
      </c>
      <c r="AA225" s="10" t="str">
        <f>[1]!OBFB1.221</f>
        <v>-</v>
      </c>
      <c r="AB225" s="10" t="str">
        <f>[1]!OBFB1.222</f>
        <v>-</v>
      </c>
      <c r="AC225" s="10" t="str">
        <f>[1]!OBFB1.223</f>
        <v>-</v>
      </c>
      <c r="AD225" s="10" t="str">
        <f>[1]!OBFB1.224</f>
        <v>-</v>
      </c>
      <c r="AE225" s="10" t="str">
        <f>[1]!OBFB1.225</f>
        <v>-</v>
      </c>
      <c r="AF225" s="10" t="str">
        <f>[1]!OBFB1.231</f>
        <v>-</v>
      </c>
      <c r="AG225" s="10" t="str">
        <f>[1]!OBFB1.232</f>
        <v>-</v>
      </c>
      <c r="AH225" s="10" t="str">
        <f>[1]!OBFB1.233</f>
        <v>-</v>
      </c>
      <c r="AI225" s="10" t="str">
        <f>[1]!OBFB1.234</f>
        <v>-</v>
      </c>
      <c r="AJ225" s="10" t="str">
        <f>[1]!OBFB1.235</f>
        <v>-</v>
      </c>
    </row>
    <row r="226" spans="1:36" s="10" customFormat="1" x14ac:dyDescent="0.25">
      <c r="A226" s="10" t="str">
        <f>"OCFB1"</f>
        <v>OCFB1</v>
      </c>
      <c r="B226" s="10" t="str">
        <f>[1]!OCFB1.402</f>
        <v>加權指數</v>
      </c>
      <c r="C226" s="10">
        <f>[1]!OCFB1.123</f>
        <v>100145</v>
      </c>
      <c r="D226" s="10">
        <f>[1]!OCFB1.124</f>
        <v>16422.560000000001</v>
      </c>
      <c r="E226" s="10">
        <f>[1]!OCFB1.125</f>
        <v>-20.84</v>
      </c>
      <c r="F226" s="10">
        <f>[1]!OCFB1.128</f>
        <v>1824</v>
      </c>
      <c r="G226" s="10">
        <f>[1]!OCFB1.130</f>
        <v>16329.54</v>
      </c>
      <c r="H226" s="10">
        <f>[1]!OCFB1.131</f>
        <v>16456.939999999999</v>
      </c>
      <c r="I226" s="10">
        <f>[1]!OCFB1.132</f>
        <v>16329.54</v>
      </c>
      <c r="J226" s="10">
        <f>[1]!OCFB1.133</f>
        <v>4024617</v>
      </c>
      <c r="K226" s="10" t="str">
        <f>[1]!OCFB1.135</f>
        <v xml:space="preserve"> -</v>
      </c>
      <c r="L226" s="10" t="str">
        <f>[1]!OCFB1.136</f>
        <v xml:space="preserve"> -</v>
      </c>
      <c r="M226" s="10" t="str">
        <f>[1]!OCFB1.437</f>
        <v xml:space="preserve"> -</v>
      </c>
      <c r="N226" s="10" t="str">
        <f>[1]!OCFB1.406</f>
        <v xml:space="preserve"> -</v>
      </c>
      <c r="O226" s="10" t="str">
        <f>[1]!OCFB1.407</f>
        <v xml:space="preserve"> -</v>
      </c>
      <c r="P226" s="10" t="str">
        <f>[1]!OCFB1.431</f>
        <v>-</v>
      </c>
      <c r="Q226" s="10" t="str">
        <f>[1]!OCFB1.201</f>
        <v xml:space="preserve"> -</v>
      </c>
      <c r="R226" s="10" t="str">
        <f>[1]!OCFB1.202</f>
        <v xml:space="preserve"> -</v>
      </c>
      <c r="S226" s="10" t="str">
        <f>[1]!OCFB1.203</f>
        <v xml:space="preserve"> -</v>
      </c>
      <c r="T226" s="10" t="str">
        <f>[1]!OCFB1.204</f>
        <v xml:space="preserve"> -</v>
      </c>
      <c r="U226" s="10" t="str">
        <f>[1]!OCFB1.205</f>
        <v xml:space="preserve"> -</v>
      </c>
      <c r="V226" s="10" t="str">
        <f>[1]!OCFB1.211</f>
        <v xml:space="preserve"> -</v>
      </c>
      <c r="W226" s="10" t="str">
        <f>[1]!OCFB1.212</f>
        <v xml:space="preserve"> -</v>
      </c>
      <c r="X226" s="10" t="str">
        <f>[1]!OCFB1.213</f>
        <v xml:space="preserve"> -</v>
      </c>
      <c r="Y226" s="10" t="str">
        <f>[1]!OCFB1.214</f>
        <v xml:space="preserve"> -</v>
      </c>
      <c r="Z226" s="10" t="str">
        <f>[1]!OCFB1.215</f>
        <v xml:space="preserve"> -</v>
      </c>
      <c r="AA226" s="10" t="str">
        <f>[1]!OCFB1.221</f>
        <v>-</v>
      </c>
      <c r="AB226" s="10" t="str">
        <f>[1]!OCFB1.222</f>
        <v>-</v>
      </c>
      <c r="AC226" s="10" t="str">
        <f>[1]!OCFB1.223</f>
        <v>-</v>
      </c>
      <c r="AD226" s="10" t="str">
        <f>[1]!OCFB1.224</f>
        <v>-</v>
      </c>
      <c r="AE226" s="10" t="str">
        <f>[1]!OCFB1.225</f>
        <v>-</v>
      </c>
      <c r="AF226" s="10" t="str">
        <f>[1]!OCFB1.231</f>
        <v>-</v>
      </c>
      <c r="AG226" s="10" t="str">
        <f>[1]!OCFB1.232</f>
        <v>-</v>
      </c>
      <c r="AH226" s="10" t="str">
        <f>[1]!OCFB1.233</f>
        <v>-</v>
      </c>
      <c r="AI226" s="10" t="str">
        <f>[1]!OCFB1.234</f>
        <v>-</v>
      </c>
      <c r="AJ226" s="10" t="str">
        <f>[1]!OCFB1.235</f>
        <v>-</v>
      </c>
    </row>
    <row r="227" spans="1:36" s="10" customFormat="1" x14ac:dyDescent="0.25">
      <c r="A227" s="10" t="str">
        <f>"OJFB1"</f>
        <v>OJFB1</v>
      </c>
      <c r="B227" s="10" t="str">
        <f>[1]!OJFB1.402</f>
        <v>加權指數</v>
      </c>
      <c r="C227" s="10">
        <f>[1]!OJFB1.123</f>
        <v>100135</v>
      </c>
      <c r="D227" s="10">
        <f>[1]!OJFB1.124</f>
        <v>16424.64</v>
      </c>
      <c r="E227" s="10">
        <f>[1]!OJFB1.125</f>
        <v>-18.760000000000002</v>
      </c>
      <c r="F227" s="10">
        <f>[1]!OJFB1.128</f>
        <v>1648</v>
      </c>
      <c r="G227" s="10">
        <f>[1]!OJFB1.130</f>
        <v>16329.54</v>
      </c>
      <c r="H227" s="10">
        <f>[1]!OJFB1.131</f>
        <v>16456.939999999999</v>
      </c>
      <c r="I227" s="10">
        <f>[1]!OJFB1.132</f>
        <v>16329.54</v>
      </c>
      <c r="J227" s="10">
        <f>[1]!OJFB1.133</f>
        <v>4020107</v>
      </c>
      <c r="K227" s="10" t="str">
        <f>[1]!OJFB1.135</f>
        <v xml:space="preserve"> -</v>
      </c>
      <c r="L227" s="10" t="str">
        <f>[1]!OJFB1.136</f>
        <v xml:space="preserve"> -</v>
      </c>
      <c r="M227" s="10" t="str">
        <f>[1]!OJFB1.437</f>
        <v xml:space="preserve"> -</v>
      </c>
      <c r="N227" s="10" t="str">
        <f>[1]!OJFB1.406</f>
        <v xml:space="preserve"> -</v>
      </c>
      <c r="O227" s="10" t="str">
        <f>[1]!OJFB1.407</f>
        <v xml:space="preserve"> -</v>
      </c>
      <c r="P227" s="10" t="str">
        <f>[1]!OJFB1.431</f>
        <v>-</v>
      </c>
      <c r="Q227" s="10" t="str">
        <f>[1]!OJFB1.201</f>
        <v xml:space="preserve"> -</v>
      </c>
      <c r="R227" s="10" t="str">
        <f>[1]!OJFB1.202</f>
        <v xml:space="preserve"> -</v>
      </c>
      <c r="S227" s="10" t="str">
        <f>[1]!OJFB1.203</f>
        <v xml:space="preserve"> -</v>
      </c>
      <c r="T227" s="10" t="str">
        <f>[1]!OJFB1.204</f>
        <v xml:space="preserve"> -</v>
      </c>
      <c r="U227" s="10" t="str">
        <f>[1]!OJFB1.205</f>
        <v xml:space="preserve"> -</v>
      </c>
      <c r="V227" s="10" t="str">
        <f>[1]!OJFB1.211</f>
        <v xml:space="preserve"> -</v>
      </c>
      <c r="W227" s="10" t="str">
        <f>[1]!OJFB1.212</f>
        <v xml:space="preserve"> -</v>
      </c>
      <c r="X227" s="10" t="str">
        <f>[1]!OJFB1.213</f>
        <v xml:space="preserve"> -</v>
      </c>
      <c r="Y227" s="10" t="str">
        <f>[1]!OJFB1.214</f>
        <v xml:space="preserve"> -</v>
      </c>
      <c r="Z227" s="10" t="str">
        <f>[1]!OJFB1.215</f>
        <v xml:space="preserve"> -</v>
      </c>
      <c r="AA227" s="10" t="str">
        <f>[1]!OJFB1.221</f>
        <v>-</v>
      </c>
      <c r="AB227" s="10" t="str">
        <f>[1]!OJFB1.222</f>
        <v>-</v>
      </c>
      <c r="AC227" s="10" t="str">
        <f>[1]!OJFB1.223</f>
        <v>-</v>
      </c>
      <c r="AD227" s="10" t="str">
        <f>[1]!OJFB1.224</f>
        <v>-</v>
      </c>
      <c r="AE227" s="10" t="str">
        <f>[1]!OJFB1.225</f>
        <v>-</v>
      </c>
      <c r="AF227" s="10" t="str">
        <f>[1]!OJFB1.231</f>
        <v>-</v>
      </c>
      <c r="AG227" s="10" t="str">
        <f>[1]!OJFB1.232</f>
        <v>-</v>
      </c>
      <c r="AH227" s="10" t="str">
        <f>[1]!OJFB1.233</f>
        <v>-</v>
      </c>
      <c r="AI227" s="10" t="str">
        <f>[1]!OJFB1.234</f>
        <v>-</v>
      </c>
      <c r="AJ227" s="10" t="str">
        <f>[1]!OJFB1.235</f>
        <v>-</v>
      </c>
    </row>
    <row r="228" spans="1:36" s="10" customFormat="1" x14ac:dyDescent="0.25">
      <c r="A228" s="10" t="str">
        <f>"OKFB1"</f>
        <v>OKFB1</v>
      </c>
      <c r="B228" s="10" t="str">
        <f>[1]!OKFB1.402</f>
        <v>加權指數</v>
      </c>
      <c r="C228" s="10">
        <f>[1]!OKFB1.123</f>
        <v>100135</v>
      </c>
      <c r="D228" s="10">
        <f>[1]!OKFB1.124</f>
        <v>16424.64</v>
      </c>
      <c r="E228" s="10">
        <f>[1]!OKFB1.125</f>
        <v>-18.760000000000002</v>
      </c>
      <c r="F228" s="10">
        <f>[1]!OKFB1.128</f>
        <v>1648</v>
      </c>
      <c r="G228" s="10">
        <f>[1]!OKFB1.130</f>
        <v>16329.54</v>
      </c>
      <c r="H228" s="10">
        <f>[1]!OKFB1.131</f>
        <v>16456.939999999999</v>
      </c>
      <c r="I228" s="10">
        <f>[1]!OKFB1.132</f>
        <v>16329.54</v>
      </c>
      <c r="J228" s="10">
        <f>[1]!OKFB1.133</f>
        <v>4020107</v>
      </c>
      <c r="K228" s="10" t="str">
        <f>[1]!OKFB1.135</f>
        <v xml:space="preserve"> -</v>
      </c>
      <c r="L228" s="10" t="str">
        <f>[1]!OKFB1.136</f>
        <v xml:space="preserve"> -</v>
      </c>
      <c r="M228" s="10" t="str">
        <f>[1]!OKFB1.437</f>
        <v xml:space="preserve"> -</v>
      </c>
      <c r="N228" s="10" t="str">
        <f>[1]!OKFB1.406</f>
        <v xml:space="preserve"> -</v>
      </c>
      <c r="O228" s="10" t="str">
        <f>[1]!OKFB1.407</f>
        <v xml:space="preserve"> -</v>
      </c>
      <c r="P228" s="10" t="str">
        <f>[1]!OKFB1.431</f>
        <v>-</v>
      </c>
      <c r="Q228" s="10" t="str">
        <f>[1]!OKFB1.201</f>
        <v xml:space="preserve"> -</v>
      </c>
      <c r="R228" s="10" t="str">
        <f>[1]!OKFB1.202</f>
        <v xml:space="preserve"> -</v>
      </c>
      <c r="S228" s="10" t="str">
        <f>[1]!OKFB1.203</f>
        <v xml:space="preserve"> -</v>
      </c>
      <c r="T228" s="10" t="str">
        <f>[1]!OKFB1.204</f>
        <v xml:space="preserve"> -</v>
      </c>
      <c r="U228" s="10" t="str">
        <f>[1]!OKFB1.205</f>
        <v xml:space="preserve"> -</v>
      </c>
      <c r="V228" s="10" t="str">
        <f>[1]!OKFB1.211</f>
        <v xml:space="preserve"> -</v>
      </c>
      <c r="W228" s="10" t="str">
        <f>[1]!OKFB1.212</f>
        <v xml:space="preserve"> -</v>
      </c>
      <c r="X228" s="10" t="str">
        <f>[1]!OKFB1.213</f>
        <v xml:space="preserve"> -</v>
      </c>
      <c r="Y228" s="10" t="str">
        <f>[1]!OKFB1.214</f>
        <v xml:space="preserve"> -</v>
      </c>
      <c r="Z228" s="10" t="str">
        <f>[1]!OKFB1.215</f>
        <v xml:space="preserve"> -</v>
      </c>
      <c r="AA228" s="10" t="str">
        <f>[1]!OKFB1.221</f>
        <v>-</v>
      </c>
      <c r="AB228" s="10" t="str">
        <f>[1]!OKFB1.222</f>
        <v>-</v>
      </c>
      <c r="AC228" s="10" t="str">
        <f>[1]!OKFB1.223</f>
        <v>-</v>
      </c>
      <c r="AD228" s="10" t="str">
        <f>[1]!OKFB1.224</f>
        <v>-</v>
      </c>
      <c r="AE228" s="10" t="str">
        <f>[1]!OKFB1.225</f>
        <v>-</v>
      </c>
      <c r="AF228" s="10" t="str">
        <f>[1]!OKFB1.231</f>
        <v>-</v>
      </c>
      <c r="AG228" s="10" t="str">
        <f>[1]!OKFB1.232</f>
        <v>-</v>
      </c>
      <c r="AH228" s="10" t="str">
        <f>[1]!OKFB1.233</f>
        <v>-</v>
      </c>
      <c r="AI228" s="10" t="str">
        <f>[1]!OKFB1.234</f>
        <v>-</v>
      </c>
      <c r="AJ228" s="10" t="str">
        <f>[1]!OKFB1.235</f>
        <v>-</v>
      </c>
    </row>
    <row r="229" spans="1:36" s="10" customFormat="1" x14ac:dyDescent="0.25">
      <c r="A229" s="10" t="str">
        <f>"OOFB1"</f>
        <v>OOFB1</v>
      </c>
      <c r="B229" s="10" t="str">
        <f>[1]!OOFB1.402</f>
        <v>加權指數</v>
      </c>
      <c r="C229" s="10">
        <f>[1]!OOFB1.123</f>
        <v>100130</v>
      </c>
      <c r="D229" s="10">
        <f>[1]!OOFB1.124</f>
        <v>16422.080000000002</v>
      </c>
      <c r="E229" s="10">
        <f>[1]!OOFB1.125</f>
        <v>-21.32</v>
      </c>
      <c r="F229" s="10">
        <f>[1]!OOFB1.128</f>
        <v>3347</v>
      </c>
      <c r="G229" s="10">
        <f>[1]!OOFB1.130</f>
        <v>16329.54</v>
      </c>
      <c r="H229" s="10">
        <f>[1]!OOFB1.131</f>
        <v>16456.939999999999</v>
      </c>
      <c r="I229" s="10">
        <f>[1]!OOFB1.132</f>
        <v>16329.54</v>
      </c>
      <c r="J229" s="10">
        <f>[1]!OOFB1.133</f>
        <v>4018459</v>
      </c>
      <c r="K229" s="10" t="str">
        <f>[1]!OOFB1.135</f>
        <v xml:space="preserve"> -</v>
      </c>
      <c r="L229" s="10" t="str">
        <f>[1]!OOFB1.136</f>
        <v xml:space="preserve"> -</v>
      </c>
      <c r="M229" s="10" t="str">
        <f>[1]!OOFB1.437</f>
        <v xml:space="preserve"> -</v>
      </c>
      <c r="N229" s="10" t="str">
        <f>[1]!OOFB1.406</f>
        <v xml:space="preserve"> -</v>
      </c>
      <c r="O229" s="10" t="str">
        <f>[1]!OOFB1.407</f>
        <v xml:space="preserve"> -</v>
      </c>
      <c r="P229" s="10" t="str">
        <f>[1]!OOFB1.431</f>
        <v>-</v>
      </c>
      <c r="Q229" s="10" t="str">
        <f>[1]!OOFB1.201</f>
        <v xml:space="preserve"> -</v>
      </c>
      <c r="R229" s="10" t="str">
        <f>[1]!OOFB1.202</f>
        <v xml:space="preserve"> -</v>
      </c>
      <c r="S229" s="10" t="str">
        <f>[1]!OOFB1.203</f>
        <v xml:space="preserve"> -</v>
      </c>
      <c r="T229" s="10" t="str">
        <f>[1]!OOFB1.204</f>
        <v xml:space="preserve"> -</v>
      </c>
      <c r="U229" s="10" t="str">
        <f>[1]!OOFB1.205</f>
        <v xml:space="preserve"> -</v>
      </c>
      <c r="V229" s="10" t="str">
        <f>[1]!OOFB1.211</f>
        <v xml:space="preserve"> -</v>
      </c>
      <c r="W229" s="10" t="str">
        <f>[1]!OOFB1.212</f>
        <v xml:space="preserve"> -</v>
      </c>
      <c r="X229" s="10" t="str">
        <f>[1]!OOFB1.213</f>
        <v xml:space="preserve"> -</v>
      </c>
      <c r="Y229" s="10" t="str">
        <f>[1]!OOFB1.214</f>
        <v xml:space="preserve"> -</v>
      </c>
      <c r="Z229" s="10" t="str">
        <f>[1]!OOFB1.215</f>
        <v xml:space="preserve"> -</v>
      </c>
      <c r="AA229" s="10" t="str">
        <f>[1]!OOFB1.221</f>
        <v>-</v>
      </c>
      <c r="AB229" s="10" t="str">
        <f>[1]!OOFB1.222</f>
        <v>-</v>
      </c>
      <c r="AC229" s="10" t="str">
        <f>[1]!OOFB1.223</f>
        <v>-</v>
      </c>
      <c r="AD229" s="10" t="str">
        <f>[1]!OOFB1.224</f>
        <v>-</v>
      </c>
      <c r="AE229" s="10" t="str">
        <f>[1]!OOFB1.225</f>
        <v>-</v>
      </c>
      <c r="AF229" s="10" t="str">
        <f>[1]!OOFB1.231</f>
        <v>-</v>
      </c>
      <c r="AG229" s="10" t="str">
        <f>[1]!OOFB1.232</f>
        <v>-</v>
      </c>
      <c r="AH229" s="10" t="str">
        <f>[1]!OOFB1.233</f>
        <v>-</v>
      </c>
      <c r="AI229" s="10" t="str">
        <f>[1]!OOFB1.234</f>
        <v>-</v>
      </c>
      <c r="AJ229" s="10" t="str">
        <f>[1]!OOFB1.235</f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L19" sqref="L19"/>
    </sheetView>
  </sheetViews>
  <sheetFormatPr defaultRowHeight="16.5" x14ac:dyDescent="0.25"/>
  <cols>
    <col min="1" max="1" width="11.75" style="44" customWidth="1"/>
    <col min="2" max="16384" width="9" style="44"/>
  </cols>
  <sheetData>
    <row r="1" spans="1:13" x14ac:dyDescent="0.25">
      <c r="A1" s="46" t="s">
        <v>1112</v>
      </c>
      <c r="B1" s="46" t="s">
        <v>1115</v>
      </c>
      <c r="C1" s="46" t="s">
        <v>1120</v>
      </c>
      <c r="D1" s="46" t="s">
        <v>1121</v>
      </c>
      <c r="E1" s="46" t="s">
        <v>1122</v>
      </c>
      <c r="F1" s="46" t="s">
        <v>1123</v>
      </c>
      <c r="G1" s="46" t="s">
        <v>1124</v>
      </c>
      <c r="H1" s="46" t="s">
        <v>1125</v>
      </c>
      <c r="I1" s="46" t="s">
        <v>1126</v>
      </c>
      <c r="J1" s="46" t="s">
        <v>1127</v>
      </c>
      <c r="K1" s="46" t="s">
        <v>1128</v>
      </c>
      <c r="L1" s="46" t="s">
        <v>1129</v>
      </c>
      <c r="M1" s="46" t="s">
        <v>1130</v>
      </c>
    </row>
    <row r="2" spans="1:13" x14ac:dyDescent="0.25">
      <c r="A2" s="46" t="s">
        <v>1113</v>
      </c>
      <c r="B2" s="46" t="s">
        <v>1116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25">
      <c r="A3" s="46" t="s">
        <v>1114</v>
      </c>
      <c r="B3" s="46" t="s">
        <v>1117</v>
      </c>
      <c r="C3" s="46" t="s">
        <v>5798</v>
      </c>
      <c r="D3" s="46" t="s">
        <v>5799</v>
      </c>
      <c r="E3" s="46" t="s">
        <v>5800</v>
      </c>
      <c r="F3" s="46" t="s">
        <v>5801</v>
      </c>
      <c r="G3" s="46" t="s">
        <v>5802</v>
      </c>
      <c r="H3" s="46" t="s">
        <v>5803</v>
      </c>
      <c r="I3" s="46" t="s">
        <v>5804</v>
      </c>
      <c r="J3" s="46" t="s">
        <v>5805</v>
      </c>
      <c r="K3" s="46" t="s">
        <v>5806</v>
      </c>
      <c r="L3" s="46" t="s">
        <v>5807</v>
      </c>
      <c r="M3" s="46" t="s">
        <v>5808</v>
      </c>
    </row>
    <row r="5" spans="1:13" s="48" customFormat="1" ht="49.5" x14ac:dyDescent="0.25">
      <c r="A5" s="48" t="s">
        <v>1118</v>
      </c>
      <c r="B5" s="48" t="s">
        <v>1119</v>
      </c>
      <c r="C5" s="48" t="s">
        <v>5798</v>
      </c>
      <c r="D5" s="48" t="s">
        <v>5799</v>
      </c>
      <c r="E5" s="48" t="s">
        <v>5800</v>
      </c>
      <c r="F5" s="48" t="s">
        <v>5801</v>
      </c>
      <c r="G5" s="48" t="s">
        <v>5802</v>
      </c>
      <c r="H5" s="48" t="s">
        <v>5803</v>
      </c>
      <c r="I5" s="48" t="s">
        <v>5804</v>
      </c>
      <c r="J5" s="48" t="s">
        <v>5805</v>
      </c>
      <c r="K5" s="48" t="s">
        <v>5806</v>
      </c>
      <c r="L5" s="48" t="s">
        <v>5807</v>
      </c>
      <c r="M5" s="48" t="s">
        <v>5808</v>
      </c>
    </row>
    <row r="6" spans="1:13" x14ac:dyDescent="0.25">
      <c r="A6" s="45" t="s">
        <v>1131</v>
      </c>
      <c r="B6" s="44" t="s">
        <v>3615</v>
      </c>
      <c r="C6" s="47">
        <v>44250</v>
      </c>
      <c r="D6" s="44">
        <v>202104</v>
      </c>
      <c r="E6" s="44">
        <v>1826</v>
      </c>
      <c r="F6" s="44">
        <v>1850</v>
      </c>
      <c r="G6" s="44">
        <v>1826</v>
      </c>
      <c r="H6" s="44">
        <v>1838.5</v>
      </c>
      <c r="I6" s="44">
        <v>59.5</v>
      </c>
      <c r="J6" s="44">
        <v>3.34</v>
      </c>
      <c r="K6" s="44">
        <v>39</v>
      </c>
      <c r="L6" s="44">
        <v>1846</v>
      </c>
      <c r="M6" s="44">
        <v>140</v>
      </c>
    </row>
    <row r="7" spans="1:13" x14ac:dyDescent="0.25">
      <c r="A7" s="45" t="s">
        <v>1132</v>
      </c>
      <c r="B7" s="44" t="s">
        <v>3616</v>
      </c>
      <c r="C7" s="47">
        <v>44250</v>
      </c>
      <c r="D7" s="44">
        <v>202104</v>
      </c>
      <c r="E7" s="44">
        <v>1826</v>
      </c>
      <c r="F7" s="44">
        <v>1850</v>
      </c>
      <c r="G7" s="44">
        <v>1826</v>
      </c>
      <c r="H7" s="44">
        <v>1838.5</v>
      </c>
      <c r="I7" s="44">
        <v>59.5</v>
      </c>
      <c r="J7" s="44">
        <v>3.34</v>
      </c>
      <c r="K7" s="44">
        <v>39</v>
      </c>
      <c r="L7" s="44">
        <v>1846</v>
      </c>
      <c r="M7" s="44">
        <v>140</v>
      </c>
    </row>
    <row r="8" spans="1:13" x14ac:dyDescent="0.25">
      <c r="A8" s="45" t="s">
        <v>1133</v>
      </c>
      <c r="B8" s="44" t="s">
        <v>3617</v>
      </c>
      <c r="C8" s="47"/>
    </row>
    <row r="9" spans="1:13" x14ac:dyDescent="0.25">
      <c r="A9" s="45" t="s">
        <v>1134</v>
      </c>
      <c r="B9" s="44" t="s">
        <v>3618</v>
      </c>
      <c r="C9" s="47">
        <v>44250</v>
      </c>
      <c r="D9" s="44">
        <v>202105</v>
      </c>
      <c r="E9" s="44">
        <v>1806</v>
      </c>
      <c r="F9" s="44">
        <v>1835.5</v>
      </c>
      <c r="G9" s="44">
        <v>1806</v>
      </c>
      <c r="H9" s="44">
        <v>1828</v>
      </c>
      <c r="I9" s="44">
        <v>67</v>
      </c>
      <c r="J9" s="44">
        <v>3.8</v>
      </c>
      <c r="K9" s="44">
        <v>27</v>
      </c>
      <c r="L9" s="44">
        <v>1828</v>
      </c>
      <c r="M9" s="44">
        <v>292</v>
      </c>
    </row>
    <row r="10" spans="1:13" x14ac:dyDescent="0.25">
      <c r="A10" s="45" t="s">
        <v>1135</v>
      </c>
      <c r="B10" s="44" t="s">
        <v>3619</v>
      </c>
      <c r="C10" s="47">
        <v>44250</v>
      </c>
      <c r="D10" s="44">
        <v>202105</v>
      </c>
      <c r="E10" s="44">
        <v>1806</v>
      </c>
      <c r="F10" s="44">
        <v>1835.5</v>
      </c>
      <c r="G10" s="44">
        <v>1806</v>
      </c>
      <c r="H10" s="44">
        <v>1828</v>
      </c>
      <c r="I10" s="44">
        <v>67</v>
      </c>
      <c r="J10" s="44">
        <v>3.8</v>
      </c>
      <c r="K10" s="44">
        <v>27</v>
      </c>
      <c r="L10" s="44">
        <v>1828</v>
      </c>
      <c r="M10" s="44">
        <v>292</v>
      </c>
    </row>
    <row r="11" spans="1:13" x14ac:dyDescent="0.25">
      <c r="A11" s="45" t="s">
        <v>1136</v>
      </c>
      <c r="C11" s="47"/>
    </row>
    <row r="12" spans="1:13" x14ac:dyDescent="0.25">
      <c r="A12" s="45" t="s">
        <v>1137</v>
      </c>
      <c r="B12" s="44" t="s">
        <v>3620</v>
      </c>
      <c r="C12" s="47">
        <v>44250</v>
      </c>
      <c r="D12" s="44">
        <v>202104</v>
      </c>
      <c r="E12" s="44">
        <v>1826</v>
      </c>
      <c r="F12" s="44">
        <v>1850</v>
      </c>
      <c r="G12" s="44">
        <v>1826</v>
      </c>
      <c r="H12" s="44">
        <v>1838.5</v>
      </c>
      <c r="I12" s="44">
        <v>59.5</v>
      </c>
      <c r="J12" s="44">
        <v>3.34</v>
      </c>
      <c r="K12" s="44">
        <v>39</v>
      </c>
      <c r="L12" s="44">
        <v>1846</v>
      </c>
      <c r="M12" s="44">
        <v>140</v>
      </c>
    </row>
    <row r="13" spans="1:13" x14ac:dyDescent="0.25">
      <c r="A13" s="45" t="s">
        <v>1138</v>
      </c>
      <c r="B13" s="44" t="s">
        <v>3621</v>
      </c>
      <c r="C13" s="47"/>
    </row>
    <row r="14" spans="1:13" x14ac:dyDescent="0.25">
      <c r="A14" s="45" t="s">
        <v>1139</v>
      </c>
      <c r="B14" s="44" t="s">
        <v>3622</v>
      </c>
      <c r="C14" s="47">
        <v>44250</v>
      </c>
      <c r="D14" s="44">
        <v>202105</v>
      </c>
      <c r="E14" s="44">
        <v>1806</v>
      </c>
      <c r="F14" s="44">
        <v>1835.5</v>
      </c>
      <c r="G14" s="44">
        <v>1806</v>
      </c>
      <c r="H14" s="44">
        <v>1828</v>
      </c>
      <c r="I14" s="44">
        <v>67</v>
      </c>
      <c r="J14" s="44">
        <v>3.8</v>
      </c>
      <c r="K14" s="44">
        <v>27</v>
      </c>
      <c r="L14" s="44">
        <v>1828</v>
      </c>
      <c r="M14" s="44">
        <v>292</v>
      </c>
    </row>
    <row r="15" spans="1:13" x14ac:dyDescent="0.25">
      <c r="A15" s="45" t="s">
        <v>1140</v>
      </c>
      <c r="B15" s="44" t="s">
        <v>3623</v>
      </c>
      <c r="C15" s="47"/>
    </row>
    <row r="16" spans="1:13" x14ac:dyDescent="0.25">
      <c r="A16" s="45" t="s">
        <v>1141</v>
      </c>
      <c r="B16" s="44" t="s">
        <v>3624</v>
      </c>
      <c r="C16" s="47">
        <v>44250</v>
      </c>
      <c r="D16" s="44">
        <v>202106</v>
      </c>
      <c r="E16" s="44">
        <v>1854.5</v>
      </c>
      <c r="F16" s="44">
        <v>1854.5</v>
      </c>
      <c r="G16" s="44">
        <v>1854.5</v>
      </c>
      <c r="H16" s="44">
        <v>1854.5</v>
      </c>
      <c r="I16" s="44">
        <v>87.5</v>
      </c>
      <c r="J16" s="44">
        <v>4.95</v>
      </c>
      <c r="K16" s="44">
        <v>1</v>
      </c>
      <c r="L16" s="44">
        <v>1834</v>
      </c>
      <c r="M16" s="44">
        <v>6</v>
      </c>
    </row>
    <row r="17" spans="1:13" x14ac:dyDescent="0.25">
      <c r="A17" s="45" t="s">
        <v>1142</v>
      </c>
      <c r="B17" s="44" t="s">
        <v>3625</v>
      </c>
      <c r="C17" s="47"/>
    </row>
    <row r="18" spans="1:13" x14ac:dyDescent="0.25">
      <c r="A18" s="45" t="s">
        <v>1143</v>
      </c>
      <c r="B18" s="44" t="s">
        <v>3626</v>
      </c>
      <c r="C18" s="47">
        <v>44250</v>
      </c>
      <c r="D18" s="44">
        <v>202112</v>
      </c>
      <c r="E18" s="44">
        <v>1876</v>
      </c>
      <c r="F18" s="44">
        <v>1876</v>
      </c>
      <c r="G18" s="44">
        <v>1876</v>
      </c>
      <c r="H18" s="44">
        <v>1876</v>
      </c>
      <c r="I18" s="44">
        <v>54</v>
      </c>
      <c r="J18" s="44">
        <v>2.96</v>
      </c>
      <c r="K18" s="44">
        <v>0</v>
      </c>
      <c r="L18" s="44">
        <v>1876</v>
      </c>
      <c r="M18" s="44">
        <v>0</v>
      </c>
    </row>
    <row r="19" spans="1:13" x14ac:dyDescent="0.25">
      <c r="A19" s="45" t="s">
        <v>1144</v>
      </c>
      <c r="B19" s="44" t="s">
        <v>3627</v>
      </c>
      <c r="C19" s="47"/>
    </row>
    <row r="20" spans="1:13" x14ac:dyDescent="0.25">
      <c r="A20" s="45" t="s">
        <v>1145</v>
      </c>
      <c r="B20" s="44" t="s">
        <v>3628</v>
      </c>
      <c r="C20" s="47">
        <v>44250</v>
      </c>
      <c r="D20" s="44">
        <v>202206</v>
      </c>
      <c r="E20" s="44">
        <v>1765.5</v>
      </c>
      <c r="F20" s="44">
        <v>1765.5</v>
      </c>
      <c r="G20" s="44">
        <v>1765.5</v>
      </c>
      <c r="H20" s="44">
        <v>1765.5</v>
      </c>
      <c r="I20" s="44">
        <v>59.5</v>
      </c>
      <c r="J20" s="44">
        <v>3.49</v>
      </c>
      <c r="K20" s="44">
        <v>0</v>
      </c>
      <c r="L20" s="44">
        <v>1765.5</v>
      </c>
      <c r="M20" s="44">
        <v>0</v>
      </c>
    </row>
    <row r="21" spans="1:13" x14ac:dyDescent="0.25">
      <c r="A21" s="45" t="s">
        <v>1146</v>
      </c>
      <c r="B21" s="44" t="s">
        <v>3629</v>
      </c>
      <c r="C21" s="47"/>
    </row>
    <row r="22" spans="1:13" x14ac:dyDescent="0.25">
      <c r="A22" s="45" t="s">
        <v>1147</v>
      </c>
      <c r="B22" s="44" t="s">
        <v>3630</v>
      </c>
      <c r="C22" s="47"/>
    </row>
    <row r="23" spans="1:13" x14ac:dyDescent="0.25">
      <c r="A23" s="45" t="s">
        <v>1148</v>
      </c>
      <c r="B23" s="44" t="s">
        <v>3631</v>
      </c>
      <c r="C23" s="47">
        <v>44250</v>
      </c>
      <c r="D23" s="44">
        <v>202106</v>
      </c>
      <c r="E23" s="44">
        <v>1854.5</v>
      </c>
      <c r="F23" s="44">
        <v>1854.5</v>
      </c>
      <c r="G23" s="44">
        <v>1854.5</v>
      </c>
      <c r="H23" s="44">
        <v>1854.5</v>
      </c>
      <c r="I23" s="44">
        <v>87.5</v>
      </c>
      <c r="J23" s="44">
        <v>4.95</v>
      </c>
      <c r="K23" s="44">
        <v>1</v>
      </c>
      <c r="L23" s="44">
        <v>1834</v>
      </c>
      <c r="M23" s="44">
        <v>6</v>
      </c>
    </row>
    <row r="24" spans="1:13" x14ac:dyDescent="0.25">
      <c r="A24" s="45" t="s">
        <v>1149</v>
      </c>
      <c r="B24" s="44" t="s">
        <v>3632</v>
      </c>
      <c r="C24" s="47">
        <v>44250</v>
      </c>
      <c r="D24" s="44">
        <v>202106</v>
      </c>
      <c r="E24" s="44">
        <v>1854.5</v>
      </c>
      <c r="F24" s="44">
        <v>1854.5</v>
      </c>
      <c r="G24" s="44">
        <v>1854.5</v>
      </c>
      <c r="H24" s="44">
        <v>1854.5</v>
      </c>
      <c r="I24" s="44">
        <v>87.5</v>
      </c>
      <c r="J24" s="44">
        <v>4.95</v>
      </c>
      <c r="K24" s="44">
        <v>1</v>
      </c>
      <c r="L24" s="44">
        <v>1834</v>
      </c>
      <c r="M24" s="44">
        <v>6</v>
      </c>
    </row>
    <row r="25" spans="1:13" x14ac:dyDescent="0.25">
      <c r="A25" s="45" t="s">
        <v>1150</v>
      </c>
      <c r="B25" s="44" t="s">
        <v>3633</v>
      </c>
      <c r="C25" s="47"/>
    </row>
    <row r="26" spans="1:13" x14ac:dyDescent="0.25">
      <c r="A26" s="45" t="s">
        <v>1151</v>
      </c>
      <c r="B26" s="44" t="s">
        <v>3634</v>
      </c>
      <c r="C26" s="47">
        <v>44250</v>
      </c>
      <c r="D26" s="44">
        <v>202103</v>
      </c>
      <c r="E26" s="44">
        <v>4600</v>
      </c>
      <c r="F26" s="44">
        <v>4600</v>
      </c>
      <c r="G26" s="44">
        <v>4313</v>
      </c>
      <c r="H26" s="44">
        <v>4454</v>
      </c>
      <c r="I26" s="44">
        <v>-97</v>
      </c>
      <c r="J26" s="44">
        <v>-2.13</v>
      </c>
      <c r="K26" s="44">
        <v>107</v>
      </c>
      <c r="L26" s="44">
        <v>4440</v>
      </c>
      <c r="M26" s="44">
        <v>50</v>
      </c>
    </row>
    <row r="27" spans="1:13" x14ac:dyDescent="0.25">
      <c r="A27" s="45" t="s">
        <v>1152</v>
      </c>
      <c r="B27" s="44" t="s">
        <v>3635</v>
      </c>
      <c r="C27" s="47">
        <v>44250</v>
      </c>
      <c r="D27" s="44">
        <v>202103</v>
      </c>
      <c r="E27" s="44">
        <v>4600</v>
      </c>
      <c r="F27" s="44">
        <v>4600</v>
      </c>
      <c r="G27" s="44">
        <v>4313</v>
      </c>
      <c r="H27" s="44">
        <v>4454</v>
      </c>
      <c r="I27" s="44">
        <v>-97</v>
      </c>
      <c r="J27" s="44">
        <v>-2.13</v>
      </c>
      <c r="K27" s="44">
        <v>107</v>
      </c>
      <c r="L27" s="44">
        <v>4440</v>
      </c>
      <c r="M27" s="44">
        <v>50</v>
      </c>
    </row>
    <row r="28" spans="1:13" x14ac:dyDescent="0.25">
      <c r="A28" s="45" t="s">
        <v>1153</v>
      </c>
      <c r="B28" s="44" t="s">
        <v>3636</v>
      </c>
      <c r="C28" s="47">
        <v>44250</v>
      </c>
      <c r="D28" s="44">
        <v>202104</v>
      </c>
      <c r="E28" s="44">
        <v>4468</v>
      </c>
      <c r="F28" s="44">
        <v>4468</v>
      </c>
      <c r="G28" s="44">
        <v>4448</v>
      </c>
      <c r="H28" s="44">
        <v>4448</v>
      </c>
      <c r="I28" s="44">
        <v>-98</v>
      </c>
      <c r="J28" s="44">
        <v>-2.16</v>
      </c>
      <c r="K28" s="44">
        <v>2</v>
      </c>
      <c r="L28" s="44">
        <v>4432</v>
      </c>
      <c r="M28" s="44">
        <v>2</v>
      </c>
    </row>
    <row r="29" spans="1:13" x14ac:dyDescent="0.25">
      <c r="A29" s="45" t="s">
        <v>1154</v>
      </c>
      <c r="B29" s="44" t="s">
        <v>3637</v>
      </c>
      <c r="C29" s="47">
        <v>44250</v>
      </c>
      <c r="D29" s="44">
        <v>202104</v>
      </c>
      <c r="E29" s="44">
        <v>4468</v>
      </c>
      <c r="F29" s="44">
        <v>4468</v>
      </c>
      <c r="G29" s="44">
        <v>4448</v>
      </c>
      <c r="H29" s="44">
        <v>4448</v>
      </c>
      <c r="I29" s="44">
        <v>-98</v>
      </c>
      <c r="J29" s="44">
        <v>-2.16</v>
      </c>
      <c r="K29" s="44">
        <v>2</v>
      </c>
      <c r="L29" s="44">
        <v>4432</v>
      </c>
      <c r="M29" s="44">
        <v>2</v>
      </c>
    </row>
    <row r="30" spans="1:13" x14ac:dyDescent="0.25">
      <c r="A30" s="45" t="s">
        <v>1155</v>
      </c>
      <c r="C30" s="47"/>
    </row>
    <row r="31" spans="1:13" x14ac:dyDescent="0.25">
      <c r="A31" s="45" t="s">
        <v>1156</v>
      </c>
      <c r="B31" s="44" t="s">
        <v>3638</v>
      </c>
      <c r="C31" s="47">
        <v>44250</v>
      </c>
      <c r="D31" s="44">
        <v>202103</v>
      </c>
      <c r="E31" s="44">
        <v>4600</v>
      </c>
      <c r="F31" s="44">
        <v>4600</v>
      </c>
      <c r="G31" s="44">
        <v>4313</v>
      </c>
      <c r="H31" s="44">
        <v>4454</v>
      </c>
      <c r="I31" s="44">
        <v>-97</v>
      </c>
      <c r="J31" s="44">
        <v>-2.13</v>
      </c>
      <c r="K31" s="44">
        <v>107</v>
      </c>
      <c r="L31" s="44">
        <v>4440</v>
      </c>
      <c r="M31" s="44">
        <v>50</v>
      </c>
    </row>
    <row r="32" spans="1:13" x14ac:dyDescent="0.25">
      <c r="A32" s="45" t="s">
        <v>1157</v>
      </c>
      <c r="B32" s="44" t="s">
        <v>3639</v>
      </c>
      <c r="C32" s="47">
        <v>44250</v>
      </c>
      <c r="D32" s="44">
        <v>202104</v>
      </c>
      <c r="E32" s="44">
        <v>4468</v>
      </c>
      <c r="F32" s="44">
        <v>4468</v>
      </c>
      <c r="G32" s="44">
        <v>4448</v>
      </c>
      <c r="H32" s="44">
        <v>4448</v>
      </c>
      <c r="I32" s="44">
        <v>-98</v>
      </c>
      <c r="J32" s="44">
        <v>-2.16</v>
      </c>
      <c r="K32" s="44">
        <v>2</v>
      </c>
      <c r="L32" s="44">
        <v>4432</v>
      </c>
      <c r="M32" s="44">
        <v>2</v>
      </c>
    </row>
    <row r="33" spans="1:13" x14ac:dyDescent="0.25">
      <c r="A33" s="45" t="s">
        <v>1158</v>
      </c>
      <c r="B33" s="44" t="s">
        <v>3640</v>
      </c>
      <c r="C33" s="47">
        <v>44250</v>
      </c>
      <c r="D33" s="44">
        <v>202106</v>
      </c>
      <c r="E33" s="44">
        <v>4407</v>
      </c>
      <c r="F33" s="44">
        <v>4407</v>
      </c>
      <c r="G33" s="44">
        <v>4407</v>
      </c>
      <c r="H33" s="44">
        <v>4407</v>
      </c>
      <c r="I33" s="44">
        <v>-111</v>
      </c>
      <c r="J33" s="44">
        <v>-2.46</v>
      </c>
      <c r="K33" s="44">
        <v>0</v>
      </c>
      <c r="L33" s="44">
        <v>4407</v>
      </c>
      <c r="M33" s="44">
        <v>1</v>
      </c>
    </row>
    <row r="34" spans="1:13" x14ac:dyDescent="0.25">
      <c r="A34" s="45" t="s">
        <v>1159</v>
      </c>
      <c r="B34" s="44" t="s">
        <v>3641</v>
      </c>
      <c r="C34" s="47">
        <v>44250</v>
      </c>
      <c r="D34" s="44">
        <v>202109</v>
      </c>
      <c r="E34" s="44">
        <v>4366</v>
      </c>
      <c r="F34" s="44">
        <v>4366</v>
      </c>
      <c r="G34" s="44">
        <v>4366</v>
      </c>
      <c r="H34" s="44">
        <v>4366</v>
      </c>
      <c r="I34" s="44">
        <v>-111</v>
      </c>
      <c r="J34" s="44">
        <v>-2.48</v>
      </c>
      <c r="K34" s="44">
        <v>0</v>
      </c>
      <c r="L34" s="44">
        <v>4366</v>
      </c>
      <c r="M34" s="44">
        <v>0</v>
      </c>
    </row>
    <row r="35" spans="1:13" x14ac:dyDescent="0.25">
      <c r="A35" s="45" t="s">
        <v>1160</v>
      </c>
      <c r="B35" s="44" t="s">
        <v>3642</v>
      </c>
      <c r="C35" s="47">
        <v>44250</v>
      </c>
      <c r="D35" s="44">
        <v>202112</v>
      </c>
      <c r="E35" s="44">
        <v>4309</v>
      </c>
      <c r="F35" s="44">
        <v>4309</v>
      </c>
      <c r="G35" s="44">
        <v>4309</v>
      </c>
      <c r="H35" s="44">
        <v>4309</v>
      </c>
      <c r="I35" s="44">
        <v>-111</v>
      </c>
      <c r="J35" s="44">
        <v>-2.5099999999999998</v>
      </c>
      <c r="K35" s="44">
        <v>0</v>
      </c>
      <c r="L35" s="44">
        <v>4309</v>
      </c>
      <c r="M35" s="44">
        <v>0</v>
      </c>
    </row>
    <row r="36" spans="1:13" x14ac:dyDescent="0.25">
      <c r="A36" s="45" t="s">
        <v>1161</v>
      </c>
      <c r="B36" s="44" t="s">
        <v>3643</v>
      </c>
      <c r="C36" s="47">
        <v>44250</v>
      </c>
      <c r="D36" s="44">
        <v>202105</v>
      </c>
      <c r="E36" s="44">
        <v>4420</v>
      </c>
      <c r="F36" s="44">
        <v>4420</v>
      </c>
      <c r="G36" s="44">
        <v>4420</v>
      </c>
      <c r="H36" s="44">
        <v>4420</v>
      </c>
      <c r="I36" s="44">
        <v>-111</v>
      </c>
      <c r="J36" s="44">
        <v>-2.4500000000000002</v>
      </c>
      <c r="K36" s="44">
        <v>0</v>
      </c>
      <c r="L36" s="44">
        <v>4420</v>
      </c>
      <c r="M36" s="44">
        <v>0</v>
      </c>
    </row>
    <row r="37" spans="1:13" x14ac:dyDescent="0.25">
      <c r="A37" s="45" t="s">
        <v>1162</v>
      </c>
      <c r="B37" s="44" t="s">
        <v>3644</v>
      </c>
      <c r="C37" s="47">
        <v>44250</v>
      </c>
      <c r="D37" s="44">
        <v>202105</v>
      </c>
      <c r="E37" s="44">
        <v>4420</v>
      </c>
      <c r="F37" s="44">
        <v>4420</v>
      </c>
      <c r="G37" s="44">
        <v>4420</v>
      </c>
      <c r="H37" s="44">
        <v>4420</v>
      </c>
      <c r="I37" s="44">
        <v>-111</v>
      </c>
      <c r="J37" s="44">
        <v>-2.4500000000000002</v>
      </c>
      <c r="K37" s="44">
        <v>0</v>
      </c>
      <c r="L37" s="44">
        <v>4420</v>
      </c>
      <c r="M37" s="44">
        <v>0</v>
      </c>
    </row>
    <row r="38" spans="1:13" x14ac:dyDescent="0.25">
      <c r="A38" s="45" t="s">
        <v>894</v>
      </c>
      <c r="B38" s="44" t="s">
        <v>3645</v>
      </c>
      <c r="C38" s="47">
        <v>44250</v>
      </c>
      <c r="D38" s="44">
        <v>202103</v>
      </c>
      <c r="E38" s="44">
        <v>71.8</v>
      </c>
      <c r="F38" s="44">
        <v>74.2</v>
      </c>
      <c r="G38" s="44">
        <v>71.5</v>
      </c>
      <c r="H38" s="44">
        <v>74.2</v>
      </c>
      <c r="I38" s="44">
        <v>1.7</v>
      </c>
      <c r="J38" s="44">
        <v>2.34</v>
      </c>
      <c r="K38" s="44">
        <v>30</v>
      </c>
      <c r="L38" s="44">
        <v>74.2</v>
      </c>
      <c r="M38" s="44">
        <v>2432</v>
      </c>
    </row>
    <row r="39" spans="1:13" x14ac:dyDescent="0.25">
      <c r="A39" s="45" t="s">
        <v>1163</v>
      </c>
      <c r="B39" s="44" t="s">
        <v>3646</v>
      </c>
      <c r="C39" s="47">
        <v>44250</v>
      </c>
      <c r="D39" s="44">
        <v>202103</v>
      </c>
      <c r="E39" s="44">
        <v>71.8</v>
      </c>
      <c r="F39" s="44">
        <v>74.2</v>
      </c>
      <c r="G39" s="44">
        <v>71.5</v>
      </c>
      <c r="H39" s="44">
        <v>74.2</v>
      </c>
      <c r="I39" s="44">
        <v>1.7</v>
      </c>
      <c r="J39" s="44">
        <v>2.34</v>
      </c>
      <c r="K39" s="44">
        <v>30</v>
      </c>
      <c r="L39" s="44">
        <v>74.2</v>
      </c>
      <c r="M39" s="44">
        <v>2432</v>
      </c>
    </row>
    <row r="40" spans="1:13" x14ac:dyDescent="0.25">
      <c r="A40" s="45" t="s">
        <v>1164</v>
      </c>
      <c r="B40" s="44" t="s">
        <v>3647</v>
      </c>
      <c r="C40" s="47">
        <v>44250</v>
      </c>
      <c r="D40" s="44">
        <v>202104</v>
      </c>
      <c r="E40" s="44">
        <v>73.3</v>
      </c>
      <c r="F40" s="44">
        <v>73.3</v>
      </c>
      <c r="G40" s="44">
        <v>73.3</v>
      </c>
      <c r="H40" s="44">
        <v>73.3</v>
      </c>
      <c r="I40" s="44">
        <v>1.7</v>
      </c>
      <c r="J40" s="44">
        <v>2.37</v>
      </c>
      <c r="K40" s="44">
        <v>5</v>
      </c>
      <c r="L40" s="44">
        <v>73.3</v>
      </c>
      <c r="M40" s="44">
        <v>5</v>
      </c>
    </row>
    <row r="41" spans="1:13" x14ac:dyDescent="0.25">
      <c r="A41" s="45" t="s">
        <v>1165</v>
      </c>
      <c r="B41" s="44" t="s">
        <v>3648</v>
      </c>
      <c r="C41" s="47">
        <v>44250</v>
      </c>
      <c r="D41" s="44">
        <v>202104</v>
      </c>
      <c r="E41" s="44">
        <v>73.3</v>
      </c>
      <c r="F41" s="44">
        <v>73.3</v>
      </c>
      <c r="G41" s="44">
        <v>73.3</v>
      </c>
      <c r="H41" s="44">
        <v>73.3</v>
      </c>
      <c r="I41" s="44">
        <v>1.7</v>
      </c>
      <c r="J41" s="44">
        <v>2.37</v>
      </c>
      <c r="K41" s="44">
        <v>5</v>
      </c>
      <c r="L41" s="44">
        <v>73.3</v>
      </c>
      <c r="M41" s="44">
        <v>5</v>
      </c>
    </row>
    <row r="42" spans="1:13" x14ac:dyDescent="0.25">
      <c r="A42" s="45" t="s">
        <v>1166</v>
      </c>
      <c r="C42" s="47"/>
    </row>
    <row r="43" spans="1:13" x14ac:dyDescent="0.25">
      <c r="A43" s="45" t="s">
        <v>1167</v>
      </c>
      <c r="C43" s="47"/>
    </row>
    <row r="44" spans="1:13" x14ac:dyDescent="0.25">
      <c r="A44" s="45" t="s">
        <v>1168</v>
      </c>
      <c r="B44" s="44" t="s">
        <v>3649</v>
      </c>
      <c r="C44" s="47">
        <v>44250</v>
      </c>
      <c r="D44" s="44">
        <v>202103</v>
      </c>
      <c r="E44" s="44">
        <v>71.8</v>
      </c>
      <c r="F44" s="44">
        <v>74.2</v>
      </c>
      <c r="G44" s="44">
        <v>71.5</v>
      </c>
      <c r="H44" s="44">
        <v>74.2</v>
      </c>
      <c r="I44" s="44">
        <v>1.7</v>
      </c>
      <c r="J44" s="44">
        <v>2.34</v>
      </c>
      <c r="K44" s="44">
        <v>30</v>
      </c>
      <c r="L44" s="44">
        <v>74.2</v>
      </c>
      <c r="M44" s="44">
        <v>2432</v>
      </c>
    </row>
    <row r="45" spans="1:13" x14ac:dyDescent="0.25">
      <c r="A45" s="45" t="s">
        <v>1169</v>
      </c>
      <c r="B45" s="44" t="s">
        <v>3650</v>
      </c>
      <c r="C45" s="47">
        <v>44250</v>
      </c>
      <c r="D45" s="44">
        <v>202106</v>
      </c>
      <c r="E45" s="44">
        <v>73.599999999999994</v>
      </c>
      <c r="F45" s="44">
        <v>73.599999999999994</v>
      </c>
      <c r="G45" s="44">
        <v>73.599999999999994</v>
      </c>
      <c r="H45" s="44">
        <v>73.599999999999994</v>
      </c>
      <c r="I45" s="44">
        <v>1.7</v>
      </c>
      <c r="J45" s="44">
        <v>2.36</v>
      </c>
      <c r="K45" s="44">
        <v>0</v>
      </c>
      <c r="L45" s="44">
        <v>73.599999999999994</v>
      </c>
      <c r="M45" s="44">
        <v>0</v>
      </c>
    </row>
    <row r="46" spans="1:13" x14ac:dyDescent="0.25">
      <c r="A46" s="45" t="s">
        <v>1170</v>
      </c>
      <c r="B46" s="44" t="s">
        <v>3651</v>
      </c>
      <c r="C46" s="47">
        <v>44250</v>
      </c>
      <c r="D46" s="44">
        <v>202109</v>
      </c>
      <c r="E46" s="44">
        <v>73.400000000000006</v>
      </c>
      <c r="F46" s="44">
        <v>73.400000000000006</v>
      </c>
      <c r="G46" s="44">
        <v>73.400000000000006</v>
      </c>
      <c r="H46" s="44">
        <v>73.400000000000006</v>
      </c>
      <c r="I46" s="44">
        <v>1.7</v>
      </c>
      <c r="J46" s="44">
        <v>2.37</v>
      </c>
      <c r="K46" s="44">
        <v>0</v>
      </c>
      <c r="L46" s="44">
        <v>73.400000000000006</v>
      </c>
      <c r="M46" s="44">
        <v>0</v>
      </c>
    </row>
    <row r="47" spans="1:13" x14ac:dyDescent="0.25">
      <c r="A47" s="45" t="s">
        <v>1171</v>
      </c>
      <c r="B47" s="44" t="s">
        <v>3652</v>
      </c>
      <c r="C47" s="47">
        <v>44250</v>
      </c>
      <c r="D47" s="44">
        <v>202112</v>
      </c>
      <c r="E47" s="44">
        <v>73.2</v>
      </c>
      <c r="F47" s="44">
        <v>73.2</v>
      </c>
      <c r="G47" s="44">
        <v>73.2</v>
      </c>
      <c r="H47" s="44">
        <v>73.2</v>
      </c>
      <c r="I47" s="44">
        <v>1.7</v>
      </c>
      <c r="J47" s="44">
        <v>2.38</v>
      </c>
      <c r="K47" s="44">
        <v>0</v>
      </c>
      <c r="L47" s="44">
        <v>73.2</v>
      </c>
      <c r="M47" s="44">
        <v>0</v>
      </c>
    </row>
    <row r="48" spans="1:13" x14ac:dyDescent="0.25">
      <c r="A48" s="45" t="s">
        <v>914</v>
      </c>
      <c r="B48" s="44" t="s">
        <v>3653</v>
      </c>
      <c r="C48" s="47">
        <v>44250</v>
      </c>
      <c r="D48" s="44">
        <v>202103</v>
      </c>
      <c r="E48" s="44">
        <v>24.7</v>
      </c>
      <c r="F48" s="44">
        <v>25.55</v>
      </c>
      <c r="G48" s="44">
        <v>24.7</v>
      </c>
      <c r="H48" s="44">
        <v>25.35</v>
      </c>
      <c r="I48" s="44">
        <v>0.75</v>
      </c>
      <c r="J48" s="44">
        <v>3.05</v>
      </c>
      <c r="K48" s="44">
        <v>419</v>
      </c>
      <c r="L48" s="44">
        <v>25.35</v>
      </c>
      <c r="M48" s="44">
        <v>893</v>
      </c>
    </row>
    <row r="49" spans="1:13" x14ac:dyDescent="0.25">
      <c r="A49" s="45" t="s">
        <v>1172</v>
      </c>
      <c r="B49" s="44" t="s">
        <v>3654</v>
      </c>
      <c r="C49" s="47">
        <v>44250</v>
      </c>
      <c r="D49" s="44">
        <v>202103</v>
      </c>
      <c r="E49" s="44">
        <v>24.7</v>
      </c>
      <c r="F49" s="44">
        <v>25.55</v>
      </c>
      <c r="G49" s="44">
        <v>24.7</v>
      </c>
      <c r="H49" s="44">
        <v>25.35</v>
      </c>
      <c r="I49" s="44">
        <v>0.75</v>
      </c>
      <c r="J49" s="44">
        <v>3.05</v>
      </c>
      <c r="K49" s="44">
        <v>419</v>
      </c>
      <c r="L49" s="44">
        <v>25.35</v>
      </c>
      <c r="M49" s="44">
        <v>893</v>
      </c>
    </row>
    <row r="50" spans="1:13" x14ac:dyDescent="0.25">
      <c r="A50" s="45" t="s">
        <v>1173</v>
      </c>
      <c r="B50" s="44" t="s">
        <v>3655</v>
      </c>
      <c r="C50" s="47">
        <v>44250</v>
      </c>
      <c r="D50" s="44">
        <v>202104</v>
      </c>
      <c r="E50" s="44">
        <v>24.4</v>
      </c>
      <c r="F50" s="44">
        <v>25.45</v>
      </c>
      <c r="G50" s="44">
        <v>24.4</v>
      </c>
      <c r="H50" s="44">
        <v>25.35</v>
      </c>
      <c r="I50" s="44">
        <v>0.75</v>
      </c>
      <c r="J50" s="44">
        <v>3.05</v>
      </c>
      <c r="K50" s="44">
        <v>86</v>
      </c>
      <c r="L50" s="44">
        <v>25.35</v>
      </c>
      <c r="M50" s="44">
        <v>158</v>
      </c>
    </row>
    <row r="51" spans="1:13" x14ac:dyDescent="0.25">
      <c r="A51" s="45" t="s">
        <v>1174</v>
      </c>
      <c r="B51" s="44" t="s">
        <v>3656</v>
      </c>
      <c r="C51" s="47">
        <v>44250</v>
      </c>
      <c r="D51" s="44">
        <v>202104</v>
      </c>
      <c r="E51" s="44">
        <v>24.4</v>
      </c>
      <c r="F51" s="44">
        <v>25.45</v>
      </c>
      <c r="G51" s="44">
        <v>24.4</v>
      </c>
      <c r="H51" s="44">
        <v>25.35</v>
      </c>
      <c r="I51" s="44">
        <v>0.75</v>
      </c>
      <c r="J51" s="44">
        <v>3.05</v>
      </c>
      <c r="K51" s="44">
        <v>86</v>
      </c>
      <c r="L51" s="44">
        <v>25.35</v>
      </c>
      <c r="M51" s="44">
        <v>158</v>
      </c>
    </row>
    <row r="52" spans="1:13" x14ac:dyDescent="0.25">
      <c r="A52" s="45" t="s">
        <v>1175</v>
      </c>
      <c r="C52" s="47"/>
    </row>
    <row r="53" spans="1:13" x14ac:dyDescent="0.25">
      <c r="A53" s="45" t="s">
        <v>1176</v>
      </c>
      <c r="C53" s="47"/>
    </row>
    <row r="54" spans="1:13" x14ac:dyDescent="0.25">
      <c r="A54" s="45" t="s">
        <v>1177</v>
      </c>
      <c r="B54" s="44" t="s">
        <v>3657</v>
      </c>
      <c r="C54" s="47">
        <v>44250</v>
      </c>
      <c r="D54" s="44">
        <v>202103</v>
      </c>
      <c r="E54" s="44">
        <v>24.7</v>
      </c>
      <c r="F54" s="44">
        <v>25.55</v>
      </c>
      <c r="G54" s="44">
        <v>24.7</v>
      </c>
      <c r="H54" s="44">
        <v>25.35</v>
      </c>
      <c r="I54" s="44">
        <v>0.75</v>
      </c>
      <c r="J54" s="44">
        <v>3.05</v>
      </c>
      <c r="K54" s="44">
        <v>419</v>
      </c>
      <c r="L54" s="44">
        <v>25.35</v>
      </c>
      <c r="M54" s="44">
        <v>893</v>
      </c>
    </row>
    <row r="55" spans="1:13" x14ac:dyDescent="0.25">
      <c r="A55" s="45" t="s">
        <v>1178</v>
      </c>
      <c r="B55" s="44" t="s">
        <v>3658</v>
      </c>
      <c r="C55" s="47">
        <v>44250</v>
      </c>
      <c r="D55" s="44">
        <v>202106</v>
      </c>
      <c r="E55" s="44">
        <v>25.35</v>
      </c>
      <c r="F55" s="44">
        <v>25.35</v>
      </c>
      <c r="G55" s="44">
        <v>25.35</v>
      </c>
      <c r="H55" s="44">
        <v>25.35</v>
      </c>
      <c r="I55" s="44">
        <v>0.75</v>
      </c>
      <c r="J55" s="44">
        <v>3.05</v>
      </c>
      <c r="K55" s="44">
        <v>0</v>
      </c>
      <c r="L55" s="44">
        <v>25.35</v>
      </c>
      <c r="M55" s="44">
        <v>5</v>
      </c>
    </row>
    <row r="56" spans="1:13" x14ac:dyDescent="0.25">
      <c r="A56" s="45" t="s">
        <v>1179</v>
      </c>
      <c r="B56" s="44" t="s">
        <v>3659</v>
      </c>
      <c r="C56" s="47">
        <v>44250</v>
      </c>
      <c r="D56" s="44">
        <v>202109</v>
      </c>
      <c r="E56" s="44">
        <v>24.75</v>
      </c>
      <c r="F56" s="44">
        <v>24.75</v>
      </c>
      <c r="G56" s="44">
        <v>24.75</v>
      </c>
      <c r="H56" s="44">
        <v>24.75</v>
      </c>
      <c r="I56" s="44">
        <v>0.75</v>
      </c>
      <c r="J56" s="44">
        <v>3.13</v>
      </c>
      <c r="K56" s="44">
        <v>0</v>
      </c>
      <c r="L56" s="44">
        <v>24.75</v>
      </c>
      <c r="M56" s="44">
        <v>11</v>
      </c>
    </row>
    <row r="57" spans="1:13" x14ac:dyDescent="0.25">
      <c r="A57" s="45" t="s">
        <v>1180</v>
      </c>
      <c r="B57" s="44" t="s">
        <v>3660</v>
      </c>
      <c r="C57" s="47">
        <v>44250</v>
      </c>
      <c r="D57" s="44">
        <v>202112</v>
      </c>
      <c r="E57" s="44">
        <v>25.4</v>
      </c>
      <c r="F57" s="44">
        <v>25.4</v>
      </c>
      <c r="G57" s="44">
        <v>25.4</v>
      </c>
      <c r="H57" s="44">
        <v>25.4</v>
      </c>
      <c r="I57" s="44">
        <v>0.75</v>
      </c>
      <c r="J57" s="44">
        <v>3.04</v>
      </c>
      <c r="K57" s="44">
        <v>0</v>
      </c>
      <c r="L57" s="44">
        <v>25.4</v>
      </c>
      <c r="M57" s="44">
        <v>0</v>
      </c>
    </row>
    <row r="58" spans="1:13" x14ac:dyDescent="0.25">
      <c r="A58" s="45" t="s">
        <v>923</v>
      </c>
      <c r="B58" s="44" t="s">
        <v>3661</v>
      </c>
      <c r="C58" s="47">
        <v>44250</v>
      </c>
      <c r="D58" s="44">
        <v>202103</v>
      </c>
      <c r="E58" s="44">
        <v>55</v>
      </c>
      <c r="F58" s="44">
        <v>56.4</v>
      </c>
      <c r="G58" s="44">
        <v>54.3</v>
      </c>
      <c r="H58" s="44">
        <v>56.1</v>
      </c>
      <c r="I58" s="44">
        <v>-0.9</v>
      </c>
      <c r="J58" s="44">
        <v>-1.58</v>
      </c>
      <c r="K58" s="44">
        <v>17554</v>
      </c>
      <c r="L58" s="44">
        <v>56</v>
      </c>
      <c r="M58" s="44">
        <v>26101</v>
      </c>
    </row>
    <row r="59" spans="1:13" x14ac:dyDescent="0.25">
      <c r="A59" s="45" t="s">
        <v>1181</v>
      </c>
      <c r="B59" s="44" t="s">
        <v>3662</v>
      </c>
      <c r="C59" s="47">
        <v>44250</v>
      </c>
      <c r="D59" s="44">
        <v>202103</v>
      </c>
      <c r="E59" s="44">
        <v>55</v>
      </c>
      <c r="F59" s="44">
        <v>56.4</v>
      </c>
      <c r="G59" s="44">
        <v>54.3</v>
      </c>
      <c r="H59" s="44">
        <v>56.1</v>
      </c>
      <c r="I59" s="44">
        <v>-0.9</v>
      </c>
      <c r="J59" s="44">
        <v>-1.58</v>
      </c>
      <c r="K59" s="44">
        <v>17554</v>
      </c>
      <c r="L59" s="44">
        <v>56</v>
      </c>
      <c r="M59" s="44">
        <v>26101</v>
      </c>
    </row>
    <row r="60" spans="1:13" x14ac:dyDescent="0.25">
      <c r="A60" s="45" t="s">
        <v>1182</v>
      </c>
      <c r="B60" s="44" t="s">
        <v>3663</v>
      </c>
      <c r="C60" s="47">
        <v>44250</v>
      </c>
      <c r="D60" s="44">
        <v>202104</v>
      </c>
      <c r="E60" s="44">
        <v>55.7</v>
      </c>
      <c r="F60" s="44">
        <v>56.3</v>
      </c>
      <c r="G60" s="44">
        <v>54.5</v>
      </c>
      <c r="H60" s="44">
        <v>55.9</v>
      </c>
      <c r="I60" s="44">
        <v>-1.1000000000000001</v>
      </c>
      <c r="J60" s="44">
        <v>-1.93</v>
      </c>
      <c r="K60" s="44">
        <v>1359</v>
      </c>
      <c r="L60" s="44">
        <v>55.9</v>
      </c>
      <c r="M60" s="44">
        <v>1054</v>
      </c>
    </row>
    <row r="61" spans="1:13" x14ac:dyDescent="0.25">
      <c r="A61" s="45" t="s">
        <v>1183</v>
      </c>
      <c r="B61" s="44" t="s">
        <v>3664</v>
      </c>
      <c r="C61" s="47">
        <v>44250</v>
      </c>
      <c r="D61" s="44">
        <v>202104</v>
      </c>
      <c r="E61" s="44">
        <v>55.7</v>
      </c>
      <c r="F61" s="44">
        <v>56.3</v>
      </c>
      <c r="G61" s="44">
        <v>54.5</v>
      </c>
      <c r="H61" s="44">
        <v>55.9</v>
      </c>
      <c r="I61" s="44">
        <v>-1.1000000000000001</v>
      </c>
      <c r="J61" s="44">
        <v>-1.93</v>
      </c>
      <c r="K61" s="44">
        <v>1359</v>
      </c>
      <c r="L61" s="44">
        <v>55.9</v>
      </c>
      <c r="M61" s="44">
        <v>1054</v>
      </c>
    </row>
    <row r="62" spans="1:13" x14ac:dyDescent="0.25">
      <c r="A62" s="45" t="s">
        <v>1184</v>
      </c>
      <c r="C62" s="47"/>
    </row>
    <row r="63" spans="1:13" x14ac:dyDescent="0.25">
      <c r="A63" s="45" t="s">
        <v>1185</v>
      </c>
      <c r="C63" s="47"/>
    </row>
    <row r="64" spans="1:13" x14ac:dyDescent="0.25">
      <c r="A64" s="45" t="s">
        <v>1186</v>
      </c>
      <c r="C64" s="47"/>
    </row>
    <row r="65" spans="1:13" x14ac:dyDescent="0.25">
      <c r="A65" s="45" t="s">
        <v>1187</v>
      </c>
      <c r="C65" s="47"/>
    </row>
    <row r="66" spans="1:13" x14ac:dyDescent="0.25">
      <c r="A66" s="45" t="s">
        <v>1188</v>
      </c>
      <c r="C66" s="47"/>
    </row>
    <row r="67" spans="1:13" x14ac:dyDescent="0.25">
      <c r="A67" s="45" t="s">
        <v>1189</v>
      </c>
      <c r="B67" s="44" t="s">
        <v>3665</v>
      </c>
      <c r="C67" s="47">
        <v>44250</v>
      </c>
      <c r="D67" s="44">
        <v>202103</v>
      </c>
      <c r="E67" s="44">
        <v>55</v>
      </c>
      <c r="F67" s="44">
        <v>56.4</v>
      </c>
      <c r="G67" s="44">
        <v>54.3</v>
      </c>
      <c r="H67" s="44">
        <v>56.1</v>
      </c>
      <c r="I67" s="44">
        <v>-0.9</v>
      </c>
      <c r="J67" s="44">
        <v>-1.58</v>
      </c>
      <c r="K67" s="44">
        <v>17554</v>
      </c>
      <c r="L67" s="44">
        <v>56</v>
      </c>
      <c r="M67" s="44">
        <v>26101</v>
      </c>
    </row>
    <row r="68" spans="1:13" x14ac:dyDescent="0.25">
      <c r="A68" s="45" t="s">
        <v>1190</v>
      </c>
      <c r="B68" s="44" t="s">
        <v>3666</v>
      </c>
      <c r="C68" s="47">
        <v>44250</v>
      </c>
      <c r="D68" s="44" t="s">
        <v>5788</v>
      </c>
      <c r="E68" s="44">
        <v>-0.32</v>
      </c>
      <c r="F68" s="44">
        <v>-0.32</v>
      </c>
      <c r="G68" s="44">
        <v>-0.32</v>
      </c>
      <c r="H68" s="44">
        <v>-0.32</v>
      </c>
      <c r="K68" s="44">
        <v>10</v>
      </c>
    </row>
    <row r="69" spans="1:13" x14ac:dyDescent="0.25">
      <c r="A69" s="45" t="s">
        <v>1191</v>
      </c>
      <c r="C69" s="47"/>
    </row>
    <row r="70" spans="1:13" x14ac:dyDescent="0.25">
      <c r="A70" s="45" t="s">
        <v>1192</v>
      </c>
      <c r="B70" s="44" t="s">
        <v>3667</v>
      </c>
      <c r="C70" s="47">
        <v>44250</v>
      </c>
      <c r="D70" s="44">
        <v>202106</v>
      </c>
      <c r="E70" s="44">
        <v>54</v>
      </c>
      <c r="F70" s="44">
        <v>55.9</v>
      </c>
      <c r="G70" s="44">
        <v>54</v>
      </c>
      <c r="H70" s="44">
        <v>55.8</v>
      </c>
      <c r="I70" s="44">
        <v>-1.2</v>
      </c>
      <c r="J70" s="44">
        <v>-2.11</v>
      </c>
      <c r="K70" s="44">
        <v>78</v>
      </c>
      <c r="L70" s="44">
        <v>55.8</v>
      </c>
      <c r="M70" s="44">
        <v>6277</v>
      </c>
    </row>
    <row r="71" spans="1:13" x14ac:dyDescent="0.25">
      <c r="A71" s="45" t="s">
        <v>1193</v>
      </c>
      <c r="C71" s="47"/>
    </row>
    <row r="72" spans="1:13" x14ac:dyDescent="0.25">
      <c r="A72" s="45" t="s">
        <v>1194</v>
      </c>
      <c r="B72" s="44" t="s">
        <v>3668</v>
      </c>
      <c r="C72" s="47">
        <v>44250</v>
      </c>
      <c r="D72" s="44">
        <v>202109</v>
      </c>
      <c r="E72" s="44">
        <v>56</v>
      </c>
      <c r="F72" s="44">
        <v>56</v>
      </c>
      <c r="G72" s="44">
        <v>56</v>
      </c>
      <c r="H72" s="44">
        <v>56</v>
      </c>
      <c r="I72" s="44">
        <v>-1</v>
      </c>
      <c r="J72" s="44">
        <v>-1.75</v>
      </c>
      <c r="K72" s="44">
        <v>0</v>
      </c>
      <c r="L72" s="44">
        <v>56</v>
      </c>
      <c r="M72" s="44">
        <v>544</v>
      </c>
    </row>
    <row r="73" spans="1:13" x14ac:dyDescent="0.25">
      <c r="A73" s="45" t="s">
        <v>1195</v>
      </c>
      <c r="C73" s="47"/>
    </row>
    <row r="74" spans="1:13" x14ac:dyDescent="0.25">
      <c r="A74" s="45" t="s">
        <v>1196</v>
      </c>
      <c r="B74" s="44" t="s">
        <v>3669</v>
      </c>
      <c r="C74" s="47">
        <v>44250</v>
      </c>
      <c r="D74" s="44">
        <v>202112</v>
      </c>
      <c r="E74" s="44">
        <v>54.2</v>
      </c>
      <c r="F74" s="44">
        <v>54.2</v>
      </c>
      <c r="G74" s="44">
        <v>54.2</v>
      </c>
      <c r="H74" s="44">
        <v>54.2</v>
      </c>
      <c r="I74" s="44">
        <v>-2.2000000000000002</v>
      </c>
      <c r="J74" s="44">
        <v>-3.9</v>
      </c>
      <c r="K74" s="44">
        <v>1</v>
      </c>
      <c r="L74" s="44">
        <v>55.2</v>
      </c>
      <c r="M74" s="44">
        <v>4</v>
      </c>
    </row>
    <row r="75" spans="1:13" x14ac:dyDescent="0.25">
      <c r="A75" s="45" t="s">
        <v>932</v>
      </c>
      <c r="B75" s="44" t="s">
        <v>3670</v>
      </c>
      <c r="C75" s="47">
        <v>44250</v>
      </c>
      <c r="D75" s="44">
        <v>202103</v>
      </c>
      <c r="E75" s="44">
        <v>640</v>
      </c>
      <c r="F75" s="44">
        <v>643</v>
      </c>
      <c r="G75" s="44">
        <v>634</v>
      </c>
      <c r="H75" s="44">
        <v>641</v>
      </c>
      <c r="I75" s="44">
        <v>-10</v>
      </c>
      <c r="J75" s="44">
        <v>-1.54</v>
      </c>
      <c r="K75" s="44">
        <v>10121</v>
      </c>
      <c r="L75" s="44">
        <v>641</v>
      </c>
      <c r="M75" s="44">
        <v>17947</v>
      </c>
    </row>
    <row r="76" spans="1:13" x14ac:dyDescent="0.25">
      <c r="A76" s="45" t="s">
        <v>1197</v>
      </c>
      <c r="B76" s="44" t="s">
        <v>3671</v>
      </c>
      <c r="C76" s="47">
        <v>44250</v>
      </c>
      <c r="D76" s="44">
        <v>202103</v>
      </c>
      <c r="E76" s="44">
        <v>640</v>
      </c>
      <c r="F76" s="44">
        <v>643</v>
      </c>
      <c r="G76" s="44">
        <v>634</v>
      </c>
      <c r="H76" s="44">
        <v>641</v>
      </c>
      <c r="I76" s="44">
        <v>-10</v>
      </c>
      <c r="J76" s="44">
        <v>-1.54</v>
      </c>
      <c r="K76" s="44">
        <v>10121</v>
      </c>
      <c r="L76" s="44">
        <v>641</v>
      </c>
      <c r="M76" s="44">
        <v>17947</v>
      </c>
    </row>
    <row r="77" spans="1:13" x14ac:dyDescent="0.25">
      <c r="A77" s="45" t="s">
        <v>1198</v>
      </c>
      <c r="B77" s="44" t="s">
        <v>3672</v>
      </c>
      <c r="C77" s="47">
        <v>44250</v>
      </c>
      <c r="D77" s="44">
        <v>202104</v>
      </c>
      <c r="E77" s="44">
        <v>641</v>
      </c>
      <c r="F77" s="44">
        <v>642</v>
      </c>
      <c r="G77" s="44">
        <v>633</v>
      </c>
      <c r="H77" s="44">
        <v>640</v>
      </c>
      <c r="I77" s="44">
        <v>-10</v>
      </c>
      <c r="J77" s="44">
        <v>-1.54</v>
      </c>
      <c r="K77" s="44">
        <v>2916</v>
      </c>
      <c r="L77" s="44">
        <v>640</v>
      </c>
      <c r="M77" s="44">
        <v>2722</v>
      </c>
    </row>
    <row r="78" spans="1:13" x14ac:dyDescent="0.25">
      <c r="A78" s="45" t="s">
        <v>1199</v>
      </c>
      <c r="B78" s="44" t="s">
        <v>3673</v>
      </c>
      <c r="C78" s="47">
        <v>44250</v>
      </c>
      <c r="D78" s="44">
        <v>202104</v>
      </c>
      <c r="E78" s="44">
        <v>641</v>
      </c>
      <c r="F78" s="44">
        <v>642</v>
      </c>
      <c r="G78" s="44">
        <v>633</v>
      </c>
      <c r="H78" s="44">
        <v>640</v>
      </c>
      <c r="I78" s="44">
        <v>-10</v>
      </c>
      <c r="J78" s="44">
        <v>-1.54</v>
      </c>
      <c r="K78" s="44">
        <v>2916</v>
      </c>
      <c r="L78" s="44">
        <v>640</v>
      </c>
      <c r="M78" s="44">
        <v>2722</v>
      </c>
    </row>
    <row r="79" spans="1:13" x14ac:dyDescent="0.25">
      <c r="A79" s="45" t="s">
        <v>1200</v>
      </c>
      <c r="C79" s="47"/>
    </row>
    <row r="80" spans="1:13" x14ac:dyDescent="0.25">
      <c r="A80" s="45" t="s">
        <v>1201</v>
      </c>
      <c r="C80" s="47"/>
    </row>
    <row r="81" spans="1:13" x14ac:dyDescent="0.25">
      <c r="A81" s="45" t="s">
        <v>1202</v>
      </c>
      <c r="C81" s="47"/>
    </row>
    <row r="82" spans="1:13" x14ac:dyDescent="0.25">
      <c r="A82" s="45" t="s">
        <v>1203</v>
      </c>
      <c r="C82" s="47"/>
    </row>
    <row r="83" spans="1:13" x14ac:dyDescent="0.25">
      <c r="A83" s="45" t="s">
        <v>1204</v>
      </c>
      <c r="C83" s="47"/>
    </row>
    <row r="84" spans="1:13" x14ac:dyDescent="0.25">
      <c r="A84" s="45" t="s">
        <v>1205</v>
      </c>
      <c r="B84" s="44" t="s">
        <v>3674</v>
      </c>
      <c r="C84" s="47">
        <v>44250</v>
      </c>
      <c r="D84" s="44">
        <v>202103</v>
      </c>
      <c r="E84" s="44">
        <v>640</v>
      </c>
      <c r="F84" s="44">
        <v>643</v>
      </c>
      <c r="G84" s="44">
        <v>634</v>
      </c>
      <c r="H84" s="44">
        <v>641</v>
      </c>
      <c r="I84" s="44">
        <v>-10</v>
      </c>
      <c r="J84" s="44">
        <v>-1.54</v>
      </c>
      <c r="K84" s="44">
        <v>10121</v>
      </c>
      <c r="L84" s="44">
        <v>641</v>
      </c>
      <c r="M84" s="44">
        <v>17947</v>
      </c>
    </row>
    <row r="85" spans="1:13" x14ac:dyDescent="0.25">
      <c r="A85" s="45" t="s">
        <v>1206</v>
      </c>
      <c r="B85" s="44" t="s">
        <v>3675</v>
      </c>
      <c r="C85" s="47">
        <v>44250</v>
      </c>
      <c r="D85" s="44" t="s">
        <v>5788</v>
      </c>
      <c r="E85" s="44">
        <v>-4.46</v>
      </c>
      <c r="F85" s="44">
        <v>-4.2</v>
      </c>
      <c r="G85" s="44">
        <v>-4.47</v>
      </c>
      <c r="H85" s="44">
        <v>-4.47</v>
      </c>
      <c r="K85" s="44">
        <v>73</v>
      </c>
    </row>
    <row r="86" spans="1:13" x14ac:dyDescent="0.25">
      <c r="A86" s="45" t="s">
        <v>1207</v>
      </c>
      <c r="B86" s="44" t="s">
        <v>3676</v>
      </c>
      <c r="C86" s="47">
        <v>44250</v>
      </c>
      <c r="D86" s="44" t="s">
        <v>5789</v>
      </c>
      <c r="E86" s="44">
        <v>-9.0500000000000007</v>
      </c>
      <c r="F86" s="44">
        <v>-8.73</v>
      </c>
      <c r="G86" s="44">
        <v>-9.19</v>
      </c>
      <c r="H86" s="44">
        <v>-9.19</v>
      </c>
      <c r="K86" s="44">
        <v>24</v>
      </c>
    </row>
    <row r="87" spans="1:13" x14ac:dyDescent="0.25">
      <c r="A87" s="45" t="s">
        <v>1208</v>
      </c>
      <c r="B87" s="44" t="s">
        <v>3677</v>
      </c>
      <c r="C87" s="47">
        <v>44250</v>
      </c>
      <c r="D87" s="44" t="s">
        <v>5792</v>
      </c>
      <c r="E87" s="44">
        <v>-13.26</v>
      </c>
      <c r="F87" s="44">
        <v>-13.26</v>
      </c>
      <c r="G87" s="44">
        <v>-13.67</v>
      </c>
      <c r="H87" s="44">
        <v>-13.67</v>
      </c>
      <c r="K87" s="44">
        <v>29</v>
      </c>
    </row>
    <row r="88" spans="1:13" x14ac:dyDescent="0.25">
      <c r="A88" s="45" t="s">
        <v>1209</v>
      </c>
      <c r="B88" s="44" t="s">
        <v>3678</v>
      </c>
      <c r="C88" s="47">
        <v>44250</v>
      </c>
      <c r="D88" s="44">
        <v>202106</v>
      </c>
      <c r="E88" s="44">
        <v>635</v>
      </c>
      <c r="F88" s="44">
        <v>638</v>
      </c>
      <c r="G88" s="44">
        <v>630</v>
      </c>
      <c r="H88" s="44">
        <v>636</v>
      </c>
      <c r="I88" s="44">
        <v>-10</v>
      </c>
      <c r="J88" s="44">
        <v>-1.55</v>
      </c>
      <c r="K88" s="44">
        <v>286</v>
      </c>
      <c r="L88" s="44">
        <v>637</v>
      </c>
      <c r="M88" s="44">
        <v>2764</v>
      </c>
    </row>
    <row r="89" spans="1:13" x14ac:dyDescent="0.25">
      <c r="A89" s="45" t="s">
        <v>1210</v>
      </c>
      <c r="B89" s="44" t="s">
        <v>3679</v>
      </c>
      <c r="C89" s="47">
        <v>44250</v>
      </c>
      <c r="D89" s="44" t="s">
        <v>5790</v>
      </c>
      <c r="E89" s="44">
        <v>-4.5199999999999996</v>
      </c>
      <c r="F89" s="44">
        <v>-4.4400000000000004</v>
      </c>
      <c r="G89" s="44">
        <v>-4.5199999999999996</v>
      </c>
      <c r="H89" s="44">
        <v>-4.46</v>
      </c>
      <c r="K89" s="44">
        <v>37</v>
      </c>
    </row>
    <row r="90" spans="1:13" x14ac:dyDescent="0.25">
      <c r="A90" s="45" t="s">
        <v>1211</v>
      </c>
      <c r="B90" s="44" t="s">
        <v>3680</v>
      </c>
      <c r="C90" s="47">
        <v>44250</v>
      </c>
      <c r="D90" s="44" t="s">
        <v>5793</v>
      </c>
      <c r="E90" s="44">
        <v>0</v>
      </c>
      <c r="F90" s="44">
        <v>0</v>
      </c>
      <c r="G90" s="44">
        <v>0</v>
      </c>
      <c r="H90" s="44">
        <v>0</v>
      </c>
      <c r="K90" s="44">
        <v>0</v>
      </c>
    </row>
    <row r="91" spans="1:13" x14ac:dyDescent="0.25">
      <c r="A91" s="45" t="s">
        <v>1212</v>
      </c>
      <c r="B91" s="44" t="s">
        <v>3681</v>
      </c>
      <c r="C91" s="47">
        <v>44250</v>
      </c>
      <c r="D91" s="44">
        <v>202109</v>
      </c>
      <c r="E91" s="44">
        <v>630</v>
      </c>
      <c r="F91" s="44">
        <v>634</v>
      </c>
      <c r="G91" s="44">
        <v>625</v>
      </c>
      <c r="H91" s="44">
        <v>632</v>
      </c>
      <c r="I91" s="44">
        <v>-10</v>
      </c>
      <c r="J91" s="44">
        <v>-1.56</v>
      </c>
      <c r="K91" s="44">
        <v>516</v>
      </c>
      <c r="L91" s="44">
        <v>632</v>
      </c>
      <c r="M91" s="44">
        <v>2883</v>
      </c>
    </row>
    <row r="92" spans="1:13" x14ac:dyDescent="0.25">
      <c r="A92" s="45" t="s">
        <v>1213</v>
      </c>
      <c r="B92" s="44" t="s">
        <v>3682</v>
      </c>
      <c r="C92" s="47">
        <v>44250</v>
      </c>
      <c r="D92" s="44" t="s">
        <v>5791</v>
      </c>
      <c r="E92" s="44">
        <v>-4.5199999999999996</v>
      </c>
      <c r="F92" s="44">
        <v>-4.5199999999999996</v>
      </c>
      <c r="G92" s="44">
        <v>-4.53</v>
      </c>
      <c r="H92" s="44">
        <v>-4.5199999999999996</v>
      </c>
      <c r="K92" s="44">
        <v>30</v>
      </c>
    </row>
    <row r="93" spans="1:13" x14ac:dyDescent="0.25">
      <c r="A93" s="45" t="s">
        <v>1214</v>
      </c>
      <c r="B93" s="44" t="s">
        <v>3683</v>
      </c>
      <c r="C93" s="47">
        <v>44250</v>
      </c>
      <c r="D93" s="44">
        <v>202112</v>
      </c>
      <c r="E93" s="44">
        <v>624</v>
      </c>
      <c r="F93" s="44">
        <v>629</v>
      </c>
      <c r="G93" s="44">
        <v>621</v>
      </c>
      <c r="H93" s="44">
        <v>627</v>
      </c>
      <c r="I93" s="44">
        <v>-10</v>
      </c>
      <c r="J93" s="44">
        <v>-1.57</v>
      </c>
      <c r="K93" s="44">
        <v>240</v>
      </c>
      <c r="L93" s="44">
        <v>627</v>
      </c>
      <c r="M93" s="44">
        <v>1595</v>
      </c>
    </row>
    <row r="94" spans="1:13" x14ac:dyDescent="0.25">
      <c r="A94" s="45" t="s">
        <v>986</v>
      </c>
      <c r="B94" s="44" t="s">
        <v>3684</v>
      </c>
      <c r="C94" s="47">
        <v>44250</v>
      </c>
      <c r="D94" s="44">
        <v>202103</v>
      </c>
      <c r="E94" s="44">
        <v>49</v>
      </c>
      <c r="F94" s="44">
        <v>50.1</v>
      </c>
      <c r="G94" s="44">
        <v>49</v>
      </c>
      <c r="H94" s="44">
        <v>50</v>
      </c>
      <c r="I94" s="44">
        <v>0.85</v>
      </c>
      <c r="J94" s="44">
        <v>1.73</v>
      </c>
      <c r="K94" s="44">
        <v>494</v>
      </c>
      <c r="L94" s="44">
        <v>50</v>
      </c>
      <c r="M94" s="44">
        <v>1447</v>
      </c>
    </row>
    <row r="95" spans="1:13" x14ac:dyDescent="0.25">
      <c r="A95" s="45" t="s">
        <v>1215</v>
      </c>
      <c r="B95" s="44" t="s">
        <v>3685</v>
      </c>
      <c r="C95" s="47">
        <v>44250</v>
      </c>
      <c r="D95" s="44">
        <v>202103</v>
      </c>
      <c r="E95" s="44">
        <v>49</v>
      </c>
      <c r="F95" s="44">
        <v>50.1</v>
      </c>
      <c r="G95" s="44">
        <v>49</v>
      </c>
      <c r="H95" s="44">
        <v>50</v>
      </c>
      <c r="I95" s="44">
        <v>0.85</v>
      </c>
      <c r="J95" s="44">
        <v>1.73</v>
      </c>
      <c r="K95" s="44">
        <v>494</v>
      </c>
      <c r="L95" s="44">
        <v>50</v>
      </c>
      <c r="M95" s="44">
        <v>1447</v>
      </c>
    </row>
    <row r="96" spans="1:13" x14ac:dyDescent="0.25">
      <c r="A96" s="45" t="s">
        <v>1216</v>
      </c>
      <c r="B96" s="44" t="s">
        <v>3686</v>
      </c>
      <c r="C96" s="47">
        <v>44250</v>
      </c>
      <c r="D96" s="44">
        <v>202104</v>
      </c>
      <c r="E96" s="44">
        <v>48.95</v>
      </c>
      <c r="F96" s="44">
        <v>50</v>
      </c>
      <c r="G96" s="44">
        <v>48.95</v>
      </c>
      <c r="H96" s="44">
        <v>49.9</v>
      </c>
      <c r="I96" s="44">
        <v>0.75</v>
      </c>
      <c r="J96" s="44">
        <v>1.53</v>
      </c>
      <c r="K96" s="44">
        <v>255</v>
      </c>
      <c r="L96" s="44">
        <v>49.9</v>
      </c>
      <c r="M96" s="44">
        <v>552</v>
      </c>
    </row>
    <row r="97" spans="1:13" x14ac:dyDescent="0.25">
      <c r="A97" s="45" t="s">
        <v>1217</v>
      </c>
      <c r="B97" s="44" t="s">
        <v>3687</v>
      </c>
      <c r="C97" s="47">
        <v>44250</v>
      </c>
      <c r="D97" s="44">
        <v>202104</v>
      </c>
      <c r="E97" s="44">
        <v>48.95</v>
      </c>
      <c r="F97" s="44">
        <v>50</v>
      </c>
      <c r="G97" s="44">
        <v>48.95</v>
      </c>
      <c r="H97" s="44">
        <v>49.9</v>
      </c>
      <c r="I97" s="44">
        <v>0.75</v>
      </c>
      <c r="J97" s="44">
        <v>1.53</v>
      </c>
      <c r="K97" s="44">
        <v>255</v>
      </c>
      <c r="L97" s="44">
        <v>49.9</v>
      </c>
      <c r="M97" s="44">
        <v>552</v>
      </c>
    </row>
    <row r="98" spans="1:13" x14ac:dyDescent="0.25">
      <c r="A98" s="45" t="s">
        <v>1218</v>
      </c>
      <c r="C98" s="47"/>
    </row>
    <row r="99" spans="1:13" x14ac:dyDescent="0.25">
      <c r="A99" s="45" t="s">
        <v>1219</v>
      </c>
      <c r="C99" s="47"/>
    </row>
    <row r="100" spans="1:13" x14ac:dyDescent="0.25">
      <c r="A100" s="45" t="s">
        <v>1220</v>
      </c>
      <c r="C100" s="47"/>
    </row>
    <row r="101" spans="1:13" x14ac:dyDescent="0.25">
      <c r="A101" s="45" t="s">
        <v>1221</v>
      </c>
      <c r="B101" s="44" t="s">
        <v>3688</v>
      </c>
      <c r="C101" s="47">
        <v>44250</v>
      </c>
      <c r="D101" s="44">
        <v>202103</v>
      </c>
      <c r="E101" s="44">
        <v>49</v>
      </c>
      <c r="F101" s="44">
        <v>50.1</v>
      </c>
      <c r="G101" s="44">
        <v>49</v>
      </c>
      <c r="H101" s="44">
        <v>50</v>
      </c>
      <c r="I101" s="44">
        <v>0.85</v>
      </c>
      <c r="J101" s="44">
        <v>1.73</v>
      </c>
      <c r="K101" s="44">
        <v>494</v>
      </c>
      <c r="L101" s="44">
        <v>50</v>
      </c>
      <c r="M101" s="44">
        <v>1447</v>
      </c>
    </row>
    <row r="102" spans="1:13" x14ac:dyDescent="0.25">
      <c r="A102" s="45" t="s">
        <v>1222</v>
      </c>
      <c r="B102" s="44" t="s">
        <v>3689</v>
      </c>
      <c r="C102" s="47">
        <v>44250</v>
      </c>
      <c r="D102" s="44">
        <v>202106</v>
      </c>
      <c r="E102" s="44">
        <v>49.95</v>
      </c>
      <c r="F102" s="44">
        <v>49.95</v>
      </c>
      <c r="G102" s="44">
        <v>49.95</v>
      </c>
      <c r="H102" s="44">
        <v>49.95</v>
      </c>
      <c r="I102" s="44">
        <v>0.85</v>
      </c>
      <c r="J102" s="44">
        <v>1.73</v>
      </c>
      <c r="K102" s="44">
        <v>0</v>
      </c>
      <c r="L102" s="44">
        <v>49.95</v>
      </c>
      <c r="M102" s="44">
        <v>138</v>
      </c>
    </row>
    <row r="103" spans="1:13" x14ac:dyDescent="0.25">
      <c r="A103" s="45" t="s">
        <v>1223</v>
      </c>
      <c r="B103" s="44" t="s">
        <v>3690</v>
      </c>
      <c r="C103" s="47">
        <v>44250</v>
      </c>
      <c r="D103" s="44">
        <v>202109</v>
      </c>
      <c r="E103" s="44">
        <v>49.8</v>
      </c>
      <c r="F103" s="44">
        <v>49.8</v>
      </c>
      <c r="G103" s="44">
        <v>49.8</v>
      </c>
      <c r="H103" s="44">
        <v>49.8</v>
      </c>
      <c r="I103" s="44">
        <v>0.85</v>
      </c>
      <c r="J103" s="44">
        <v>1.74</v>
      </c>
      <c r="K103" s="44">
        <v>0</v>
      </c>
      <c r="L103" s="44">
        <v>49.8</v>
      </c>
      <c r="M103" s="44">
        <v>16</v>
      </c>
    </row>
    <row r="104" spans="1:13" x14ac:dyDescent="0.25">
      <c r="A104" s="45" t="s">
        <v>1224</v>
      </c>
      <c r="B104" s="44" t="s">
        <v>3691</v>
      </c>
      <c r="C104" s="47">
        <v>44250</v>
      </c>
      <c r="D104" s="44">
        <v>202112</v>
      </c>
      <c r="E104" s="44">
        <v>49.65</v>
      </c>
      <c r="F104" s="44">
        <v>49.65</v>
      </c>
      <c r="G104" s="44">
        <v>49.65</v>
      </c>
      <c r="H104" s="44">
        <v>49.65</v>
      </c>
      <c r="I104" s="44">
        <v>0.85</v>
      </c>
      <c r="J104" s="44">
        <v>1.74</v>
      </c>
      <c r="K104" s="44">
        <v>0</v>
      </c>
      <c r="L104" s="44">
        <v>49.65</v>
      </c>
      <c r="M104" s="44">
        <v>6</v>
      </c>
    </row>
    <row r="105" spans="1:13" x14ac:dyDescent="0.25">
      <c r="A105" s="45" t="s">
        <v>893</v>
      </c>
      <c r="B105" s="44" t="s">
        <v>3692</v>
      </c>
      <c r="C105" s="47">
        <v>44250</v>
      </c>
      <c r="D105" s="44">
        <v>202103</v>
      </c>
      <c r="E105" s="44">
        <v>97.4</v>
      </c>
      <c r="F105" s="44">
        <v>101</v>
      </c>
      <c r="G105" s="44">
        <v>97.4</v>
      </c>
      <c r="H105" s="44">
        <v>99.6</v>
      </c>
      <c r="I105" s="44">
        <v>2.2000000000000002</v>
      </c>
      <c r="J105" s="44">
        <v>2.2599999999999998</v>
      </c>
      <c r="K105" s="44">
        <v>243</v>
      </c>
      <c r="L105" s="44">
        <v>99.6</v>
      </c>
      <c r="M105" s="44">
        <v>2426</v>
      </c>
    </row>
    <row r="106" spans="1:13" x14ac:dyDescent="0.25">
      <c r="A106" s="45" t="s">
        <v>1225</v>
      </c>
      <c r="B106" s="44" t="s">
        <v>3693</v>
      </c>
      <c r="C106" s="47">
        <v>44250</v>
      </c>
      <c r="D106" s="44">
        <v>202103</v>
      </c>
      <c r="E106" s="44">
        <v>97.4</v>
      </c>
      <c r="F106" s="44">
        <v>101</v>
      </c>
      <c r="G106" s="44">
        <v>97.4</v>
      </c>
      <c r="H106" s="44">
        <v>99.6</v>
      </c>
      <c r="I106" s="44">
        <v>2.2000000000000002</v>
      </c>
      <c r="J106" s="44">
        <v>2.2599999999999998</v>
      </c>
      <c r="K106" s="44">
        <v>243</v>
      </c>
      <c r="L106" s="44">
        <v>99.6</v>
      </c>
      <c r="M106" s="44">
        <v>2426</v>
      </c>
    </row>
    <row r="107" spans="1:13" x14ac:dyDescent="0.25">
      <c r="A107" s="45" t="s">
        <v>1226</v>
      </c>
      <c r="B107" s="44" t="s">
        <v>3694</v>
      </c>
      <c r="C107" s="47">
        <v>44250</v>
      </c>
      <c r="D107" s="44">
        <v>202104</v>
      </c>
      <c r="E107" s="44">
        <v>98</v>
      </c>
      <c r="F107" s="44">
        <v>100</v>
      </c>
      <c r="G107" s="44">
        <v>98</v>
      </c>
      <c r="H107" s="44">
        <v>99.8</v>
      </c>
      <c r="I107" s="44">
        <v>2.8</v>
      </c>
      <c r="J107" s="44">
        <v>2.89</v>
      </c>
      <c r="K107" s="44">
        <v>24</v>
      </c>
      <c r="L107" s="44">
        <v>99.8</v>
      </c>
      <c r="M107" s="44">
        <v>29</v>
      </c>
    </row>
    <row r="108" spans="1:13" x14ac:dyDescent="0.25">
      <c r="A108" s="45" t="s">
        <v>1227</v>
      </c>
      <c r="B108" s="44" t="s">
        <v>3695</v>
      </c>
      <c r="C108" s="47">
        <v>44250</v>
      </c>
      <c r="D108" s="44">
        <v>202104</v>
      </c>
      <c r="E108" s="44">
        <v>98</v>
      </c>
      <c r="F108" s="44">
        <v>100</v>
      </c>
      <c r="G108" s="44">
        <v>98</v>
      </c>
      <c r="H108" s="44">
        <v>99.8</v>
      </c>
      <c r="I108" s="44">
        <v>2.8</v>
      </c>
      <c r="J108" s="44">
        <v>2.89</v>
      </c>
      <c r="K108" s="44">
        <v>24</v>
      </c>
      <c r="L108" s="44">
        <v>99.8</v>
      </c>
      <c r="M108" s="44">
        <v>29</v>
      </c>
    </row>
    <row r="109" spans="1:13" x14ac:dyDescent="0.25">
      <c r="A109" s="45" t="s">
        <v>1228</v>
      </c>
      <c r="C109" s="47"/>
    </row>
    <row r="110" spans="1:13" x14ac:dyDescent="0.25">
      <c r="A110" s="45" t="s">
        <v>1229</v>
      </c>
      <c r="C110" s="47"/>
    </row>
    <row r="111" spans="1:13" x14ac:dyDescent="0.25">
      <c r="A111" s="45" t="s">
        <v>1230</v>
      </c>
      <c r="B111" s="44" t="s">
        <v>3696</v>
      </c>
      <c r="C111" s="47">
        <v>44250</v>
      </c>
      <c r="D111" s="44">
        <v>202103</v>
      </c>
      <c r="E111" s="44">
        <v>97.4</v>
      </c>
      <c r="F111" s="44">
        <v>101</v>
      </c>
      <c r="G111" s="44">
        <v>97.4</v>
      </c>
      <c r="H111" s="44">
        <v>99.6</v>
      </c>
      <c r="I111" s="44">
        <v>2.2000000000000002</v>
      </c>
      <c r="J111" s="44">
        <v>2.2599999999999998</v>
      </c>
      <c r="K111" s="44">
        <v>243</v>
      </c>
      <c r="L111" s="44">
        <v>99.6</v>
      </c>
      <c r="M111" s="44">
        <v>2426</v>
      </c>
    </row>
    <row r="112" spans="1:13" x14ac:dyDescent="0.25">
      <c r="A112" s="45" t="s">
        <v>1231</v>
      </c>
      <c r="B112" s="44" t="s">
        <v>3697</v>
      </c>
      <c r="C112" s="47">
        <v>44250</v>
      </c>
      <c r="D112" s="44">
        <v>202106</v>
      </c>
      <c r="E112" s="44">
        <v>99.3</v>
      </c>
      <c r="F112" s="44">
        <v>99.3</v>
      </c>
      <c r="G112" s="44">
        <v>99.3</v>
      </c>
      <c r="H112" s="44">
        <v>99.3</v>
      </c>
      <c r="I112" s="44">
        <v>2.2000000000000002</v>
      </c>
      <c r="J112" s="44">
        <v>2.27</v>
      </c>
      <c r="K112" s="44">
        <v>0</v>
      </c>
      <c r="L112" s="44">
        <v>99.3</v>
      </c>
      <c r="M112" s="44">
        <v>17</v>
      </c>
    </row>
    <row r="113" spans="1:13" x14ac:dyDescent="0.25">
      <c r="A113" s="45" t="s">
        <v>1232</v>
      </c>
      <c r="B113" s="44" t="s">
        <v>3698</v>
      </c>
      <c r="C113" s="47">
        <v>44250</v>
      </c>
      <c r="D113" s="44">
        <v>202109</v>
      </c>
      <c r="E113" s="44">
        <v>99</v>
      </c>
      <c r="F113" s="44">
        <v>99</v>
      </c>
      <c r="G113" s="44">
        <v>99</v>
      </c>
      <c r="H113" s="44">
        <v>99</v>
      </c>
      <c r="I113" s="44">
        <v>2.2000000000000002</v>
      </c>
      <c r="J113" s="44">
        <v>2.27</v>
      </c>
      <c r="K113" s="44">
        <v>0</v>
      </c>
      <c r="L113" s="44">
        <v>99</v>
      </c>
      <c r="M113" s="44">
        <v>1</v>
      </c>
    </row>
    <row r="114" spans="1:13" x14ac:dyDescent="0.25">
      <c r="A114" s="45" t="s">
        <v>1233</v>
      </c>
      <c r="B114" s="44" t="s">
        <v>3699</v>
      </c>
      <c r="C114" s="47">
        <v>44250</v>
      </c>
      <c r="D114" s="44">
        <v>202112</v>
      </c>
      <c r="E114" s="44">
        <v>99</v>
      </c>
      <c r="F114" s="44">
        <v>99</v>
      </c>
      <c r="G114" s="44">
        <v>99</v>
      </c>
      <c r="H114" s="44">
        <v>99</v>
      </c>
      <c r="I114" s="44">
        <v>2.2000000000000002</v>
      </c>
      <c r="J114" s="44">
        <v>2.27</v>
      </c>
      <c r="K114" s="44">
        <v>0</v>
      </c>
      <c r="L114" s="44">
        <v>99</v>
      </c>
      <c r="M114" s="44">
        <v>0</v>
      </c>
    </row>
    <row r="115" spans="1:13" x14ac:dyDescent="0.25">
      <c r="A115" s="45" t="s">
        <v>928</v>
      </c>
      <c r="B115" s="44" t="s">
        <v>3700</v>
      </c>
      <c r="C115" s="47">
        <v>44250</v>
      </c>
      <c r="D115" s="44">
        <v>202103</v>
      </c>
      <c r="E115" s="44">
        <v>21.85</v>
      </c>
      <c r="F115" s="44">
        <v>21.85</v>
      </c>
      <c r="G115" s="44">
        <v>21.65</v>
      </c>
      <c r="H115" s="44">
        <v>21.75</v>
      </c>
      <c r="I115" s="44">
        <v>-0.05</v>
      </c>
      <c r="J115" s="44">
        <v>-0.23</v>
      </c>
      <c r="K115" s="44">
        <v>35</v>
      </c>
      <c r="L115" s="44">
        <v>21.75</v>
      </c>
      <c r="M115" s="44">
        <v>387</v>
      </c>
    </row>
    <row r="116" spans="1:13" x14ac:dyDescent="0.25">
      <c r="A116" s="45" t="s">
        <v>1234</v>
      </c>
      <c r="B116" s="44" t="s">
        <v>3701</v>
      </c>
      <c r="C116" s="47">
        <v>44250</v>
      </c>
      <c r="D116" s="44">
        <v>202103</v>
      </c>
      <c r="E116" s="44">
        <v>21.85</v>
      </c>
      <c r="F116" s="44">
        <v>21.85</v>
      </c>
      <c r="G116" s="44">
        <v>21.65</v>
      </c>
      <c r="H116" s="44">
        <v>21.75</v>
      </c>
      <c r="I116" s="44">
        <v>-0.05</v>
      </c>
      <c r="J116" s="44">
        <v>-0.23</v>
      </c>
      <c r="K116" s="44">
        <v>35</v>
      </c>
      <c r="L116" s="44">
        <v>21.75</v>
      </c>
      <c r="M116" s="44">
        <v>387</v>
      </c>
    </row>
    <row r="117" spans="1:13" x14ac:dyDescent="0.25">
      <c r="A117" s="45" t="s">
        <v>1235</v>
      </c>
      <c r="B117" s="44" t="s">
        <v>3702</v>
      </c>
      <c r="C117" s="47">
        <v>44250</v>
      </c>
      <c r="D117" s="44">
        <v>202104</v>
      </c>
      <c r="E117" s="44">
        <v>21.85</v>
      </c>
      <c r="F117" s="44">
        <v>21.85</v>
      </c>
      <c r="G117" s="44">
        <v>21.65</v>
      </c>
      <c r="H117" s="44">
        <v>21.75</v>
      </c>
      <c r="I117" s="44">
        <v>-0.05</v>
      </c>
      <c r="J117" s="44">
        <v>-0.23</v>
      </c>
      <c r="K117" s="44">
        <v>5</v>
      </c>
      <c r="L117" s="44">
        <v>21.75</v>
      </c>
      <c r="M117" s="44">
        <v>90</v>
      </c>
    </row>
    <row r="118" spans="1:13" x14ac:dyDescent="0.25">
      <c r="A118" s="45" t="s">
        <v>1236</v>
      </c>
      <c r="B118" s="44" t="s">
        <v>3703</v>
      </c>
      <c r="C118" s="47">
        <v>44250</v>
      </c>
      <c r="D118" s="44">
        <v>202104</v>
      </c>
      <c r="E118" s="44">
        <v>21.85</v>
      </c>
      <c r="F118" s="44">
        <v>21.85</v>
      </c>
      <c r="G118" s="44">
        <v>21.65</v>
      </c>
      <c r="H118" s="44">
        <v>21.75</v>
      </c>
      <c r="I118" s="44">
        <v>-0.05</v>
      </c>
      <c r="J118" s="44">
        <v>-0.23</v>
      </c>
      <c r="K118" s="44">
        <v>5</v>
      </c>
      <c r="L118" s="44">
        <v>21.75</v>
      </c>
      <c r="M118" s="44">
        <v>90</v>
      </c>
    </row>
    <row r="119" spans="1:13" x14ac:dyDescent="0.25">
      <c r="A119" s="45" t="s">
        <v>1237</v>
      </c>
      <c r="C119" s="47"/>
    </row>
    <row r="120" spans="1:13" x14ac:dyDescent="0.25">
      <c r="A120" s="45" t="s">
        <v>1238</v>
      </c>
      <c r="C120" s="47"/>
    </row>
    <row r="121" spans="1:13" x14ac:dyDescent="0.25">
      <c r="A121" s="45" t="s">
        <v>1239</v>
      </c>
      <c r="B121" s="44" t="s">
        <v>3704</v>
      </c>
      <c r="C121" s="47">
        <v>44250</v>
      </c>
      <c r="D121" s="44">
        <v>202103</v>
      </c>
      <c r="E121" s="44">
        <v>21.85</v>
      </c>
      <c r="F121" s="44">
        <v>21.85</v>
      </c>
      <c r="G121" s="44">
        <v>21.65</v>
      </c>
      <c r="H121" s="44">
        <v>21.75</v>
      </c>
      <c r="I121" s="44">
        <v>-0.05</v>
      </c>
      <c r="J121" s="44">
        <v>-0.23</v>
      </c>
      <c r="K121" s="44">
        <v>35</v>
      </c>
      <c r="L121" s="44">
        <v>21.75</v>
      </c>
      <c r="M121" s="44">
        <v>387</v>
      </c>
    </row>
    <row r="122" spans="1:13" x14ac:dyDescent="0.25">
      <c r="A122" s="45" t="s">
        <v>1240</v>
      </c>
      <c r="C122" s="47"/>
    </row>
    <row r="123" spans="1:13" x14ac:dyDescent="0.25">
      <c r="A123" s="45" t="s">
        <v>1241</v>
      </c>
      <c r="B123" s="44" t="s">
        <v>3705</v>
      </c>
      <c r="C123" s="47">
        <v>44250</v>
      </c>
      <c r="D123" s="44">
        <v>202106</v>
      </c>
      <c r="E123" s="44">
        <v>21.8</v>
      </c>
      <c r="F123" s="44">
        <v>21.8</v>
      </c>
      <c r="G123" s="44">
        <v>21.8</v>
      </c>
      <c r="H123" s="44">
        <v>21.8</v>
      </c>
      <c r="I123" s="44">
        <v>-0.05</v>
      </c>
      <c r="J123" s="44">
        <v>-0.23</v>
      </c>
      <c r="K123" s="44">
        <v>0</v>
      </c>
      <c r="L123" s="44">
        <v>21.8</v>
      </c>
      <c r="M123" s="44">
        <v>20</v>
      </c>
    </row>
    <row r="124" spans="1:13" x14ac:dyDescent="0.25">
      <c r="A124" s="45" t="s">
        <v>1242</v>
      </c>
      <c r="B124" s="44" t="s">
        <v>3706</v>
      </c>
      <c r="C124" s="47">
        <v>44250</v>
      </c>
      <c r="D124" s="44">
        <v>202109</v>
      </c>
      <c r="E124" s="44">
        <v>21.85</v>
      </c>
      <c r="F124" s="44">
        <v>21.85</v>
      </c>
      <c r="G124" s="44">
        <v>21.85</v>
      </c>
      <c r="H124" s="44">
        <v>21.85</v>
      </c>
      <c r="I124" s="44">
        <v>-0.05</v>
      </c>
      <c r="J124" s="44">
        <v>-0.23</v>
      </c>
      <c r="K124" s="44">
        <v>0</v>
      </c>
      <c r="L124" s="44">
        <v>21.85</v>
      </c>
      <c r="M124" s="44">
        <v>3</v>
      </c>
    </row>
    <row r="125" spans="1:13" x14ac:dyDescent="0.25">
      <c r="A125" s="45" t="s">
        <v>1243</v>
      </c>
      <c r="B125" s="44" t="s">
        <v>3707</v>
      </c>
      <c r="C125" s="47">
        <v>44250</v>
      </c>
      <c r="D125" s="44">
        <v>202112</v>
      </c>
      <c r="E125" s="44">
        <v>21.85</v>
      </c>
      <c r="F125" s="44">
        <v>21.85</v>
      </c>
      <c r="G125" s="44">
        <v>21.85</v>
      </c>
      <c r="H125" s="44">
        <v>21.85</v>
      </c>
      <c r="I125" s="44">
        <v>-0.1</v>
      </c>
      <c r="J125" s="44">
        <v>-0.46</v>
      </c>
      <c r="K125" s="44">
        <v>0</v>
      </c>
      <c r="L125" s="44">
        <v>21.85</v>
      </c>
      <c r="M125" s="44">
        <v>0</v>
      </c>
    </row>
    <row r="126" spans="1:13" x14ac:dyDescent="0.25">
      <c r="A126" s="45" t="s">
        <v>960</v>
      </c>
      <c r="B126" s="44" t="s">
        <v>3708</v>
      </c>
      <c r="C126" s="47">
        <v>44250</v>
      </c>
      <c r="D126" s="44">
        <v>202103</v>
      </c>
      <c r="E126" s="44">
        <v>18.05</v>
      </c>
      <c r="F126" s="44">
        <v>18.2</v>
      </c>
      <c r="G126" s="44">
        <v>17.600000000000001</v>
      </c>
      <c r="H126" s="44">
        <v>18</v>
      </c>
      <c r="I126" s="44">
        <v>-0.15</v>
      </c>
      <c r="J126" s="44">
        <v>-0.83</v>
      </c>
      <c r="K126" s="44">
        <v>5434</v>
      </c>
      <c r="L126" s="44">
        <v>18</v>
      </c>
      <c r="M126" s="44">
        <v>12685</v>
      </c>
    </row>
    <row r="127" spans="1:13" x14ac:dyDescent="0.25">
      <c r="A127" s="45" t="s">
        <v>1244</v>
      </c>
      <c r="B127" s="44" t="s">
        <v>3709</v>
      </c>
      <c r="C127" s="47">
        <v>44250</v>
      </c>
      <c r="D127" s="44">
        <v>202103</v>
      </c>
      <c r="E127" s="44">
        <v>18.05</v>
      </c>
      <c r="F127" s="44">
        <v>18.2</v>
      </c>
      <c r="G127" s="44">
        <v>17.600000000000001</v>
      </c>
      <c r="H127" s="44">
        <v>18</v>
      </c>
      <c r="I127" s="44">
        <v>-0.15</v>
      </c>
      <c r="J127" s="44">
        <v>-0.83</v>
      </c>
      <c r="K127" s="44">
        <v>5434</v>
      </c>
      <c r="L127" s="44">
        <v>18</v>
      </c>
      <c r="M127" s="44">
        <v>12685</v>
      </c>
    </row>
    <row r="128" spans="1:13" x14ac:dyDescent="0.25">
      <c r="A128" s="45" t="s">
        <v>1245</v>
      </c>
      <c r="B128" s="44" t="s">
        <v>3710</v>
      </c>
      <c r="C128" s="47">
        <v>44250</v>
      </c>
      <c r="D128" s="44">
        <v>202104</v>
      </c>
      <c r="E128" s="44">
        <v>18</v>
      </c>
      <c r="F128" s="44">
        <v>18.100000000000001</v>
      </c>
      <c r="G128" s="44">
        <v>17.55</v>
      </c>
      <c r="H128" s="44">
        <v>17.899999999999999</v>
      </c>
      <c r="I128" s="44">
        <v>-0.2</v>
      </c>
      <c r="J128" s="44">
        <v>-1.1000000000000001</v>
      </c>
      <c r="K128" s="44">
        <v>784</v>
      </c>
      <c r="L128" s="44">
        <v>17.899999999999999</v>
      </c>
      <c r="M128" s="44">
        <v>588</v>
      </c>
    </row>
    <row r="129" spans="1:13" x14ac:dyDescent="0.25">
      <c r="A129" s="45" t="s">
        <v>1246</v>
      </c>
      <c r="B129" s="44" t="s">
        <v>3711</v>
      </c>
      <c r="C129" s="47">
        <v>44250</v>
      </c>
      <c r="D129" s="44">
        <v>202104</v>
      </c>
      <c r="E129" s="44">
        <v>18</v>
      </c>
      <c r="F129" s="44">
        <v>18.100000000000001</v>
      </c>
      <c r="G129" s="44">
        <v>17.55</v>
      </c>
      <c r="H129" s="44">
        <v>17.899999999999999</v>
      </c>
      <c r="I129" s="44">
        <v>-0.2</v>
      </c>
      <c r="J129" s="44">
        <v>-1.1000000000000001</v>
      </c>
      <c r="K129" s="44">
        <v>784</v>
      </c>
      <c r="L129" s="44">
        <v>17.899999999999999</v>
      </c>
      <c r="M129" s="44">
        <v>588</v>
      </c>
    </row>
    <row r="130" spans="1:13" x14ac:dyDescent="0.25">
      <c r="A130" s="45" t="s">
        <v>1247</v>
      </c>
      <c r="C130" s="47"/>
    </row>
    <row r="131" spans="1:13" x14ac:dyDescent="0.25">
      <c r="A131" s="45" t="s">
        <v>1248</v>
      </c>
      <c r="C131" s="47"/>
    </row>
    <row r="132" spans="1:13" x14ac:dyDescent="0.25">
      <c r="A132" s="45" t="s">
        <v>1249</v>
      </c>
      <c r="C132" s="47"/>
    </row>
    <row r="133" spans="1:13" x14ac:dyDescent="0.25">
      <c r="A133" s="45" t="s">
        <v>1250</v>
      </c>
      <c r="C133" s="47"/>
    </row>
    <row r="134" spans="1:13" x14ac:dyDescent="0.25">
      <c r="A134" s="45" t="s">
        <v>1251</v>
      </c>
      <c r="B134" s="44" t="s">
        <v>3712</v>
      </c>
      <c r="C134" s="47">
        <v>44250</v>
      </c>
      <c r="D134" s="44">
        <v>202103</v>
      </c>
      <c r="E134" s="44">
        <v>18.05</v>
      </c>
      <c r="F134" s="44">
        <v>18.2</v>
      </c>
      <c r="G134" s="44">
        <v>17.600000000000001</v>
      </c>
      <c r="H134" s="44">
        <v>18</v>
      </c>
      <c r="I134" s="44">
        <v>-0.15</v>
      </c>
      <c r="J134" s="44">
        <v>-0.83</v>
      </c>
      <c r="K134" s="44">
        <v>5434</v>
      </c>
      <c r="L134" s="44">
        <v>18</v>
      </c>
      <c r="M134" s="44">
        <v>12685</v>
      </c>
    </row>
    <row r="135" spans="1:13" x14ac:dyDescent="0.25">
      <c r="A135" s="45" t="s">
        <v>1252</v>
      </c>
      <c r="B135" s="44" t="s">
        <v>3713</v>
      </c>
      <c r="C135" s="47">
        <v>44250</v>
      </c>
      <c r="D135" s="44" t="s">
        <v>5788</v>
      </c>
      <c r="E135" s="44">
        <v>-0.17</v>
      </c>
      <c r="F135" s="44">
        <v>-0.17</v>
      </c>
      <c r="G135" s="44">
        <v>-0.18</v>
      </c>
      <c r="H135" s="44">
        <v>-0.17</v>
      </c>
      <c r="K135" s="44">
        <v>60</v>
      </c>
    </row>
    <row r="136" spans="1:13" x14ac:dyDescent="0.25">
      <c r="A136" s="45" t="s">
        <v>1253</v>
      </c>
      <c r="B136" s="44" t="s">
        <v>3714</v>
      </c>
      <c r="C136" s="47">
        <v>44250</v>
      </c>
      <c r="D136" s="44" t="s">
        <v>5789</v>
      </c>
      <c r="E136" s="44">
        <v>-0.26</v>
      </c>
      <c r="F136" s="44">
        <v>-0.26</v>
      </c>
      <c r="G136" s="44">
        <v>-0.27</v>
      </c>
      <c r="H136" s="44">
        <v>-0.27</v>
      </c>
      <c r="K136" s="44">
        <v>40</v>
      </c>
    </row>
    <row r="137" spans="1:13" x14ac:dyDescent="0.25">
      <c r="A137" s="45" t="s">
        <v>1254</v>
      </c>
      <c r="B137" s="44" t="s">
        <v>3715</v>
      </c>
      <c r="C137" s="47">
        <v>44250</v>
      </c>
      <c r="D137" s="44">
        <v>202106</v>
      </c>
      <c r="E137" s="44">
        <v>17.850000000000001</v>
      </c>
      <c r="F137" s="44">
        <v>17.899999999999999</v>
      </c>
      <c r="G137" s="44">
        <v>17.649999999999999</v>
      </c>
      <c r="H137" s="44">
        <v>17.649999999999999</v>
      </c>
      <c r="I137" s="44">
        <v>-0.3</v>
      </c>
      <c r="J137" s="44">
        <v>-1.67</v>
      </c>
      <c r="K137" s="44">
        <v>178</v>
      </c>
      <c r="L137" s="44">
        <v>17.8</v>
      </c>
      <c r="M137" s="44">
        <v>718</v>
      </c>
    </row>
    <row r="138" spans="1:13" x14ac:dyDescent="0.25">
      <c r="A138" s="45" t="s">
        <v>1255</v>
      </c>
      <c r="B138" s="44" t="s">
        <v>3716</v>
      </c>
      <c r="C138" s="47">
        <v>44250</v>
      </c>
      <c r="D138" s="44">
        <v>202109</v>
      </c>
      <c r="E138" s="44">
        <v>17.5</v>
      </c>
      <c r="F138" s="44">
        <v>17.5</v>
      </c>
      <c r="G138" s="44">
        <v>17.5</v>
      </c>
      <c r="H138" s="44">
        <v>17.5</v>
      </c>
      <c r="I138" s="44">
        <v>-0.45</v>
      </c>
      <c r="J138" s="44">
        <v>-2.5099999999999998</v>
      </c>
      <c r="K138" s="44">
        <v>120</v>
      </c>
      <c r="L138" s="44">
        <v>17.7</v>
      </c>
      <c r="M138" s="44">
        <v>350</v>
      </c>
    </row>
    <row r="139" spans="1:13" x14ac:dyDescent="0.25">
      <c r="A139" s="45" t="s">
        <v>1256</v>
      </c>
      <c r="B139" s="44" t="s">
        <v>3717</v>
      </c>
      <c r="C139" s="47">
        <v>44250</v>
      </c>
      <c r="D139" s="44">
        <v>202112</v>
      </c>
      <c r="E139" s="44">
        <v>17.899999999999999</v>
      </c>
      <c r="F139" s="44">
        <v>17.899999999999999</v>
      </c>
      <c r="G139" s="44">
        <v>17.899999999999999</v>
      </c>
      <c r="H139" s="44">
        <v>17.899999999999999</v>
      </c>
      <c r="I139" s="44">
        <v>-0.15</v>
      </c>
      <c r="J139" s="44">
        <v>-0.83</v>
      </c>
      <c r="K139" s="44">
        <v>0</v>
      </c>
      <c r="L139" s="44">
        <v>17.899999999999999</v>
      </c>
      <c r="M139" s="44">
        <v>0</v>
      </c>
    </row>
    <row r="140" spans="1:13" x14ac:dyDescent="0.25">
      <c r="A140" s="45" t="s">
        <v>985</v>
      </c>
      <c r="B140" s="44" t="s">
        <v>3718</v>
      </c>
      <c r="C140" s="47">
        <v>44250</v>
      </c>
      <c r="D140" s="44">
        <v>202103</v>
      </c>
      <c r="E140" s="44">
        <v>18.05</v>
      </c>
      <c r="F140" s="44">
        <v>18.100000000000001</v>
      </c>
      <c r="G140" s="44">
        <v>18</v>
      </c>
      <c r="H140" s="44">
        <v>18.100000000000001</v>
      </c>
      <c r="I140" s="44">
        <v>0.15</v>
      </c>
      <c r="J140" s="44">
        <v>0.84</v>
      </c>
      <c r="K140" s="44">
        <v>37</v>
      </c>
      <c r="L140" s="44">
        <v>18.100000000000001</v>
      </c>
      <c r="M140" s="44">
        <v>294</v>
      </c>
    </row>
    <row r="141" spans="1:13" x14ac:dyDescent="0.25">
      <c r="A141" s="45" t="s">
        <v>1257</v>
      </c>
      <c r="B141" s="44" t="s">
        <v>3719</v>
      </c>
      <c r="C141" s="47">
        <v>44250</v>
      </c>
      <c r="D141" s="44">
        <v>202103</v>
      </c>
      <c r="E141" s="44">
        <v>18.05</v>
      </c>
      <c r="F141" s="44">
        <v>18.100000000000001</v>
      </c>
      <c r="G141" s="44">
        <v>18</v>
      </c>
      <c r="H141" s="44">
        <v>18.100000000000001</v>
      </c>
      <c r="I141" s="44">
        <v>0.15</v>
      </c>
      <c r="J141" s="44">
        <v>0.84</v>
      </c>
      <c r="K141" s="44">
        <v>37</v>
      </c>
      <c r="L141" s="44">
        <v>18.100000000000001</v>
      </c>
      <c r="M141" s="44">
        <v>294</v>
      </c>
    </row>
    <row r="142" spans="1:13" x14ac:dyDescent="0.25">
      <c r="A142" s="45" t="s">
        <v>1258</v>
      </c>
      <c r="B142" s="44" t="s">
        <v>3720</v>
      </c>
      <c r="C142" s="47">
        <v>44250</v>
      </c>
      <c r="D142" s="44">
        <v>202104</v>
      </c>
      <c r="E142" s="44">
        <v>18.05</v>
      </c>
      <c r="F142" s="44">
        <v>18.05</v>
      </c>
      <c r="G142" s="44">
        <v>18</v>
      </c>
      <c r="H142" s="44">
        <v>18.05</v>
      </c>
      <c r="I142" s="44">
        <v>0.1</v>
      </c>
      <c r="J142" s="44">
        <v>0.56000000000000005</v>
      </c>
      <c r="K142" s="44">
        <v>15</v>
      </c>
      <c r="L142" s="44">
        <v>18.05</v>
      </c>
      <c r="M142" s="44">
        <v>122</v>
      </c>
    </row>
    <row r="143" spans="1:13" x14ac:dyDescent="0.25">
      <c r="A143" s="45" t="s">
        <v>1259</v>
      </c>
      <c r="B143" s="44" t="s">
        <v>3721</v>
      </c>
      <c r="C143" s="47">
        <v>44250</v>
      </c>
      <c r="D143" s="44">
        <v>202104</v>
      </c>
      <c r="E143" s="44">
        <v>18.05</v>
      </c>
      <c r="F143" s="44">
        <v>18.05</v>
      </c>
      <c r="G143" s="44">
        <v>18</v>
      </c>
      <c r="H143" s="44">
        <v>18.05</v>
      </c>
      <c r="I143" s="44">
        <v>0.1</v>
      </c>
      <c r="J143" s="44">
        <v>0.56000000000000005</v>
      </c>
      <c r="K143" s="44">
        <v>15</v>
      </c>
      <c r="L143" s="44">
        <v>18.05</v>
      </c>
      <c r="M143" s="44">
        <v>122</v>
      </c>
    </row>
    <row r="144" spans="1:13" x14ac:dyDescent="0.25">
      <c r="A144" s="45" t="s">
        <v>1260</v>
      </c>
      <c r="C144" s="47"/>
    </row>
    <row r="145" spans="1:13" x14ac:dyDescent="0.25">
      <c r="A145" s="45" t="s">
        <v>1261</v>
      </c>
      <c r="C145" s="47"/>
    </row>
    <row r="146" spans="1:13" x14ac:dyDescent="0.25">
      <c r="A146" s="45" t="s">
        <v>1262</v>
      </c>
      <c r="B146" s="44" t="s">
        <v>3722</v>
      </c>
      <c r="C146" s="47">
        <v>44250</v>
      </c>
      <c r="D146" s="44">
        <v>202103</v>
      </c>
      <c r="E146" s="44">
        <v>18.05</v>
      </c>
      <c r="F146" s="44">
        <v>18.100000000000001</v>
      </c>
      <c r="G146" s="44">
        <v>18</v>
      </c>
      <c r="H146" s="44">
        <v>18.100000000000001</v>
      </c>
      <c r="I146" s="44">
        <v>0.15</v>
      </c>
      <c r="J146" s="44">
        <v>0.84</v>
      </c>
      <c r="K146" s="44">
        <v>37</v>
      </c>
      <c r="L146" s="44">
        <v>18.100000000000001</v>
      </c>
      <c r="M146" s="44">
        <v>294</v>
      </c>
    </row>
    <row r="147" spans="1:13" x14ac:dyDescent="0.25">
      <c r="A147" s="45" t="s">
        <v>1263</v>
      </c>
      <c r="B147" s="44" t="s">
        <v>3723</v>
      </c>
      <c r="C147" s="47">
        <v>44250</v>
      </c>
      <c r="D147" s="44">
        <v>202106</v>
      </c>
      <c r="E147" s="44">
        <v>18.100000000000001</v>
      </c>
      <c r="F147" s="44">
        <v>18.100000000000001</v>
      </c>
      <c r="G147" s="44">
        <v>18.100000000000001</v>
      </c>
      <c r="H147" s="44">
        <v>18.100000000000001</v>
      </c>
      <c r="I147" s="44">
        <v>0.15</v>
      </c>
      <c r="J147" s="44">
        <v>0.84</v>
      </c>
      <c r="K147" s="44">
        <v>0</v>
      </c>
      <c r="L147" s="44">
        <v>18.100000000000001</v>
      </c>
      <c r="M147" s="44">
        <v>59</v>
      </c>
    </row>
    <row r="148" spans="1:13" x14ac:dyDescent="0.25">
      <c r="A148" s="45" t="s">
        <v>1264</v>
      </c>
      <c r="B148" s="44" t="s">
        <v>3724</v>
      </c>
      <c r="C148" s="47">
        <v>44250</v>
      </c>
      <c r="D148" s="44">
        <v>202109</v>
      </c>
      <c r="E148" s="44">
        <v>18</v>
      </c>
      <c r="F148" s="44">
        <v>18</v>
      </c>
      <c r="G148" s="44">
        <v>18</v>
      </c>
      <c r="H148" s="44">
        <v>18</v>
      </c>
      <c r="I148" s="44">
        <v>0.15</v>
      </c>
      <c r="J148" s="44">
        <v>0.84</v>
      </c>
      <c r="K148" s="44">
        <v>0</v>
      </c>
      <c r="L148" s="44">
        <v>18</v>
      </c>
      <c r="M148" s="44">
        <v>0</v>
      </c>
    </row>
    <row r="149" spans="1:13" x14ac:dyDescent="0.25">
      <c r="A149" s="45" t="s">
        <v>1265</v>
      </c>
      <c r="B149" s="44" t="s">
        <v>3725</v>
      </c>
      <c r="C149" s="47">
        <v>44250</v>
      </c>
      <c r="D149" s="44">
        <v>202112</v>
      </c>
      <c r="E149" s="44">
        <v>18.100000000000001</v>
      </c>
      <c r="F149" s="44">
        <v>18.100000000000001</v>
      </c>
      <c r="G149" s="44">
        <v>18.100000000000001</v>
      </c>
      <c r="H149" s="44">
        <v>18.100000000000001</v>
      </c>
      <c r="I149" s="44">
        <v>0.15</v>
      </c>
      <c r="J149" s="44">
        <v>0.84</v>
      </c>
      <c r="K149" s="44">
        <v>0</v>
      </c>
      <c r="L149" s="44">
        <v>18.100000000000001</v>
      </c>
      <c r="M149" s="44">
        <v>0</v>
      </c>
    </row>
    <row r="150" spans="1:13" x14ac:dyDescent="0.25">
      <c r="A150" s="45" t="s">
        <v>987</v>
      </c>
      <c r="B150" s="44" t="s">
        <v>3726</v>
      </c>
      <c r="C150" s="47">
        <v>44250</v>
      </c>
      <c r="D150" s="44">
        <v>202103</v>
      </c>
      <c r="E150" s="44">
        <v>42.05</v>
      </c>
      <c r="F150" s="44">
        <v>42.9</v>
      </c>
      <c r="G150" s="44">
        <v>42.05</v>
      </c>
      <c r="H150" s="44">
        <v>42.9</v>
      </c>
      <c r="I150" s="44">
        <v>0.85</v>
      </c>
      <c r="J150" s="44">
        <v>2.02</v>
      </c>
      <c r="K150" s="44">
        <v>396</v>
      </c>
      <c r="L150" s="44">
        <v>42.9</v>
      </c>
      <c r="M150" s="44">
        <v>1528</v>
      </c>
    </row>
    <row r="151" spans="1:13" x14ac:dyDescent="0.25">
      <c r="A151" s="45" t="s">
        <v>1266</v>
      </c>
      <c r="B151" s="44" t="s">
        <v>3727</v>
      </c>
      <c r="C151" s="47">
        <v>44250</v>
      </c>
      <c r="D151" s="44">
        <v>202103</v>
      </c>
      <c r="E151" s="44">
        <v>42.05</v>
      </c>
      <c r="F151" s="44">
        <v>42.9</v>
      </c>
      <c r="G151" s="44">
        <v>42.05</v>
      </c>
      <c r="H151" s="44">
        <v>42.9</v>
      </c>
      <c r="I151" s="44">
        <v>0.85</v>
      </c>
      <c r="J151" s="44">
        <v>2.02</v>
      </c>
      <c r="K151" s="44">
        <v>396</v>
      </c>
      <c r="L151" s="44">
        <v>42.9</v>
      </c>
      <c r="M151" s="44">
        <v>1528</v>
      </c>
    </row>
    <row r="152" spans="1:13" x14ac:dyDescent="0.25">
      <c r="A152" s="45" t="s">
        <v>1267</v>
      </c>
      <c r="B152" s="44" t="s">
        <v>3728</v>
      </c>
      <c r="C152" s="47">
        <v>44250</v>
      </c>
      <c r="D152" s="44">
        <v>202104</v>
      </c>
      <c r="E152" s="44">
        <v>42</v>
      </c>
      <c r="F152" s="44">
        <v>42.8</v>
      </c>
      <c r="G152" s="44">
        <v>42</v>
      </c>
      <c r="H152" s="44">
        <v>42.75</v>
      </c>
      <c r="I152" s="44">
        <v>0.85</v>
      </c>
      <c r="J152" s="44">
        <v>2.0299999999999998</v>
      </c>
      <c r="K152" s="44">
        <v>46</v>
      </c>
      <c r="L152" s="44">
        <v>42.75</v>
      </c>
      <c r="M152" s="44">
        <v>182</v>
      </c>
    </row>
    <row r="153" spans="1:13" x14ac:dyDescent="0.25">
      <c r="A153" s="45" t="s">
        <v>1268</v>
      </c>
      <c r="B153" s="44" t="s">
        <v>3729</v>
      </c>
      <c r="C153" s="47">
        <v>44250</v>
      </c>
      <c r="D153" s="44">
        <v>202104</v>
      </c>
      <c r="E153" s="44">
        <v>42</v>
      </c>
      <c r="F153" s="44">
        <v>42.8</v>
      </c>
      <c r="G153" s="44">
        <v>42</v>
      </c>
      <c r="H153" s="44">
        <v>42.75</v>
      </c>
      <c r="I153" s="44">
        <v>0.85</v>
      </c>
      <c r="J153" s="44">
        <v>2.0299999999999998</v>
      </c>
      <c r="K153" s="44">
        <v>46</v>
      </c>
      <c r="L153" s="44">
        <v>42.75</v>
      </c>
      <c r="M153" s="44">
        <v>182</v>
      </c>
    </row>
    <row r="154" spans="1:13" x14ac:dyDescent="0.25">
      <c r="A154" s="45" t="s">
        <v>1269</v>
      </c>
      <c r="C154" s="47"/>
    </row>
    <row r="155" spans="1:13" x14ac:dyDescent="0.25">
      <c r="A155" s="45" t="s">
        <v>1270</v>
      </c>
      <c r="C155" s="47"/>
    </row>
    <row r="156" spans="1:13" x14ac:dyDescent="0.25">
      <c r="A156" s="45" t="s">
        <v>1271</v>
      </c>
      <c r="B156" s="44" t="s">
        <v>3730</v>
      </c>
      <c r="C156" s="47">
        <v>44250</v>
      </c>
      <c r="D156" s="44">
        <v>202103</v>
      </c>
      <c r="E156" s="44">
        <v>42.05</v>
      </c>
      <c r="F156" s="44">
        <v>42.9</v>
      </c>
      <c r="G156" s="44">
        <v>42.05</v>
      </c>
      <c r="H156" s="44">
        <v>42.9</v>
      </c>
      <c r="I156" s="44">
        <v>0.85</v>
      </c>
      <c r="J156" s="44">
        <v>2.02</v>
      </c>
      <c r="K156" s="44">
        <v>396</v>
      </c>
      <c r="L156" s="44">
        <v>42.9</v>
      </c>
      <c r="M156" s="44">
        <v>1528</v>
      </c>
    </row>
    <row r="157" spans="1:13" x14ac:dyDescent="0.25">
      <c r="A157" s="45" t="s">
        <v>1272</v>
      </c>
      <c r="C157" s="47"/>
    </row>
    <row r="158" spans="1:13" x14ac:dyDescent="0.25">
      <c r="A158" s="45" t="s">
        <v>1273</v>
      </c>
      <c r="B158" s="44" t="s">
        <v>3731</v>
      </c>
      <c r="C158" s="47">
        <v>44250</v>
      </c>
      <c r="D158" s="44">
        <v>202106</v>
      </c>
      <c r="E158" s="44">
        <v>42.85</v>
      </c>
      <c r="F158" s="44">
        <v>42.85</v>
      </c>
      <c r="G158" s="44">
        <v>42.85</v>
      </c>
      <c r="H158" s="44">
        <v>42.85</v>
      </c>
      <c r="I158" s="44">
        <v>0.85</v>
      </c>
      <c r="J158" s="44">
        <v>2.02</v>
      </c>
      <c r="K158" s="44">
        <v>0</v>
      </c>
      <c r="L158" s="44">
        <v>42.85</v>
      </c>
      <c r="M158" s="44">
        <v>183</v>
      </c>
    </row>
    <row r="159" spans="1:13" x14ac:dyDescent="0.25">
      <c r="A159" s="45" t="s">
        <v>1274</v>
      </c>
      <c r="B159" s="44" t="s">
        <v>3732</v>
      </c>
      <c r="C159" s="47">
        <v>44250</v>
      </c>
      <c r="D159" s="44">
        <v>202109</v>
      </c>
      <c r="E159" s="44">
        <v>42.3</v>
      </c>
      <c r="F159" s="44">
        <v>42.3</v>
      </c>
      <c r="G159" s="44">
        <v>42.3</v>
      </c>
      <c r="H159" s="44">
        <v>42.3</v>
      </c>
      <c r="I159" s="44">
        <v>0.4</v>
      </c>
      <c r="J159" s="44">
        <v>0.95</v>
      </c>
      <c r="K159" s="44">
        <v>1</v>
      </c>
      <c r="L159" s="44">
        <v>42.6</v>
      </c>
      <c r="M159" s="44">
        <v>17</v>
      </c>
    </row>
    <row r="160" spans="1:13" x14ac:dyDescent="0.25">
      <c r="A160" s="45" t="s">
        <v>1275</v>
      </c>
      <c r="B160" s="44" t="s">
        <v>3733</v>
      </c>
      <c r="C160" s="47">
        <v>44250</v>
      </c>
      <c r="D160" s="44">
        <v>202112</v>
      </c>
      <c r="E160" s="44">
        <v>42.4</v>
      </c>
      <c r="F160" s="44">
        <v>42.4</v>
      </c>
      <c r="G160" s="44">
        <v>42.4</v>
      </c>
      <c r="H160" s="44">
        <v>42.4</v>
      </c>
      <c r="I160" s="44">
        <v>0.45</v>
      </c>
      <c r="J160" s="44">
        <v>1.07</v>
      </c>
      <c r="K160" s="44">
        <v>1</v>
      </c>
      <c r="L160" s="44">
        <v>42.4</v>
      </c>
      <c r="M160" s="44">
        <v>502</v>
      </c>
    </row>
    <row r="161" spans="1:13" x14ac:dyDescent="0.25">
      <c r="A161" s="45" t="s">
        <v>991</v>
      </c>
      <c r="B161" s="44" t="s">
        <v>3734</v>
      </c>
      <c r="C161" s="47">
        <v>44250</v>
      </c>
      <c r="D161" s="44">
        <v>202103</v>
      </c>
      <c r="E161" s="44">
        <v>29.3</v>
      </c>
      <c r="F161" s="44">
        <v>29.55</v>
      </c>
      <c r="G161" s="44">
        <v>29.3</v>
      </c>
      <c r="H161" s="44">
        <v>29.55</v>
      </c>
      <c r="I161" s="44">
        <v>0.35</v>
      </c>
      <c r="J161" s="44">
        <v>1.2</v>
      </c>
      <c r="K161" s="44">
        <v>20</v>
      </c>
      <c r="L161" s="44">
        <v>29.55</v>
      </c>
      <c r="M161" s="44">
        <v>248</v>
      </c>
    </row>
    <row r="162" spans="1:13" x14ac:dyDescent="0.25">
      <c r="A162" s="45" t="s">
        <v>1276</v>
      </c>
      <c r="B162" s="44" t="s">
        <v>3735</v>
      </c>
      <c r="C162" s="47">
        <v>44250</v>
      </c>
      <c r="D162" s="44">
        <v>202103</v>
      </c>
      <c r="E162" s="44">
        <v>29.3</v>
      </c>
      <c r="F162" s="44">
        <v>29.55</v>
      </c>
      <c r="G162" s="44">
        <v>29.3</v>
      </c>
      <c r="H162" s="44">
        <v>29.55</v>
      </c>
      <c r="I162" s="44">
        <v>0.35</v>
      </c>
      <c r="J162" s="44">
        <v>1.2</v>
      </c>
      <c r="K162" s="44">
        <v>20</v>
      </c>
      <c r="L162" s="44">
        <v>29.55</v>
      </c>
      <c r="M162" s="44">
        <v>248</v>
      </c>
    </row>
    <row r="163" spans="1:13" x14ac:dyDescent="0.25">
      <c r="A163" s="45" t="s">
        <v>1277</v>
      </c>
      <c r="B163" s="44" t="s">
        <v>3736</v>
      </c>
      <c r="C163" s="47">
        <v>44250</v>
      </c>
      <c r="D163" s="44">
        <v>202104</v>
      </c>
      <c r="E163" s="44">
        <v>29.05</v>
      </c>
      <c r="F163" s="44">
        <v>29.05</v>
      </c>
      <c r="G163" s="44">
        <v>29.05</v>
      </c>
      <c r="H163" s="44">
        <v>29.05</v>
      </c>
      <c r="I163" s="44">
        <v>0</v>
      </c>
      <c r="J163" s="44">
        <v>0</v>
      </c>
      <c r="K163" s="44">
        <v>16</v>
      </c>
      <c r="L163" s="44">
        <v>29.4</v>
      </c>
      <c r="M163" s="44">
        <v>83</v>
      </c>
    </row>
    <row r="164" spans="1:13" x14ac:dyDescent="0.25">
      <c r="A164" s="45" t="s">
        <v>1278</v>
      </c>
      <c r="B164" s="44" t="s">
        <v>3737</v>
      </c>
      <c r="C164" s="47">
        <v>44250</v>
      </c>
      <c r="D164" s="44">
        <v>202104</v>
      </c>
      <c r="E164" s="44">
        <v>29.05</v>
      </c>
      <c r="F164" s="44">
        <v>29.05</v>
      </c>
      <c r="G164" s="44">
        <v>29.05</v>
      </c>
      <c r="H164" s="44">
        <v>29.05</v>
      </c>
      <c r="I164" s="44">
        <v>0</v>
      </c>
      <c r="J164" s="44">
        <v>0</v>
      </c>
      <c r="K164" s="44">
        <v>16</v>
      </c>
      <c r="L164" s="44">
        <v>29.4</v>
      </c>
      <c r="M164" s="44">
        <v>83</v>
      </c>
    </row>
    <row r="165" spans="1:13" x14ac:dyDescent="0.25">
      <c r="A165" s="45" t="s">
        <v>1279</v>
      </c>
      <c r="C165" s="47"/>
    </row>
    <row r="166" spans="1:13" x14ac:dyDescent="0.25">
      <c r="A166" s="45" t="s">
        <v>1280</v>
      </c>
      <c r="C166" s="47"/>
    </row>
    <row r="167" spans="1:13" x14ac:dyDescent="0.25">
      <c r="A167" s="45" t="s">
        <v>1281</v>
      </c>
      <c r="B167" s="44" t="s">
        <v>3738</v>
      </c>
      <c r="C167" s="47">
        <v>44250</v>
      </c>
      <c r="D167" s="44">
        <v>202103</v>
      </c>
      <c r="E167" s="44">
        <v>29.3</v>
      </c>
      <c r="F167" s="44">
        <v>29.55</v>
      </c>
      <c r="G167" s="44">
        <v>29.3</v>
      </c>
      <c r="H167" s="44">
        <v>29.55</v>
      </c>
      <c r="I167" s="44">
        <v>0.35</v>
      </c>
      <c r="J167" s="44">
        <v>1.2</v>
      </c>
      <c r="K167" s="44">
        <v>20</v>
      </c>
      <c r="L167" s="44">
        <v>29.55</v>
      </c>
      <c r="M167" s="44">
        <v>248</v>
      </c>
    </row>
    <row r="168" spans="1:13" x14ac:dyDescent="0.25">
      <c r="A168" s="45" t="s">
        <v>1282</v>
      </c>
      <c r="B168" s="44" t="s">
        <v>3739</v>
      </c>
      <c r="C168" s="47">
        <v>44250</v>
      </c>
      <c r="D168" s="44">
        <v>202106</v>
      </c>
      <c r="E168" s="44">
        <v>29.55</v>
      </c>
      <c r="F168" s="44">
        <v>29.55</v>
      </c>
      <c r="G168" s="44">
        <v>29.55</v>
      </c>
      <c r="H168" s="44">
        <v>29.55</v>
      </c>
      <c r="I168" s="44">
        <v>0.35</v>
      </c>
      <c r="J168" s="44">
        <v>1.2</v>
      </c>
      <c r="K168" s="44">
        <v>0</v>
      </c>
      <c r="L168" s="44">
        <v>29.55</v>
      </c>
      <c r="M168" s="44">
        <v>15</v>
      </c>
    </row>
    <row r="169" spans="1:13" x14ac:dyDescent="0.25">
      <c r="A169" s="45" t="s">
        <v>1283</v>
      </c>
      <c r="B169" s="44" t="s">
        <v>3740</v>
      </c>
      <c r="C169" s="47">
        <v>44250</v>
      </c>
      <c r="D169" s="44">
        <v>202109</v>
      </c>
      <c r="E169" s="44">
        <v>29.2</v>
      </c>
      <c r="F169" s="44">
        <v>29.2</v>
      </c>
      <c r="G169" s="44">
        <v>29.2</v>
      </c>
      <c r="H169" s="44">
        <v>29.2</v>
      </c>
      <c r="I169" s="44">
        <v>0.35</v>
      </c>
      <c r="J169" s="44">
        <v>1.21</v>
      </c>
      <c r="K169" s="44">
        <v>0</v>
      </c>
      <c r="L169" s="44">
        <v>29.2</v>
      </c>
      <c r="M169" s="44">
        <v>0</v>
      </c>
    </row>
    <row r="170" spans="1:13" x14ac:dyDescent="0.25">
      <c r="A170" s="45" t="s">
        <v>1284</v>
      </c>
      <c r="B170" s="44" t="s">
        <v>3741</v>
      </c>
      <c r="C170" s="47">
        <v>44250</v>
      </c>
      <c r="D170" s="44">
        <v>202112</v>
      </c>
      <c r="E170" s="44">
        <v>29.6</v>
      </c>
      <c r="F170" s="44">
        <v>29.6</v>
      </c>
      <c r="G170" s="44">
        <v>29.6</v>
      </c>
      <c r="H170" s="44">
        <v>29.6</v>
      </c>
      <c r="I170" s="44">
        <v>0.35</v>
      </c>
      <c r="J170" s="44">
        <v>1.2</v>
      </c>
      <c r="K170" s="44">
        <v>0</v>
      </c>
      <c r="L170" s="44">
        <v>29.6</v>
      </c>
      <c r="M170" s="44">
        <v>0</v>
      </c>
    </row>
    <row r="171" spans="1:13" x14ac:dyDescent="0.25">
      <c r="A171" s="45" t="s">
        <v>1285</v>
      </c>
      <c r="B171" s="44" t="s">
        <v>3742</v>
      </c>
      <c r="C171" s="47">
        <v>44250</v>
      </c>
      <c r="D171" s="44">
        <v>202103</v>
      </c>
      <c r="E171" s="44">
        <v>13</v>
      </c>
      <c r="F171" s="44">
        <v>13</v>
      </c>
      <c r="G171" s="44">
        <v>13</v>
      </c>
      <c r="H171" s="44">
        <v>13</v>
      </c>
      <c r="I171" s="44">
        <v>0.1</v>
      </c>
      <c r="J171" s="44">
        <v>0.78</v>
      </c>
      <c r="K171" s="44">
        <v>0</v>
      </c>
      <c r="L171" s="44">
        <v>13</v>
      </c>
      <c r="M171" s="44">
        <v>86</v>
      </c>
    </row>
    <row r="172" spans="1:13" x14ac:dyDescent="0.25">
      <c r="A172" s="45" t="s">
        <v>1286</v>
      </c>
      <c r="B172" s="44" t="s">
        <v>3743</v>
      </c>
      <c r="C172" s="47">
        <v>44250</v>
      </c>
      <c r="D172" s="44">
        <v>202103</v>
      </c>
      <c r="E172" s="44">
        <v>13</v>
      </c>
      <c r="F172" s="44">
        <v>13</v>
      </c>
      <c r="G172" s="44">
        <v>13</v>
      </c>
      <c r="H172" s="44">
        <v>13</v>
      </c>
      <c r="I172" s="44">
        <v>0.1</v>
      </c>
      <c r="J172" s="44">
        <v>0.78</v>
      </c>
      <c r="K172" s="44">
        <v>0</v>
      </c>
      <c r="L172" s="44">
        <v>13</v>
      </c>
      <c r="M172" s="44">
        <v>86</v>
      </c>
    </row>
    <row r="173" spans="1:13" x14ac:dyDescent="0.25">
      <c r="A173" s="45" t="s">
        <v>1287</v>
      </c>
      <c r="B173" s="44" t="s">
        <v>3744</v>
      </c>
      <c r="C173" s="47">
        <v>44250</v>
      </c>
      <c r="D173" s="44">
        <v>202103</v>
      </c>
      <c r="E173" s="44">
        <v>13</v>
      </c>
      <c r="F173" s="44">
        <v>13</v>
      </c>
      <c r="G173" s="44">
        <v>13</v>
      </c>
      <c r="H173" s="44">
        <v>13</v>
      </c>
      <c r="I173" s="44">
        <v>0.1</v>
      </c>
      <c r="J173" s="44">
        <v>0.78</v>
      </c>
      <c r="K173" s="44">
        <v>0</v>
      </c>
      <c r="L173" s="44">
        <v>13</v>
      </c>
      <c r="M173" s="44">
        <v>86</v>
      </c>
    </row>
    <row r="174" spans="1:13" x14ac:dyDescent="0.25">
      <c r="A174" s="45" t="s">
        <v>992</v>
      </c>
      <c r="B174" s="44" t="s">
        <v>3745</v>
      </c>
      <c r="C174" s="47">
        <v>44250</v>
      </c>
      <c r="D174" s="44">
        <v>202103</v>
      </c>
      <c r="E174" s="44">
        <v>13</v>
      </c>
      <c r="F174" s="44">
        <v>13</v>
      </c>
      <c r="G174" s="44">
        <v>13</v>
      </c>
      <c r="H174" s="44">
        <v>13</v>
      </c>
      <c r="I174" s="44">
        <v>0.1</v>
      </c>
      <c r="J174" s="44">
        <v>0.78</v>
      </c>
      <c r="K174" s="44">
        <v>9</v>
      </c>
      <c r="L174" s="44">
        <v>13</v>
      </c>
      <c r="M174" s="44">
        <v>151</v>
      </c>
    </row>
    <row r="175" spans="1:13" x14ac:dyDescent="0.25">
      <c r="A175" s="45" t="s">
        <v>1288</v>
      </c>
      <c r="B175" s="44" t="s">
        <v>3746</v>
      </c>
      <c r="C175" s="47">
        <v>44250</v>
      </c>
      <c r="D175" s="44">
        <v>202103</v>
      </c>
      <c r="E175" s="44">
        <v>13</v>
      </c>
      <c r="F175" s="44">
        <v>13</v>
      </c>
      <c r="G175" s="44">
        <v>13</v>
      </c>
      <c r="H175" s="44">
        <v>13</v>
      </c>
      <c r="I175" s="44">
        <v>0.1</v>
      </c>
      <c r="J175" s="44">
        <v>0.78</v>
      </c>
      <c r="K175" s="44">
        <v>9</v>
      </c>
      <c r="L175" s="44">
        <v>13</v>
      </c>
      <c r="M175" s="44">
        <v>151</v>
      </c>
    </row>
    <row r="176" spans="1:13" x14ac:dyDescent="0.25">
      <c r="A176" s="45" t="s">
        <v>1289</v>
      </c>
      <c r="B176" s="44" t="s">
        <v>3747</v>
      </c>
      <c r="C176" s="47">
        <v>44250</v>
      </c>
      <c r="D176" s="44">
        <v>202104</v>
      </c>
      <c r="E176" s="44">
        <v>13</v>
      </c>
      <c r="F176" s="44">
        <v>13</v>
      </c>
      <c r="G176" s="44">
        <v>13</v>
      </c>
      <c r="H176" s="44">
        <v>13</v>
      </c>
      <c r="I176" s="44">
        <v>0.1</v>
      </c>
      <c r="J176" s="44">
        <v>0.78</v>
      </c>
      <c r="K176" s="44">
        <v>3</v>
      </c>
      <c r="L176" s="44">
        <v>13</v>
      </c>
      <c r="M176" s="44">
        <v>4</v>
      </c>
    </row>
    <row r="177" spans="1:13" x14ac:dyDescent="0.25">
      <c r="A177" s="45" t="s">
        <v>1290</v>
      </c>
      <c r="B177" s="44" t="s">
        <v>3748</v>
      </c>
      <c r="C177" s="47">
        <v>44250</v>
      </c>
      <c r="D177" s="44">
        <v>202104</v>
      </c>
      <c r="E177" s="44">
        <v>13</v>
      </c>
      <c r="F177" s="44">
        <v>13</v>
      </c>
      <c r="G177" s="44">
        <v>13</v>
      </c>
      <c r="H177" s="44">
        <v>13</v>
      </c>
      <c r="I177" s="44">
        <v>0.1</v>
      </c>
      <c r="J177" s="44">
        <v>0.78</v>
      </c>
      <c r="K177" s="44">
        <v>3</v>
      </c>
      <c r="L177" s="44">
        <v>13</v>
      </c>
      <c r="M177" s="44">
        <v>4</v>
      </c>
    </row>
    <row r="178" spans="1:13" x14ac:dyDescent="0.25">
      <c r="A178" s="45" t="s">
        <v>1291</v>
      </c>
      <c r="C178" s="47"/>
    </row>
    <row r="179" spans="1:13" x14ac:dyDescent="0.25">
      <c r="A179" s="45" t="s">
        <v>1292</v>
      </c>
      <c r="C179" s="47"/>
    </row>
    <row r="180" spans="1:13" x14ac:dyDescent="0.25">
      <c r="A180" s="45" t="s">
        <v>1293</v>
      </c>
      <c r="B180" s="44" t="s">
        <v>3749</v>
      </c>
      <c r="C180" s="47">
        <v>44250</v>
      </c>
      <c r="D180" s="44">
        <v>202103</v>
      </c>
      <c r="E180" s="44">
        <v>13</v>
      </c>
      <c r="F180" s="44">
        <v>13</v>
      </c>
      <c r="G180" s="44">
        <v>13</v>
      </c>
      <c r="H180" s="44">
        <v>13</v>
      </c>
      <c r="I180" s="44">
        <v>0.1</v>
      </c>
      <c r="J180" s="44">
        <v>0.78</v>
      </c>
      <c r="K180" s="44">
        <v>9</v>
      </c>
      <c r="L180" s="44">
        <v>13</v>
      </c>
      <c r="M180" s="44">
        <v>151</v>
      </c>
    </row>
    <row r="181" spans="1:13" x14ac:dyDescent="0.25">
      <c r="A181" s="45" t="s">
        <v>1294</v>
      </c>
      <c r="B181" s="44" t="s">
        <v>3750</v>
      </c>
      <c r="C181" s="47">
        <v>44250</v>
      </c>
      <c r="D181" s="44">
        <v>202106</v>
      </c>
      <c r="E181" s="44">
        <v>13</v>
      </c>
      <c r="F181" s="44">
        <v>13</v>
      </c>
      <c r="G181" s="44">
        <v>13</v>
      </c>
      <c r="H181" s="44">
        <v>13</v>
      </c>
      <c r="I181" s="44">
        <v>0.1</v>
      </c>
      <c r="J181" s="44">
        <v>0.78</v>
      </c>
      <c r="K181" s="44">
        <v>0</v>
      </c>
      <c r="L181" s="44">
        <v>13</v>
      </c>
      <c r="M181" s="44">
        <v>37</v>
      </c>
    </row>
    <row r="182" spans="1:13" x14ac:dyDescent="0.25">
      <c r="A182" s="45" t="s">
        <v>1295</v>
      </c>
      <c r="B182" s="44" t="s">
        <v>3751</v>
      </c>
      <c r="C182" s="47">
        <v>44250</v>
      </c>
      <c r="D182" s="44">
        <v>202109</v>
      </c>
      <c r="E182" s="44">
        <v>13.15</v>
      </c>
      <c r="F182" s="44">
        <v>13.15</v>
      </c>
      <c r="G182" s="44">
        <v>13.15</v>
      </c>
      <c r="H182" s="44">
        <v>13.15</v>
      </c>
      <c r="I182" s="44">
        <v>0.1</v>
      </c>
      <c r="J182" s="44">
        <v>0.77</v>
      </c>
      <c r="K182" s="44">
        <v>0</v>
      </c>
      <c r="L182" s="44">
        <v>13.15</v>
      </c>
      <c r="M182" s="44">
        <v>45</v>
      </c>
    </row>
    <row r="183" spans="1:13" x14ac:dyDescent="0.25">
      <c r="A183" s="45" t="s">
        <v>1296</v>
      </c>
      <c r="B183" s="44" t="s">
        <v>3752</v>
      </c>
      <c r="C183" s="47">
        <v>44250</v>
      </c>
      <c r="D183" s="44">
        <v>202112</v>
      </c>
      <c r="E183" s="44">
        <v>12.95</v>
      </c>
      <c r="F183" s="44">
        <v>12.95</v>
      </c>
      <c r="G183" s="44">
        <v>12.95</v>
      </c>
      <c r="H183" s="44">
        <v>12.95</v>
      </c>
      <c r="I183" s="44">
        <v>0.1</v>
      </c>
      <c r="J183" s="44">
        <v>0.78</v>
      </c>
      <c r="K183" s="44">
        <v>0</v>
      </c>
      <c r="L183" s="44">
        <v>12.95</v>
      </c>
      <c r="M183" s="44">
        <v>0</v>
      </c>
    </row>
    <row r="184" spans="1:13" x14ac:dyDescent="0.25">
      <c r="A184" s="45" t="s">
        <v>995</v>
      </c>
      <c r="B184" s="44" t="s">
        <v>3753</v>
      </c>
      <c r="C184" s="47">
        <v>44250</v>
      </c>
      <c r="D184" s="44">
        <v>202103</v>
      </c>
      <c r="E184" s="44">
        <v>20.3</v>
      </c>
      <c r="F184" s="44">
        <v>20.6</v>
      </c>
      <c r="G184" s="44">
        <v>20.3</v>
      </c>
      <c r="H184" s="44">
        <v>20.55</v>
      </c>
      <c r="I184" s="44">
        <v>0.3</v>
      </c>
      <c r="J184" s="44">
        <v>1.48</v>
      </c>
      <c r="K184" s="44">
        <v>44</v>
      </c>
      <c r="L184" s="44">
        <v>20.55</v>
      </c>
      <c r="M184" s="44">
        <v>573</v>
      </c>
    </row>
    <row r="185" spans="1:13" x14ac:dyDescent="0.25">
      <c r="A185" s="45" t="s">
        <v>1297</v>
      </c>
      <c r="B185" s="44" t="s">
        <v>3754</v>
      </c>
      <c r="C185" s="47">
        <v>44250</v>
      </c>
      <c r="D185" s="44">
        <v>202103</v>
      </c>
      <c r="E185" s="44">
        <v>20.3</v>
      </c>
      <c r="F185" s="44">
        <v>20.6</v>
      </c>
      <c r="G185" s="44">
        <v>20.3</v>
      </c>
      <c r="H185" s="44">
        <v>20.55</v>
      </c>
      <c r="I185" s="44">
        <v>0.3</v>
      </c>
      <c r="J185" s="44">
        <v>1.48</v>
      </c>
      <c r="K185" s="44">
        <v>44</v>
      </c>
      <c r="L185" s="44">
        <v>20.55</v>
      </c>
      <c r="M185" s="44">
        <v>573</v>
      </c>
    </row>
    <row r="186" spans="1:13" x14ac:dyDescent="0.25">
      <c r="A186" s="45" t="s">
        <v>1298</v>
      </c>
      <c r="B186" s="44" t="s">
        <v>3755</v>
      </c>
      <c r="C186" s="47">
        <v>44250</v>
      </c>
      <c r="D186" s="44">
        <v>202104</v>
      </c>
      <c r="E186" s="44">
        <v>20.350000000000001</v>
      </c>
      <c r="F186" s="44">
        <v>20.45</v>
      </c>
      <c r="G186" s="44">
        <v>20.350000000000001</v>
      </c>
      <c r="H186" s="44">
        <v>20.45</v>
      </c>
      <c r="I186" s="44">
        <v>0.2</v>
      </c>
      <c r="J186" s="44">
        <v>0.99</v>
      </c>
      <c r="K186" s="44">
        <v>7</v>
      </c>
      <c r="L186" s="44">
        <v>20.45</v>
      </c>
      <c r="M186" s="44">
        <v>50</v>
      </c>
    </row>
    <row r="187" spans="1:13" x14ac:dyDescent="0.25">
      <c r="A187" s="45" t="s">
        <v>1299</v>
      </c>
      <c r="B187" s="44" t="s">
        <v>3756</v>
      </c>
      <c r="C187" s="47">
        <v>44250</v>
      </c>
      <c r="D187" s="44">
        <v>202104</v>
      </c>
      <c r="E187" s="44">
        <v>20.350000000000001</v>
      </c>
      <c r="F187" s="44">
        <v>20.45</v>
      </c>
      <c r="G187" s="44">
        <v>20.350000000000001</v>
      </c>
      <c r="H187" s="44">
        <v>20.45</v>
      </c>
      <c r="I187" s="44">
        <v>0.2</v>
      </c>
      <c r="J187" s="44">
        <v>0.99</v>
      </c>
      <c r="K187" s="44">
        <v>7</v>
      </c>
      <c r="L187" s="44">
        <v>20.45</v>
      </c>
      <c r="M187" s="44">
        <v>50</v>
      </c>
    </row>
    <row r="188" spans="1:13" x14ac:dyDescent="0.25">
      <c r="A188" s="45" t="s">
        <v>1300</v>
      </c>
      <c r="C188" s="47"/>
    </row>
    <row r="189" spans="1:13" x14ac:dyDescent="0.25">
      <c r="A189" s="45" t="s">
        <v>1301</v>
      </c>
      <c r="C189" s="47"/>
    </row>
    <row r="190" spans="1:13" x14ac:dyDescent="0.25">
      <c r="A190" s="45" t="s">
        <v>1302</v>
      </c>
      <c r="B190" s="44" t="s">
        <v>3757</v>
      </c>
      <c r="C190" s="47">
        <v>44250</v>
      </c>
      <c r="D190" s="44">
        <v>202103</v>
      </c>
      <c r="E190" s="44">
        <v>20.3</v>
      </c>
      <c r="F190" s="44">
        <v>20.6</v>
      </c>
      <c r="G190" s="44">
        <v>20.3</v>
      </c>
      <c r="H190" s="44">
        <v>20.55</v>
      </c>
      <c r="I190" s="44">
        <v>0.3</v>
      </c>
      <c r="J190" s="44">
        <v>1.48</v>
      </c>
      <c r="K190" s="44">
        <v>44</v>
      </c>
      <c r="L190" s="44">
        <v>20.55</v>
      </c>
      <c r="M190" s="44">
        <v>573</v>
      </c>
    </row>
    <row r="191" spans="1:13" x14ac:dyDescent="0.25">
      <c r="A191" s="45" t="s">
        <v>1303</v>
      </c>
      <c r="B191" s="44" t="s">
        <v>3758</v>
      </c>
      <c r="C191" s="47">
        <v>44250</v>
      </c>
      <c r="D191" s="44">
        <v>202106</v>
      </c>
      <c r="E191" s="44">
        <v>20.399999999999999</v>
      </c>
      <c r="F191" s="44">
        <v>20.5</v>
      </c>
      <c r="G191" s="44">
        <v>20.399999999999999</v>
      </c>
      <c r="H191" s="44">
        <v>20.5</v>
      </c>
      <c r="I191" s="44">
        <v>0.2</v>
      </c>
      <c r="J191" s="44">
        <v>0.99</v>
      </c>
      <c r="K191" s="44">
        <v>5</v>
      </c>
      <c r="L191" s="44">
        <v>20.5</v>
      </c>
      <c r="M191" s="44">
        <v>66</v>
      </c>
    </row>
    <row r="192" spans="1:13" x14ac:dyDescent="0.25">
      <c r="A192" s="45" t="s">
        <v>1304</v>
      </c>
      <c r="B192" s="44" t="s">
        <v>3759</v>
      </c>
      <c r="C192" s="47">
        <v>44250</v>
      </c>
      <c r="D192" s="44">
        <v>202109</v>
      </c>
      <c r="E192" s="44">
        <v>20.2</v>
      </c>
      <c r="F192" s="44">
        <v>20.2</v>
      </c>
      <c r="G192" s="44">
        <v>20.2</v>
      </c>
      <c r="H192" s="44">
        <v>20.2</v>
      </c>
      <c r="I192" s="44">
        <v>0.3</v>
      </c>
      <c r="J192" s="44">
        <v>1.51</v>
      </c>
      <c r="K192" s="44">
        <v>0</v>
      </c>
      <c r="L192" s="44">
        <v>20.2</v>
      </c>
      <c r="M192" s="44">
        <v>5</v>
      </c>
    </row>
    <row r="193" spans="1:13" x14ac:dyDescent="0.25">
      <c r="A193" s="45" t="s">
        <v>1305</v>
      </c>
      <c r="B193" s="44" t="s">
        <v>3760</v>
      </c>
      <c r="C193" s="47">
        <v>44250</v>
      </c>
      <c r="D193" s="44">
        <v>202112</v>
      </c>
      <c r="E193" s="44">
        <v>20.6</v>
      </c>
      <c r="F193" s="44">
        <v>20.6</v>
      </c>
      <c r="G193" s="44">
        <v>20.6</v>
      </c>
      <c r="H193" s="44">
        <v>20.6</v>
      </c>
      <c r="I193" s="44">
        <v>0.3</v>
      </c>
      <c r="J193" s="44">
        <v>1.48</v>
      </c>
      <c r="K193" s="44">
        <v>0</v>
      </c>
      <c r="L193" s="44">
        <v>20.6</v>
      </c>
      <c r="M193" s="44">
        <v>0</v>
      </c>
    </row>
    <row r="194" spans="1:13" x14ac:dyDescent="0.25">
      <c r="A194" s="45" t="s">
        <v>892</v>
      </c>
      <c r="B194" s="44" t="s">
        <v>3761</v>
      </c>
      <c r="C194" s="47">
        <v>44250</v>
      </c>
      <c r="D194" s="44">
        <v>202103</v>
      </c>
      <c r="E194" s="44">
        <v>69</v>
      </c>
      <c r="F194" s="44">
        <v>69.7</v>
      </c>
      <c r="G194" s="44">
        <v>68.8</v>
      </c>
      <c r="H194" s="44">
        <v>69.400000000000006</v>
      </c>
      <c r="I194" s="44">
        <v>0.5</v>
      </c>
      <c r="J194" s="44">
        <v>0.73</v>
      </c>
      <c r="K194" s="44">
        <v>93</v>
      </c>
      <c r="L194" s="44">
        <v>69.400000000000006</v>
      </c>
      <c r="M194" s="44">
        <v>391</v>
      </c>
    </row>
    <row r="195" spans="1:13" x14ac:dyDescent="0.25">
      <c r="A195" s="45" t="s">
        <v>1306</v>
      </c>
      <c r="B195" s="44" t="s">
        <v>3762</v>
      </c>
      <c r="C195" s="47">
        <v>44250</v>
      </c>
      <c r="D195" s="44">
        <v>202103</v>
      </c>
      <c r="E195" s="44">
        <v>69</v>
      </c>
      <c r="F195" s="44">
        <v>69.7</v>
      </c>
      <c r="G195" s="44">
        <v>68.8</v>
      </c>
      <c r="H195" s="44">
        <v>69.400000000000006</v>
      </c>
      <c r="I195" s="44">
        <v>0.5</v>
      </c>
      <c r="J195" s="44">
        <v>0.73</v>
      </c>
      <c r="K195" s="44">
        <v>93</v>
      </c>
      <c r="L195" s="44">
        <v>69.400000000000006</v>
      </c>
      <c r="M195" s="44">
        <v>391</v>
      </c>
    </row>
    <row r="196" spans="1:13" x14ac:dyDescent="0.25">
      <c r="A196" s="45" t="s">
        <v>1307</v>
      </c>
      <c r="B196" s="44" t="s">
        <v>3763</v>
      </c>
      <c r="C196" s="47">
        <v>44250</v>
      </c>
      <c r="D196" s="44">
        <v>202104</v>
      </c>
      <c r="E196" s="44">
        <v>68.7</v>
      </c>
      <c r="F196" s="44">
        <v>68.7</v>
      </c>
      <c r="G196" s="44">
        <v>68.7</v>
      </c>
      <c r="H196" s="44">
        <v>68.7</v>
      </c>
      <c r="I196" s="44">
        <v>0</v>
      </c>
      <c r="J196" s="44">
        <v>0</v>
      </c>
      <c r="K196" s="44">
        <v>10</v>
      </c>
      <c r="L196" s="44">
        <v>69.2</v>
      </c>
      <c r="M196" s="44">
        <v>39</v>
      </c>
    </row>
    <row r="197" spans="1:13" x14ac:dyDescent="0.25">
      <c r="A197" s="45" t="s">
        <v>1308</v>
      </c>
      <c r="B197" s="44" t="s">
        <v>3764</v>
      </c>
      <c r="C197" s="47">
        <v>44250</v>
      </c>
      <c r="D197" s="44">
        <v>202104</v>
      </c>
      <c r="E197" s="44">
        <v>68.7</v>
      </c>
      <c r="F197" s="44">
        <v>68.7</v>
      </c>
      <c r="G197" s="44">
        <v>68.7</v>
      </c>
      <c r="H197" s="44">
        <v>68.7</v>
      </c>
      <c r="I197" s="44">
        <v>0</v>
      </c>
      <c r="J197" s="44">
        <v>0</v>
      </c>
      <c r="K197" s="44">
        <v>10</v>
      </c>
      <c r="L197" s="44">
        <v>69.2</v>
      </c>
      <c r="M197" s="44">
        <v>39</v>
      </c>
    </row>
    <row r="198" spans="1:13" x14ac:dyDescent="0.25">
      <c r="A198" s="45" t="s">
        <v>1309</v>
      </c>
      <c r="C198" s="47"/>
    </row>
    <row r="199" spans="1:13" x14ac:dyDescent="0.25">
      <c r="A199" s="45" t="s">
        <v>1310</v>
      </c>
      <c r="C199" s="47"/>
    </row>
    <row r="200" spans="1:13" x14ac:dyDescent="0.25">
      <c r="A200" s="45" t="s">
        <v>1311</v>
      </c>
      <c r="B200" s="44" t="s">
        <v>3765</v>
      </c>
      <c r="C200" s="47">
        <v>44250</v>
      </c>
      <c r="D200" s="44">
        <v>202103</v>
      </c>
      <c r="E200" s="44">
        <v>69</v>
      </c>
      <c r="F200" s="44">
        <v>69.7</v>
      </c>
      <c r="G200" s="44">
        <v>68.8</v>
      </c>
      <c r="H200" s="44">
        <v>69.400000000000006</v>
      </c>
      <c r="I200" s="44">
        <v>0.5</v>
      </c>
      <c r="J200" s="44">
        <v>0.73</v>
      </c>
      <c r="K200" s="44">
        <v>93</v>
      </c>
      <c r="L200" s="44">
        <v>69.400000000000006</v>
      </c>
      <c r="M200" s="44">
        <v>391</v>
      </c>
    </row>
    <row r="201" spans="1:13" x14ac:dyDescent="0.25">
      <c r="A201" s="45" t="s">
        <v>1312</v>
      </c>
      <c r="B201" s="44" t="s">
        <v>3766</v>
      </c>
      <c r="C201" s="47">
        <v>44250</v>
      </c>
      <c r="D201" s="44">
        <v>202106</v>
      </c>
      <c r="E201" s="44">
        <v>69.5</v>
      </c>
      <c r="F201" s="44">
        <v>69.5</v>
      </c>
      <c r="G201" s="44">
        <v>69.5</v>
      </c>
      <c r="H201" s="44">
        <v>69.5</v>
      </c>
      <c r="I201" s="44">
        <v>0.5</v>
      </c>
      <c r="J201" s="44">
        <v>0.72</v>
      </c>
      <c r="K201" s="44">
        <v>0</v>
      </c>
      <c r="L201" s="44">
        <v>69.5</v>
      </c>
      <c r="M201" s="44">
        <v>21</v>
      </c>
    </row>
    <row r="202" spans="1:13" x14ac:dyDescent="0.25">
      <c r="A202" s="45" t="s">
        <v>1313</v>
      </c>
      <c r="B202" s="44" t="s">
        <v>3767</v>
      </c>
      <c r="C202" s="47">
        <v>44250</v>
      </c>
      <c r="D202" s="44">
        <v>202109</v>
      </c>
      <c r="E202" s="44">
        <v>69.599999999999994</v>
      </c>
      <c r="F202" s="44">
        <v>69.599999999999994</v>
      </c>
      <c r="G202" s="44">
        <v>69.599999999999994</v>
      </c>
      <c r="H202" s="44">
        <v>69.599999999999994</v>
      </c>
      <c r="I202" s="44">
        <v>0.5</v>
      </c>
      <c r="J202" s="44">
        <v>0.72</v>
      </c>
      <c r="K202" s="44">
        <v>0</v>
      </c>
      <c r="L202" s="44">
        <v>69.599999999999994</v>
      </c>
      <c r="M202" s="44">
        <v>3</v>
      </c>
    </row>
    <row r="203" spans="1:13" x14ac:dyDescent="0.25">
      <c r="A203" s="45" t="s">
        <v>1314</v>
      </c>
      <c r="B203" s="44" t="s">
        <v>3768</v>
      </c>
      <c r="C203" s="47">
        <v>44250</v>
      </c>
      <c r="D203" s="44">
        <v>202112</v>
      </c>
      <c r="E203" s="44">
        <v>68.8</v>
      </c>
      <c r="F203" s="44">
        <v>68.8</v>
      </c>
      <c r="G203" s="44">
        <v>68.8</v>
      </c>
      <c r="H203" s="44">
        <v>68.8</v>
      </c>
      <c r="I203" s="44">
        <v>0.5</v>
      </c>
      <c r="J203" s="44">
        <v>0.73</v>
      </c>
      <c r="K203" s="44">
        <v>0</v>
      </c>
      <c r="L203" s="44">
        <v>68.8</v>
      </c>
      <c r="M203" s="44">
        <v>0</v>
      </c>
    </row>
    <row r="204" spans="1:13" x14ac:dyDescent="0.25">
      <c r="A204" s="45" t="s">
        <v>899</v>
      </c>
      <c r="B204" s="44" t="s">
        <v>3769</v>
      </c>
      <c r="C204" s="47">
        <v>44250</v>
      </c>
      <c r="D204" s="44">
        <v>202103</v>
      </c>
      <c r="E204" s="44">
        <v>27.7</v>
      </c>
      <c r="F204" s="44">
        <v>28.25</v>
      </c>
      <c r="G204" s="44">
        <v>27.7</v>
      </c>
      <c r="H204" s="44">
        <v>28.1</v>
      </c>
      <c r="I204" s="44">
        <v>0.4</v>
      </c>
      <c r="J204" s="44">
        <v>1.44</v>
      </c>
      <c r="K204" s="44">
        <v>62</v>
      </c>
      <c r="L204" s="44">
        <v>28.1</v>
      </c>
      <c r="M204" s="44">
        <v>265</v>
      </c>
    </row>
    <row r="205" spans="1:13" x14ac:dyDescent="0.25">
      <c r="A205" s="45" t="s">
        <v>1315</v>
      </c>
      <c r="B205" s="44" t="s">
        <v>3770</v>
      </c>
      <c r="C205" s="47">
        <v>44250</v>
      </c>
      <c r="D205" s="44">
        <v>202103</v>
      </c>
      <c r="E205" s="44">
        <v>27.7</v>
      </c>
      <c r="F205" s="44">
        <v>28.25</v>
      </c>
      <c r="G205" s="44">
        <v>27.7</v>
      </c>
      <c r="H205" s="44">
        <v>28.1</v>
      </c>
      <c r="I205" s="44">
        <v>0.4</v>
      </c>
      <c r="J205" s="44">
        <v>1.44</v>
      </c>
      <c r="K205" s="44">
        <v>62</v>
      </c>
      <c r="L205" s="44">
        <v>28.1</v>
      </c>
      <c r="M205" s="44">
        <v>265</v>
      </c>
    </row>
    <row r="206" spans="1:13" x14ac:dyDescent="0.25">
      <c r="A206" s="45" t="s">
        <v>1316</v>
      </c>
      <c r="B206" s="44" t="s">
        <v>3771</v>
      </c>
      <c r="C206" s="47">
        <v>44250</v>
      </c>
      <c r="D206" s="44">
        <v>202104</v>
      </c>
      <c r="E206" s="44">
        <v>28.15</v>
      </c>
      <c r="F206" s="44">
        <v>28.25</v>
      </c>
      <c r="G206" s="44">
        <v>28.1</v>
      </c>
      <c r="H206" s="44">
        <v>28.25</v>
      </c>
      <c r="I206" s="44">
        <v>0.6</v>
      </c>
      <c r="J206" s="44">
        <v>2.17</v>
      </c>
      <c r="K206" s="44">
        <v>56</v>
      </c>
      <c r="L206" s="44">
        <v>28.25</v>
      </c>
      <c r="M206" s="44">
        <v>133</v>
      </c>
    </row>
    <row r="207" spans="1:13" x14ac:dyDescent="0.25">
      <c r="A207" s="45" t="s">
        <v>1317</v>
      </c>
      <c r="B207" s="44" t="s">
        <v>3772</v>
      </c>
      <c r="C207" s="47">
        <v>44250</v>
      </c>
      <c r="D207" s="44">
        <v>202104</v>
      </c>
      <c r="E207" s="44">
        <v>28.15</v>
      </c>
      <c r="F207" s="44">
        <v>28.25</v>
      </c>
      <c r="G207" s="44">
        <v>28.1</v>
      </c>
      <c r="H207" s="44">
        <v>28.25</v>
      </c>
      <c r="I207" s="44">
        <v>0.6</v>
      </c>
      <c r="J207" s="44">
        <v>2.17</v>
      </c>
      <c r="K207" s="44">
        <v>56</v>
      </c>
      <c r="L207" s="44">
        <v>28.25</v>
      </c>
      <c r="M207" s="44">
        <v>133</v>
      </c>
    </row>
    <row r="208" spans="1:13" x14ac:dyDescent="0.25">
      <c r="A208" s="45" t="s">
        <v>1318</v>
      </c>
      <c r="C208" s="47"/>
    </row>
    <row r="209" spans="1:13" x14ac:dyDescent="0.25">
      <c r="A209" s="45" t="s">
        <v>1319</v>
      </c>
      <c r="C209" s="47"/>
    </row>
    <row r="210" spans="1:13" x14ac:dyDescent="0.25">
      <c r="A210" s="45" t="s">
        <v>1320</v>
      </c>
      <c r="B210" s="44" t="s">
        <v>3773</v>
      </c>
      <c r="C210" s="47">
        <v>44250</v>
      </c>
      <c r="D210" s="44">
        <v>202103</v>
      </c>
      <c r="E210" s="44">
        <v>27.7</v>
      </c>
      <c r="F210" s="44">
        <v>28.25</v>
      </c>
      <c r="G210" s="44">
        <v>27.7</v>
      </c>
      <c r="H210" s="44">
        <v>28.1</v>
      </c>
      <c r="I210" s="44">
        <v>0.4</v>
      </c>
      <c r="J210" s="44">
        <v>1.44</v>
      </c>
      <c r="K210" s="44">
        <v>62</v>
      </c>
      <c r="L210" s="44">
        <v>28.1</v>
      </c>
      <c r="M210" s="44">
        <v>265</v>
      </c>
    </row>
    <row r="211" spans="1:13" x14ac:dyDescent="0.25">
      <c r="A211" s="45" t="s">
        <v>1321</v>
      </c>
      <c r="B211" s="44" t="s">
        <v>3774</v>
      </c>
      <c r="C211" s="47">
        <v>44250</v>
      </c>
      <c r="D211" s="44">
        <v>202106</v>
      </c>
      <c r="E211" s="44">
        <v>28.25</v>
      </c>
      <c r="F211" s="44">
        <v>28.25</v>
      </c>
      <c r="G211" s="44">
        <v>28.25</v>
      </c>
      <c r="H211" s="44">
        <v>28.25</v>
      </c>
      <c r="I211" s="44">
        <v>0.75</v>
      </c>
      <c r="J211" s="44">
        <v>2.73</v>
      </c>
      <c r="K211" s="44">
        <v>0</v>
      </c>
      <c r="L211" s="44">
        <v>28.25</v>
      </c>
      <c r="M211" s="44">
        <v>0</v>
      </c>
    </row>
    <row r="212" spans="1:13" x14ac:dyDescent="0.25">
      <c r="A212" s="45" t="s">
        <v>1322</v>
      </c>
      <c r="B212" s="44" t="s">
        <v>3775</v>
      </c>
      <c r="C212" s="47">
        <v>44250</v>
      </c>
      <c r="D212" s="44">
        <v>202109</v>
      </c>
      <c r="E212" s="44">
        <v>27.8</v>
      </c>
      <c r="F212" s="44">
        <v>27.8</v>
      </c>
      <c r="G212" s="44">
        <v>27.8</v>
      </c>
      <c r="H212" s="44">
        <v>27.8</v>
      </c>
      <c r="I212" s="44">
        <v>0.4</v>
      </c>
      <c r="J212" s="44">
        <v>1.46</v>
      </c>
      <c r="K212" s="44">
        <v>0</v>
      </c>
      <c r="L212" s="44">
        <v>27.8</v>
      </c>
      <c r="M212" s="44">
        <v>6</v>
      </c>
    </row>
    <row r="213" spans="1:13" x14ac:dyDescent="0.25">
      <c r="A213" s="45" t="s">
        <v>1323</v>
      </c>
      <c r="B213" s="44" t="s">
        <v>3776</v>
      </c>
      <c r="C213" s="47">
        <v>44250</v>
      </c>
      <c r="D213" s="44">
        <v>202112</v>
      </c>
      <c r="E213" s="44">
        <v>27.85</v>
      </c>
      <c r="F213" s="44">
        <v>27.85</v>
      </c>
      <c r="G213" s="44">
        <v>27.85</v>
      </c>
      <c r="H213" s="44">
        <v>27.85</v>
      </c>
      <c r="I213" s="44">
        <v>0.4</v>
      </c>
      <c r="J213" s="44">
        <v>1.46</v>
      </c>
      <c r="K213" s="44">
        <v>0</v>
      </c>
      <c r="L213" s="44">
        <v>27.85</v>
      </c>
      <c r="M213" s="44">
        <v>0</v>
      </c>
    </row>
    <row r="214" spans="1:13" x14ac:dyDescent="0.25">
      <c r="A214" s="45" t="s">
        <v>907</v>
      </c>
      <c r="B214" s="44" t="s">
        <v>3777</v>
      </c>
      <c r="C214" s="47">
        <v>44250</v>
      </c>
      <c r="D214" s="44">
        <v>202103</v>
      </c>
      <c r="E214" s="44">
        <v>18.75</v>
      </c>
      <c r="F214" s="44">
        <v>19.05</v>
      </c>
      <c r="G214" s="44">
        <v>18.649999999999999</v>
      </c>
      <c r="H214" s="44">
        <v>18.899999999999999</v>
      </c>
      <c r="I214" s="44">
        <v>0.25</v>
      </c>
      <c r="J214" s="44">
        <v>1.34</v>
      </c>
      <c r="K214" s="44">
        <v>295</v>
      </c>
      <c r="L214" s="44">
        <v>18.899999999999999</v>
      </c>
      <c r="M214" s="44">
        <v>1047</v>
      </c>
    </row>
    <row r="215" spans="1:13" x14ac:dyDescent="0.25">
      <c r="A215" s="45" t="s">
        <v>1324</v>
      </c>
      <c r="B215" s="44" t="s">
        <v>3778</v>
      </c>
      <c r="C215" s="47">
        <v>44250</v>
      </c>
      <c r="D215" s="44">
        <v>202103</v>
      </c>
      <c r="E215" s="44">
        <v>18.75</v>
      </c>
      <c r="F215" s="44">
        <v>19.05</v>
      </c>
      <c r="G215" s="44">
        <v>18.649999999999999</v>
      </c>
      <c r="H215" s="44">
        <v>18.899999999999999</v>
      </c>
      <c r="I215" s="44">
        <v>0.25</v>
      </c>
      <c r="J215" s="44">
        <v>1.34</v>
      </c>
      <c r="K215" s="44">
        <v>295</v>
      </c>
      <c r="L215" s="44">
        <v>18.899999999999999</v>
      </c>
      <c r="M215" s="44">
        <v>1047</v>
      </c>
    </row>
    <row r="216" spans="1:13" x14ac:dyDescent="0.25">
      <c r="A216" s="45" t="s">
        <v>1325</v>
      </c>
      <c r="B216" s="44" t="s">
        <v>3779</v>
      </c>
      <c r="C216" s="47">
        <v>44250</v>
      </c>
      <c r="D216" s="44">
        <v>202104</v>
      </c>
      <c r="E216" s="44">
        <v>18.75</v>
      </c>
      <c r="F216" s="44">
        <v>18.899999999999999</v>
      </c>
      <c r="G216" s="44">
        <v>18.75</v>
      </c>
      <c r="H216" s="44">
        <v>18.899999999999999</v>
      </c>
      <c r="I216" s="44">
        <v>0.3</v>
      </c>
      <c r="J216" s="44">
        <v>1.61</v>
      </c>
      <c r="K216" s="44">
        <v>24</v>
      </c>
      <c r="L216" s="44">
        <v>18.899999999999999</v>
      </c>
      <c r="M216" s="44">
        <v>63</v>
      </c>
    </row>
    <row r="217" spans="1:13" x14ac:dyDescent="0.25">
      <c r="A217" s="45" t="s">
        <v>1326</v>
      </c>
      <c r="B217" s="44" t="s">
        <v>3780</v>
      </c>
      <c r="C217" s="47">
        <v>44250</v>
      </c>
      <c r="D217" s="44">
        <v>202104</v>
      </c>
      <c r="E217" s="44">
        <v>18.75</v>
      </c>
      <c r="F217" s="44">
        <v>18.899999999999999</v>
      </c>
      <c r="G217" s="44">
        <v>18.75</v>
      </c>
      <c r="H217" s="44">
        <v>18.899999999999999</v>
      </c>
      <c r="I217" s="44">
        <v>0.3</v>
      </c>
      <c r="J217" s="44">
        <v>1.61</v>
      </c>
      <c r="K217" s="44">
        <v>24</v>
      </c>
      <c r="L217" s="44">
        <v>18.899999999999999</v>
      </c>
      <c r="M217" s="44">
        <v>63</v>
      </c>
    </row>
    <row r="218" spans="1:13" x14ac:dyDescent="0.25">
      <c r="A218" s="45" t="s">
        <v>1327</v>
      </c>
      <c r="C218" s="47"/>
    </row>
    <row r="219" spans="1:13" x14ac:dyDescent="0.25">
      <c r="A219" s="45" t="s">
        <v>1328</v>
      </c>
      <c r="C219" s="47"/>
    </row>
    <row r="220" spans="1:13" x14ac:dyDescent="0.25">
      <c r="A220" s="45" t="s">
        <v>1329</v>
      </c>
      <c r="B220" s="44" t="s">
        <v>3781</v>
      </c>
      <c r="C220" s="47">
        <v>44250</v>
      </c>
      <c r="D220" s="44">
        <v>202103</v>
      </c>
      <c r="E220" s="44">
        <v>18.75</v>
      </c>
      <c r="F220" s="44">
        <v>19.05</v>
      </c>
      <c r="G220" s="44">
        <v>18.649999999999999</v>
      </c>
      <c r="H220" s="44">
        <v>18.899999999999999</v>
      </c>
      <c r="I220" s="44">
        <v>0.25</v>
      </c>
      <c r="J220" s="44">
        <v>1.34</v>
      </c>
      <c r="K220" s="44">
        <v>295</v>
      </c>
      <c r="L220" s="44">
        <v>18.899999999999999</v>
      </c>
      <c r="M220" s="44">
        <v>1047</v>
      </c>
    </row>
    <row r="221" spans="1:13" x14ac:dyDescent="0.25">
      <c r="A221" s="45" t="s">
        <v>1330</v>
      </c>
      <c r="B221" s="44" t="s">
        <v>3782</v>
      </c>
      <c r="C221" s="47">
        <v>44250</v>
      </c>
      <c r="D221" s="44">
        <v>202106</v>
      </c>
      <c r="E221" s="44">
        <v>18.8</v>
      </c>
      <c r="F221" s="44">
        <v>18.8</v>
      </c>
      <c r="G221" s="44">
        <v>18.8</v>
      </c>
      <c r="H221" s="44">
        <v>18.8</v>
      </c>
      <c r="I221" s="44">
        <v>0.25</v>
      </c>
      <c r="J221" s="44">
        <v>1.35</v>
      </c>
      <c r="K221" s="44">
        <v>0</v>
      </c>
      <c r="L221" s="44">
        <v>18.8</v>
      </c>
      <c r="M221" s="44">
        <v>0</v>
      </c>
    </row>
    <row r="222" spans="1:13" x14ac:dyDescent="0.25">
      <c r="A222" s="45" t="s">
        <v>1331</v>
      </c>
      <c r="B222" s="44" t="s">
        <v>3783</v>
      </c>
      <c r="C222" s="47">
        <v>44250</v>
      </c>
      <c r="D222" s="44">
        <v>202109</v>
      </c>
      <c r="E222" s="44">
        <v>18.899999999999999</v>
      </c>
      <c r="F222" s="44">
        <v>18.899999999999999</v>
      </c>
      <c r="G222" s="44">
        <v>18.899999999999999</v>
      </c>
      <c r="H222" s="44">
        <v>18.899999999999999</v>
      </c>
      <c r="I222" s="44">
        <v>0.25</v>
      </c>
      <c r="J222" s="44">
        <v>1.34</v>
      </c>
      <c r="K222" s="44">
        <v>0</v>
      </c>
      <c r="L222" s="44">
        <v>18.899999999999999</v>
      </c>
      <c r="M222" s="44">
        <v>0</v>
      </c>
    </row>
    <row r="223" spans="1:13" x14ac:dyDescent="0.25">
      <c r="A223" s="45" t="s">
        <v>1332</v>
      </c>
      <c r="B223" s="44" t="s">
        <v>3784</v>
      </c>
      <c r="C223" s="47">
        <v>44250</v>
      </c>
      <c r="D223" s="44">
        <v>202112</v>
      </c>
      <c r="E223" s="44">
        <v>18.899999999999999</v>
      </c>
      <c r="F223" s="44">
        <v>18.899999999999999</v>
      </c>
      <c r="G223" s="44">
        <v>18.899999999999999</v>
      </c>
      <c r="H223" s="44">
        <v>18.899999999999999</v>
      </c>
      <c r="I223" s="44">
        <v>0.25</v>
      </c>
      <c r="J223" s="44">
        <v>1.34</v>
      </c>
      <c r="K223" s="44">
        <v>0</v>
      </c>
      <c r="L223" s="44">
        <v>18.899999999999999</v>
      </c>
      <c r="M223" s="44">
        <v>0</v>
      </c>
    </row>
    <row r="224" spans="1:13" x14ac:dyDescent="0.25">
      <c r="A224" s="45" t="s">
        <v>927</v>
      </c>
      <c r="B224" s="44" t="s">
        <v>3785</v>
      </c>
      <c r="C224" s="47">
        <v>44250</v>
      </c>
      <c r="D224" s="44">
        <v>202103</v>
      </c>
      <c r="E224" s="44">
        <v>8.3800000000000008</v>
      </c>
      <c r="F224" s="44">
        <v>8.48</v>
      </c>
      <c r="G224" s="44">
        <v>8.3800000000000008</v>
      </c>
      <c r="H224" s="44">
        <v>8.4</v>
      </c>
      <c r="I224" s="44">
        <v>0.05</v>
      </c>
      <c r="J224" s="44">
        <v>0.6</v>
      </c>
      <c r="K224" s="44">
        <v>25</v>
      </c>
      <c r="L224" s="44">
        <v>8.4</v>
      </c>
      <c r="M224" s="44">
        <v>333</v>
      </c>
    </row>
    <row r="225" spans="1:13" x14ac:dyDescent="0.25">
      <c r="A225" s="45" t="s">
        <v>1333</v>
      </c>
      <c r="B225" s="44" t="s">
        <v>3786</v>
      </c>
      <c r="C225" s="47">
        <v>44250</v>
      </c>
      <c r="D225" s="44">
        <v>202103</v>
      </c>
      <c r="E225" s="44">
        <v>8.3800000000000008</v>
      </c>
      <c r="F225" s="44">
        <v>8.48</v>
      </c>
      <c r="G225" s="44">
        <v>8.3800000000000008</v>
      </c>
      <c r="H225" s="44">
        <v>8.4</v>
      </c>
      <c r="I225" s="44">
        <v>0.05</v>
      </c>
      <c r="J225" s="44">
        <v>0.6</v>
      </c>
      <c r="K225" s="44">
        <v>25</v>
      </c>
      <c r="L225" s="44">
        <v>8.4</v>
      </c>
      <c r="M225" s="44">
        <v>333</v>
      </c>
    </row>
    <row r="226" spans="1:13" x14ac:dyDescent="0.25">
      <c r="A226" s="45" t="s">
        <v>1334</v>
      </c>
      <c r="B226" s="44" t="s">
        <v>3787</v>
      </c>
      <c r="C226" s="47">
        <v>44250</v>
      </c>
      <c r="D226" s="44">
        <v>202104</v>
      </c>
      <c r="E226" s="44">
        <v>8.34</v>
      </c>
      <c r="F226" s="44">
        <v>8.43</v>
      </c>
      <c r="G226" s="44">
        <v>8.34</v>
      </c>
      <c r="H226" s="44">
        <v>8.4</v>
      </c>
      <c r="I226" s="44">
        <v>0.09</v>
      </c>
      <c r="J226" s="44">
        <v>1.08</v>
      </c>
      <c r="K226" s="44">
        <v>24</v>
      </c>
      <c r="L226" s="44">
        <v>8.4</v>
      </c>
      <c r="M226" s="44">
        <v>18</v>
      </c>
    </row>
    <row r="227" spans="1:13" x14ac:dyDescent="0.25">
      <c r="A227" s="45" t="s">
        <v>1335</v>
      </c>
      <c r="B227" s="44" t="s">
        <v>3788</v>
      </c>
      <c r="C227" s="47">
        <v>44250</v>
      </c>
      <c r="D227" s="44">
        <v>202104</v>
      </c>
      <c r="E227" s="44">
        <v>8.34</v>
      </c>
      <c r="F227" s="44">
        <v>8.43</v>
      </c>
      <c r="G227" s="44">
        <v>8.34</v>
      </c>
      <c r="H227" s="44">
        <v>8.4</v>
      </c>
      <c r="I227" s="44">
        <v>0.09</v>
      </c>
      <c r="J227" s="44">
        <v>1.08</v>
      </c>
      <c r="K227" s="44">
        <v>24</v>
      </c>
      <c r="L227" s="44">
        <v>8.4</v>
      </c>
      <c r="M227" s="44">
        <v>18</v>
      </c>
    </row>
    <row r="228" spans="1:13" x14ac:dyDescent="0.25">
      <c r="A228" s="45" t="s">
        <v>1336</v>
      </c>
      <c r="C228" s="47"/>
    </row>
    <row r="229" spans="1:13" x14ac:dyDescent="0.25">
      <c r="A229" s="45" t="s">
        <v>1337</v>
      </c>
      <c r="B229" s="44" t="s">
        <v>3789</v>
      </c>
      <c r="C229" s="47">
        <v>44250</v>
      </c>
      <c r="D229" s="44">
        <v>202103</v>
      </c>
      <c r="E229" s="44">
        <v>8.3800000000000008</v>
      </c>
      <c r="F229" s="44">
        <v>8.48</v>
      </c>
      <c r="G229" s="44">
        <v>8.3800000000000008</v>
      </c>
      <c r="H229" s="44">
        <v>8.4</v>
      </c>
      <c r="I229" s="44">
        <v>0.05</v>
      </c>
      <c r="J229" s="44">
        <v>0.6</v>
      </c>
      <c r="K229" s="44">
        <v>25</v>
      </c>
      <c r="L229" s="44">
        <v>8.4</v>
      </c>
      <c r="M229" s="44">
        <v>333</v>
      </c>
    </row>
    <row r="230" spans="1:13" x14ac:dyDescent="0.25">
      <c r="A230" s="45" t="s">
        <v>1338</v>
      </c>
      <c r="B230" s="44" t="s">
        <v>3790</v>
      </c>
      <c r="C230" s="47">
        <v>44250</v>
      </c>
      <c r="D230" s="44">
        <v>202106</v>
      </c>
      <c r="E230" s="44">
        <v>8.33</v>
      </c>
      <c r="F230" s="44">
        <v>8.33</v>
      </c>
      <c r="G230" s="44">
        <v>8.33</v>
      </c>
      <c r="H230" s="44">
        <v>8.33</v>
      </c>
      <c r="I230" s="44">
        <v>0.05</v>
      </c>
      <c r="J230" s="44">
        <v>0.6</v>
      </c>
      <c r="K230" s="44">
        <v>0</v>
      </c>
      <c r="L230" s="44">
        <v>8.33</v>
      </c>
      <c r="M230" s="44">
        <v>6</v>
      </c>
    </row>
    <row r="231" spans="1:13" x14ac:dyDescent="0.25">
      <c r="A231" s="45" t="s">
        <v>1339</v>
      </c>
      <c r="B231" s="44" t="s">
        <v>3791</v>
      </c>
      <c r="C231" s="47">
        <v>44250</v>
      </c>
      <c r="D231" s="44">
        <v>202109</v>
      </c>
      <c r="E231" s="44">
        <v>8.43</v>
      </c>
      <c r="F231" s="44">
        <v>8.43</v>
      </c>
      <c r="G231" s="44">
        <v>8.43</v>
      </c>
      <c r="H231" s="44">
        <v>8.43</v>
      </c>
      <c r="I231" s="44">
        <v>0.05</v>
      </c>
      <c r="J231" s="44">
        <v>0.6</v>
      </c>
      <c r="K231" s="44">
        <v>0</v>
      </c>
      <c r="L231" s="44">
        <v>8.43</v>
      </c>
      <c r="M231" s="44">
        <v>1</v>
      </c>
    </row>
    <row r="232" spans="1:13" x14ac:dyDescent="0.25">
      <c r="A232" s="45" t="s">
        <v>1340</v>
      </c>
      <c r="B232" s="44" t="s">
        <v>3792</v>
      </c>
      <c r="C232" s="47">
        <v>44250</v>
      </c>
      <c r="D232" s="44">
        <v>202112</v>
      </c>
      <c r="E232" s="44">
        <v>8.42</v>
      </c>
      <c r="F232" s="44">
        <v>8.42</v>
      </c>
      <c r="G232" s="44">
        <v>8.42</v>
      </c>
      <c r="H232" s="44">
        <v>8.42</v>
      </c>
      <c r="I232" s="44">
        <v>0.05</v>
      </c>
      <c r="J232" s="44">
        <v>0.6</v>
      </c>
      <c r="K232" s="44">
        <v>0</v>
      </c>
      <c r="L232" s="44">
        <v>8.42</v>
      </c>
      <c r="M232" s="44">
        <v>0</v>
      </c>
    </row>
    <row r="233" spans="1:13" x14ac:dyDescent="0.25">
      <c r="A233" s="45" t="s">
        <v>941</v>
      </c>
      <c r="B233" s="44" t="s">
        <v>3793</v>
      </c>
      <c r="C233" s="47">
        <v>44250</v>
      </c>
      <c r="D233" s="44">
        <v>202103</v>
      </c>
      <c r="E233" s="44">
        <v>29.25</v>
      </c>
      <c r="F233" s="44">
        <v>29.45</v>
      </c>
      <c r="G233" s="44">
        <v>29.05</v>
      </c>
      <c r="H233" s="44">
        <v>29.35</v>
      </c>
      <c r="I233" s="44">
        <v>-0.15</v>
      </c>
      <c r="J233" s="44">
        <v>-0.51</v>
      </c>
      <c r="K233" s="44">
        <v>226</v>
      </c>
      <c r="L233" s="44">
        <v>29.35</v>
      </c>
      <c r="M233" s="44">
        <v>1149</v>
      </c>
    </row>
    <row r="234" spans="1:13" x14ac:dyDescent="0.25">
      <c r="A234" s="45" t="s">
        <v>1341</v>
      </c>
      <c r="B234" s="44" t="s">
        <v>3794</v>
      </c>
      <c r="C234" s="47">
        <v>44250</v>
      </c>
      <c r="D234" s="44">
        <v>202103</v>
      </c>
      <c r="E234" s="44">
        <v>29.25</v>
      </c>
      <c r="F234" s="44">
        <v>29.45</v>
      </c>
      <c r="G234" s="44">
        <v>29.05</v>
      </c>
      <c r="H234" s="44">
        <v>29.35</v>
      </c>
      <c r="I234" s="44">
        <v>-0.15</v>
      </c>
      <c r="J234" s="44">
        <v>-0.51</v>
      </c>
      <c r="K234" s="44">
        <v>226</v>
      </c>
      <c r="L234" s="44">
        <v>29.35</v>
      </c>
      <c r="M234" s="44">
        <v>1149</v>
      </c>
    </row>
    <row r="235" spans="1:13" x14ac:dyDescent="0.25">
      <c r="A235" s="45" t="s">
        <v>1342</v>
      </c>
      <c r="B235" s="44" t="s">
        <v>3795</v>
      </c>
      <c r="C235" s="47">
        <v>44250</v>
      </c>
      <c r="D235" s="44">
        <v>202104</v>
      </c>
      <c r="E235" s="44">
        <v>29.1</v>
      </c>
      <c r="F235" s="44">
        <v>29.3</v>
      </c>
      <c r="G235" s="44">
        <v>29.1</v>
      </c>
      <c r="H235" s="44">
        <v>29.3</v>
      </c>
      <c r="I235" s="44">
        <v>-0.05</v>
      </c>
      <c r="J235" s="44">
        <v>-0.17</v>
      </c>
      <c r="K235" s="44">
        <v>17</v>
      </c>
      <c r="L235" s="44">
        <v>29.3</v>
      </c>
      <c r="M235" s="44">
        <v>78</v>
      </c>
    </row>
    <row r="236" spans="1:13" x14ac:dyDescent="0.25">
      <c r="A236" s="45" t="s">
        <v>1343</v>
      </c>
      <c r="B236" s="44" t="s">
        <v>3796</v>
      </c>
      <c r="C236" s="47">
        <v>44250</v>
      </c>
      <c r="D236" s="44">
        <v>202104</v>
      </c>
      <c r="E236" s="44">
        <v>29.1</v>
      </c>
      <c r="F236" s="44">
        <v>29.3</v>
      </c>
      <c r="G236" s="44">
        <v>29.1</v>
      </c>
      <c r="H236" s="44">
        <v>29.3</v>
      </c>
      <c r="I236" s="44">
        <v>-0.05</v>
      </c>
      <c r="J236" s="44">
        <v>-0.17</v>
      </c>
      <c r="K236" s="44">
        <v>17</v>
      </c>
      <c r="L236" s="44">
        <v>29.3</v>
      </c>
      <c r="M236" s="44">
        <v>78</v>
      </c>
    </row>
    <row r="237" spans="1:13" x14ac:dyDescent="0.25">
      <c r="A237" s="45" t="s">
        <v>1344</v>
      </c>
      <c r="C237" s="47"/>
    </row>
    <row r="238" spans="1:13" x14ac:dyDescent="0.25">
      <c r="A238" s="45" t="s">
        <v>1345</v>
      </c>
      <c r="C238" s="47"/>
    </row>
    <row r="239" spans="1:13" x14ac:dyDescent="0.25">
      <c r="A239" s="45" t="s">
        <v>1346</v>
      </c>
      <c r="B239" s="44" t="s">
        <v>3797</v>
      </c>
      <c r="C239" s="47">
        <v>44250</v>
      </c>
      <c r="D239" s="44">
        <v>202103</v>
      </c>
      <c r="E239" s="44">
        <v>29.25</v>
      </c>
      <c r="F239" s="44">
        <v>29.45</v>
      </c>
      <c r="G239" s="44">
        <v>29.05</v>
      </c>
      <c r="H239" s="44">
        <v>29.35</v>
      </c>
      <c r="I239" s="44">
        <v>-0.15</v>
      </c>
      <c r="J239" s="44">
        <v>-0.51</v>
      </c>
      <c r="K239" s="44">
        <v>226</v>
      </c>
      <c r="L239" s="44">
        <v>29.35</v>
      </c>
      <c r="M239" s="44">
        <v>1149</v>
      </c>
    </row>
    <row r="240" spans="1:13" x14ac:dyDescent="0.25">
      <c r="A240" s="45" t="s">
        <v>1347</v>
      </c>
      <c r="B240" s="44" t="s">
        <v>3798</v>
      </c>
      <c r="C240" s="47">
        <v>44250</v>
      </c>
      <c r="D240" s="44">
        <v>202106</v>
      </c>
      <c r="E240" s="44">
        <v>29.25</v>
      </c>
      <c r="F240" s="44">
        <v>29.35</v>
      </c>
      <c r="G240" s="44">
        <v>29.1</v>
      </c>
      <c r="H240" s="44">
        <v>29.35</v>
      </c>
      <c r="I240" s="44">
        <v>-0.05</v>
      </c>
      <c r="J240" s="44">
        <v>-0.17</v>
      </c>
      <c r="K240" s="44">
        <v>6</v>
      </c>
      <c r="L240" s="44">
        <v>29.35</v>
      </c>
      <c r="M240" s="44">
        <v>18</v>
      </c>
    </row>
    <row r="241" spans="1:13" x14ac:dyDescent="0.25">
      <c r="A241" s="45" t="s">
        <v>1348</v>
      </c>
      <c r="B241" s="44" t="s">
        <v>3799</v>
      </c>
      <c r="C241" s="47">
        <v>44250</v>
      </c>
      <c r="D241" s="44">
        <v>202109</v>
      </c>
      <c r="E241" s="44">
        <v>29.4</v>
      </c>
      <c r="F241" s="44">
        <v>29.4</v>
      </c>
      <c r="G241" s="44">
        <v>29.4</v>
      </c>
      <c r="H241" s="44">
        <v>29.4</v>
      </c>
      <c r="I241" s="44">
        <v>-0.15</v>
      </c>
      <c r="J241" s="44">
        <v>-0.51</v>
      </c>
      <c r="K241" s="44">
        <v>0</v>
      </c>
      <c r="L241" s="44">
        <v>29.4</v>
      </c>
      <c r="M241" s="44">
        <v>0</v>
      </c>
    </row>
    <row r="242" spans="1:13" x14ac:dyDescent="0.25">
      <c r="A242" s="45" t="s">
        <v>1349</v>
      </c>
      <c r="B242" s="44" t="s">
        <v>3800</v>
      </c>
      <c r="C242" s="47">
        <v>44250</v>
      </c>
      <c r="D242" s="44">
        <v>202112</v>
      </c>
      <c r="E242" s="44">
        <v>29.4</v>
      </c>
      <c r="F242" s="44">
        <v>29.4</v>
      </c>
      <c r="G242" s="44">
        <v>29.4</v>
      </c>
      <c r="H242" s="44">
        <v>29.4</v>
      </c>
      <c r="I242" s="44">
        <v>-0.2</v>
      </c>
      <c r="J242" s="44">
        <v>-0.68</v>
      </c>
      <c r="K242" s="44">
        <v>0</v>
      </c>
      <c r="L242" s="44">
        <v>29.4</v>
      </c>
      <c r="M242" s="44">
        <v>0</v>
      </c>
    </row>
    <row r="243" spans="1:13" x14ac:dyDescent="0.25">
      <c r="A243" s="45" t="s">
        <v>948</v>
      </c>
      <c r="B243" s="44" t="s">
        <v>3801</v>
      </c>
      <c r="C243" s="47">
        <v>44250</v>
      </c>
      <c r="D243" s="44">
        <v>202103</v>
      </c>
      <c r="E243" s="44">
        <v>27.4</v>
      </c>
      <c r="F243" s="44">
        <v>27.5</v>
      </c>
      <c r="G243" s="44">
        <v>26.95</v>
      </c>
      <c r="H243" s="44">
        <v>27.15</v>
      </c>
      <c r="I243" s="44">
        <v>0.1</v>
      </c>
      <c r="J243" s="44">
        <v>0.37</v>
      </c>
      <c r="K243" s="44">
        <v>453</v>
      </c>
      <c r="L243" s="44">
        <v>27.15</v>
      </c>
      <c r="M243" s="44">
        <v>3778</v>
      </c>
    </row>
    <row r="244" spans="1:13" x14ac:dyDescent="0.25">
      <c r="A244" s="45" t="s">
        <v>1350</v>
      </c>
      <c r="B244" s="44" t="s">
        <v>3802</v>
      </c>
      <c r="C244" s="47">
        <v>44250</v>
      </c>
      <c r="D244" s="44">
        <v>202103</v>
      </c>
      <c r="E244" s="44">
        <v>27.4</v>
      </c>
      <c r="F244" s="44">
        <v>27.5</v>
      </c>
      <c r="G244" s="44">
        <v>26.95</v>
      </c>
      <c r="H244" s="44">
        <v>27.15</v>
      </c>
      <c r="I244" s="44">
        <v>0.1</v>
      </c>
      <c r="J244" s="44">
        <v>0.37</v>
      </c>
      <c r="K244" s="44">
        <v>453</v>
      </c>
      <c r="L244" s="44">
        <v>27.15</v>
      </c>
      <c r="M244" s="44">
        <v>3778</v>
      </c>
    </row>
    <row r="245" spans="1:13" x14ac:dyDescent="0.25">
      <c r="A245" s="45" t="s">
        <v>1351</v>
      </c>
      <c r="B245" s="44" t="s">
        <v>3803</v>
      </c>
      <c r="C245" s="47">
        <v>44250</v>
      </c>
      <c r="D245" s="44">
        <v>202103</v>
      </c>
      <c r="E245" s="44">
        <v>27.4</v>
      </c>
      <c r="F245" s="44">
        <v>27.5</v>
      </c>
      <c r="G245" s="44">
        <v>26.95</v>
      </c>
      <c r="H245" s="44">
        <v>27.15</v>
      </c>
      <c r="I245" s="44">
        <v>0.1</v>
      </c>
      <c r="J245" s="44">
        <v>0.37</v>
      </c>
      <c r="K245" s="44">
        <v>453</v>
      </c>
      <c r="L245" s="44">
        <v>27.15</v>
      </c>
      <c r="M245" s="44">
        <v>3778</v>
      </c>
    </row>
    <row r="246" spans="1:13" x14ac:dyDescent="0.25">
      <c r="A246" s="45" t="s">
        <v>959</v>
      </c>
      <c r="B246" s="44" t="s">
        <v>3804</v>
      </c>
      <c r="C246" s="47">
        <v>44250</v>
      </c>
      <c r="D246" s="44">
        <v>202103</v>
      </c>
      <c r="E246" s="44">
        <v>96.5</v>
      </c>
      <c r="F246" s="44">
        <v>99.5</v>
      </c>
      <c r="G246" s="44">
        <v>94.8</v>
      </c>
      <c r="H246" s="44">
        <v>98.9</v>
      </c>
      <c r="I246" s="44">
        <v>1.5</v>
      </c>
      <c r="J246" s="44">
        <v>1.54</v>
      </c>
      <c r="K246" s="44">
        <v>2234</v>
      </c>
      <c r="L246" s="44">
        <v>98.9</v>
      </c>
      <c r="M246" s="44">
        <v>1755</v>
      </c>
    </row>
    <row r="247" spans="1:13" x14ac:dyDescent="0.25">
      <c r="A247" s="45" t="s">
        <v>1352</v>
      </c>
      <c r="B247" s="44" t="s">
        <v>3805</v>
      </c>
      <c r="C247" s="47">
        <v>44250</v>
      </c>
      <c r="D247" s="44">
        <v>202103</v>
      </c>
      <c r="E247" s="44">
        <v>96.5</v>
      </c>
      <c r="F247" s="44">
        <v>99.5</v>
      </c>
      <c r="G247" s="44">
        <v>94.8</v>
      </c>
      <c r="H247" s="44">
        <v>98.9</v>
      </c>
      <c r="I247" s="44">
        <v>1.5</v>
      </c>
      <c r="J247" s="44">
        <v>1.54</v>
      </c>
      <c r="K247" s="44">
        <v>2234</v>
      </c>
      <c r="L247" s="44">
        <v>98.9</v>
      </c>
      <c r="M247" s="44">
        <v>1755</v>
      </c>
    </row>
    <row r="248" spans="1:13" x14ac:dyDescent="0.25">
      <c r="A248" s="45" t="s">
        <v>1353</v>
      </c>
      <c r="B248" s="44" t="s">
        <v>3806</v>
      </c>
      <c r="C248" s="47">
        <v>44250</v>
      </c>
      <c r="D248" s="44">
        <v>202104</v>
      </c>
      <c r="E248" s="44">
        <v>95.5</v>
      </c>
      <c r="F248" s="44">
        <v>99</v>
      </c>
      <c r="G248" s="44">
        <v>94.7</v>
      </c>
      <c r="H248" s="44">
        <v>98.2</v>
      </c>
      <c r="I248" s="44">
        <v>0.8</v>
      </c>
      <c r="J248" s="44">
        <v>0.82</v>
      </c>
      <c r="K248" s="44">
        <v>388</v>
      </c>
      <c r="L248" s="44">
        <v>98.2</v>
      </c>
      <c r="M248" s="44">
        <v>583</v>
      </c>
    </row>
    <row r="249" spans="1:13" x14ac:dyDescent="0.25">
      <c r="A249" s="45" t="s">
        <v>1354</v>
      </c>
      <c r="B249" s="44" t="s">
        <v>3807</v>
      </c>
      <c r="C249" s="47">
        <v>44250</v>
      </c>
      <c r="D249" s="44">
        <v>202104</v>
      </c>
      <c r="E249" s="44">
        <v>95.5</v>
      </c>
      <c r="F249" s="44">
        <v>99</v>
      </c>
      <c r="G249" s="44">
        <v>94.7</v>
      </c>
      <c r="H249" s="44">
        <v>98.2</v>
      </c>
      <c r="I249" s="44">
        <v>0.8</v>
      </c>
      <c r="J249" s="44">
        <v>0.82</v>
      </c>
      <c r="K249" s="44">
        <v>388</v>
      </c>
      <c r="L249" s="44">
        <v>98.2</v>
      </c>
      <c r="M249" s="44">
        <v>583</v>
      </c>
    </row>
    <row r="250" spans="1:13" x14ac:dyDescent="0.25">
      <c r="A250" s="45" t="s">
        <v>1355</v>
      </c>
      <c r="C250" s="47"/>
    </row>
    <row r="251" spans="1:13" x14ac:dyDescent="0.25">
      <c r="A251" s="45" t="s">
        <v>1356</v>
      </c>
      <c r="C251" s="47"/>
    </row>
    <row r="252" spans="1:13" x14ac:dyDescent="0.25">
      <c r="A252" s="45" t="s">
        <v>1357</v>
      </c>
      <c r="B252" s="44" t="s">
        <v>3808</v>
      </c>
      <c r="C252" s="47">
        <v>44250</v>
      </c>
      <c r="D252" s="44">
        <v>202103</v>
      </c>
      <c r="E252" s="44">
        <v>96.5</v>
      </c>
      <c r="F252" s="44">
        <v>99.5</v>
      </c>
      <c r="G252" s="44">
        <v>94.8</v>
      </c>
      <c r="H252" s="44">
        <v>98.9</v>
      </c>
      <c r="I252" s="44">
        <v>1.5</v>
      </c>
      <c r="J252" s="44">
        <v>1.54</v>
      </c>
      <c r="K252" s="44">
        <v>2234</v>
      </c>
      <c r="L252" s="44">
        <v>98.9</v>
      </c>
      <c r="M252" s="44">
        <v>1755</v>
      </c>
    </row>
    <row r="253" spans="1:13" x14ac:dyDescent="0.25">
      <c r="A253" s="45" t="s">
        <v>1358</v>
      </c>
      <c r="B253" s="44" t="s">
        <v>3809</v>
      </c>
      <c r="C253" s="47">
        <v>44250</v>
      </c>
      <c r="D253" s="44">
        <v>202106</v>
      </c>
      <c r="E253" s="44">
        <v>94.9</v>
      </c>
      <c r="F253" s="44">
        <v>94.9</v>
      </c>
      <c r="G253" s="44">
        <v>94.9</v>
      </c>
      <c r="H253" s="44">
        <v>94.9</v>
      </c>
      <c r="I253" s="44">
        <v>-1.9</v>
      </c>
      <c r="J253" s="44">
        <v>-1.96</v>
      </c>
      <c r="K253" s="44">
        <v>1</v>
      </c>
      <c r="L253" s="44">
        <v>98.2</v>
      </c>
      <c r="M253" s="44">
        <v>2</v>
      </c>
    </row>
    <row r="254" spans="1:13" x14ac:dyDescent="0.25">
      <c r="A254" s="45" t="s">
        <v>1359</v>
      </c>
      <c r="B254" s="44" t="s">
        <v>3810</v>
      </c>
      <c r="C254" s="47">
        <v>44250</v>
      </c>
      <c r="D254" s="44">
        <v>202109</v>
      </c>
      <c r="E254" s="44">
        <v>94.8</v>
      </c>
      <c r="F254" s="44">
        <v>97</v>
      </c>
      <c r="G254" s="44">
        <v>94.8</v>
      </c>
      <c r="H254" s="44">
        <v>97</v>
      </c>
      <c r="I254" s="44">
        <v>0.7</v>
      </c>
      <c r="J254" s="44">
        <v>0.73</v>
      </c>
      <c r="K254" s="44">
        <v>2</v>
      </c>
      <c r="L254" s="44">
        <v>97.7</v>
      </c>
      <c r="M254" s="44">
        <v>5</v>
      </c>
    </row>
    <row r="255" spans="1:13" x14ac:dyDescent="0.25">
      <c r="A255" s="45" t="s">
        <v>1360</v>
      </c>
      <c r="B255" s="44" t="s">
        <v>3811</v>
      </c>
      <c r="C255" s="47">
        <v>44250</v>
      </c>
      <c r="D255" s="44">
        <v>202112</v>
      </c>
      <c r="E255" s="44">
        <v>97.6</v>
      </c>
      <c r="F255" s="44">
        <v>97.6</v>
      </c>
      <c r="G255" s="44">
        <v>97.6</v>
      </c>
      <c r="H255" s="44">
        <v>97.6</v>
      </c>
      <c r="I255" s="44">
        <v>1.5</v>
      </c>
      <c r="J255" s="44">
        <v>1.56</v>
      </c>
      <c r="K255" s="44">
        <v>0</v>
      </c>
      <c r="L255" s="44">
        <v>97.6</v>
      </c>
      <c r="M255" s="44">
        <v>0</v>
      </c>
    </row>
    <row r="256" spans="1:13" x14ac:dyDescent="0.25">
      <c r="A256" s="45" t="s">
        <v>977</v>
      </c>
      <c r="B256" s="44" t="s">
        <v>3812</v>
      </c>
      <c r="C256" s="47">
        <v>44250</v>
      </c>
      <c r="D256" s="44">
        <v>202103</v>
      </c>
      <c r="E256" s="44">
        <v>39.15</v>
      </c>
      <c r="F256" s="44">
        <v>40.15</v>
      </c>
      <c r="G256" s="44">
        <v>38.4</v>
      </c>
      <c r="H256" s="44">
        <v>38.5</v>
      </c>
      <c r="I256" s="44">
        <v>-1.05</v>
      </c>
      <c r="J256" s="44">
        <v>-2.65</v>
      </c>
      <c r="K256" s="44">
        <v>36991</v>
      </c>
      <c r="L256" s="44">
        <v>38.450000000000003</v>
      </c>
      <c r="M256" s="44">
        <v>25689</v>
      </c>
    </row>
    <row r="257" spans="1:13" x14ac:dyDescent="0.25">
      <c r="A257" s="45" t="s">
        <v>1361</v>
      </c>
      <c r="B257" s="44" t="s">
        <v>3813</v>
      </c>
      <c r="C257" s="47">
        <v>44250</v>
      </c>
      <c r="D257" s="44">
        <v>202103</v>
      </c>
      <c r="E257" s="44">
        <v>39.15</v>
      </c>
      <c r="F257" s="44">
        <v>40.15</v>
      </c>
      <c r="G257" s="44">
        <v>38.4</v>
      </c>
      <c r="H257" s="44">
        <v>38.5</v>
      </c>
      <c r="I257" s="44">
        <v>-1.05</v>
      </c>
      <c r="J257" s="44">
        <v>-2.65</v>
      </c>
      <c r="K257" s="44">
        <v>36991</v>
      </c>
      <c r="L257" s="44">
        <v>38.450000000000003</v>
      </c>
      <c r="M257" s="44">
        <v>25689</v>
      </c>
    </row>
    <row r="258" spans="1:13" x14ac:dyDescent="0.25">
      <c r="A258" s="45" t="s">
        <v>1362</v>
      </c>
      <c r="B258" s="44" t="s">
        <v>3814</v>
      </c>
      <c r="C258" s="47">
        <v>44250</v>
      </c>
      <c r="D258" s="44">
        <v>202104</v>
      </c>
      <c r="E258" s="44">
        <v>39.049999999999997</v>
      </c>
      <c r="F258" s="44">
        <v>40</v>
      </c>
      <c r="G258" s="44">
        <v>38.35</v>
      </c>
      <c r="H258" s="44">
        <v>38.450000000000003</v>
      </c>
      <c r="I258" s="44">
        <v>-1</v>
      </c>
      <c r="J258" s="44">
        <v>-2.5299999999999998</v>
      </c>
      <c r="K258" s="44">
        <v>830</v>
      </c>
      <c r="L258" s="44">
        <v>38.4</v>
      </c>
      <c r="M258" s="44">
        <v>1539</v>
      </c>
    </row>
    <row r="259" spans="1:13" x14ac:dyDescent="0.25">
      <c r="A259" s="45" t="s">
        <v>1363</v>
      </c>
      <c r="B259" s="44" t="s">
        <v>3815</v>
      </c>
      <c r="C259" s="47">
        <v>44250</v>
      </c>
      <c r="D259" s="44">
        <v>202104</v>
      </c>
      <c r="E259" s="44">
        <v>39.049999999999997</v>
      </c>
      <c r="F259" s="44">
        <v>40</v>
      </c>
      <c r="G259" s="44">
        <v>38.35</v>
      </c>
      <c r="H259" s="44">
        <v>38.450000000000003</v>
      </c>
      <c r="I259" s="44">
        <v>-1</v>
      </c>
      <c r="J259" s="44">
        <v>-2.5299999999999998</v>
      </c>
      <c r="K259" s="44">
        <v>830</v>
      </c>
      <c r="L259" s="44">
        <v>38.4</v>
      </c>
      <c r="M259" s="44">
        <v>1539</v>
      </c>
    </row>
    <row r="260" spans="1:13" x14ac:dyDescent="0.25">
      <c r="A260" s="45" t="s">
        <v>1364</v>
      </c>
      <c r="C260" s="47"/>
    </row>
    <row r="261" spans="1:13" x14ac:dyDescent="0.25">
      <c r="A261" s="45" t="s">
        <v>1365</v>
      </c>
      <c r="C261" s="47"/>
    </row>
    <row r="262" spans="1:13" x14ac:dyDescent="0.25">
      <c r="A262" s="45" t="s">
        <v>1366</v>
      </c>
      <c r="B262" s="44" t="s">
        <v>3816</v>
      </c>
      <c r="C262" s="47">
        <v>44250</v>
      </c>
      <c r="D262" s="44">
        <v>202103</v>
      </c>
      <c r="E262" s="44">
        <v>39.15</v>
      </c>
      <c r="F262" s="44">
        <v>40.15</v>
      </c>
      <c r="G262" s="44">
        <v>38.4</v>
      </c>
      <c r="H262" s="44">
        <v>38.5</v>
      </c>
      <c r="I262" s="44">
        <v>-1.05</v>
      </c>
      <c r="J262" s="44">
        <v>-2.65</v>
      </c>
      <c r="K262" s="44">
        <v>36991</v>
      </c>
      <c r="L262" s="44">
        <v>38.450000000000003</v>
      </c>
      <c r="M262" s="44">
        <v>25689</v>
      </c>
    </row>
    <row r="263" spans="1:13" x14ac:dyDescent="0.25">
      <c r="A263" s="45" t="s">
        <v>1367</v>
      </c>
      <c r="B263" s="44" t="s">
        <v>3817</v>
      </c>
      <c r="C263" s="47">
        <v>44250</v>
      </c>
      <c r="D263" s="44" t="s">
        <v>5788</v>
      </c>
      <c r="E263" s="44">
        <v>0</v>
      </c>
      <c r="F263" s="44">
        <v>0</v>
      </c>
      <c r="G263" s="44">
        <v>0</v>
      </c>
      <c r="H263" s="44">
        <v>0</v>
      </c>
      <c r="K263" s="44">
        <v>0</v>
      </c>
    </row>
    <row r="264" spans="1:13" x14ac:dyDescent="0.25">
      <c r="A264" s="45" t="s">
        <v>1368</v>
      </c>
      <c r="B264" s="44" t="s">
        <v>3818</v>
      </c>
      <c r="C264" s="47">
        <v>44250</v>
      </c>
      <c r="D264" s="44">
        <v>202106</v>
      </c>
      <c r="E264" s="44">
        <v>38.9</v>
      </c>
      <c r="F264" s="44">
        <v>39.799999999999997</v>
      </c>
      <c r="G264" s="44">
        <v>38.200000000000003</v>
      </c>
      <c r="H264" s="44">
        <v>38.25</v>
      </c>
      <c r="I264" s="44">
        <v>-1</v>
      </c>
      <c r="J264" s="44">
        <v>-2.5499999999999998</v>
      </c>
      <c r="K264" s="44">
        <v>39</v>
      </c>
      <c r="L264" s="44">
        <v>38.25</v>
      </c>
      <c r="M264" s="44">
        <v>327</v>
      </c>
    </row>
    <row r="265" spans="1:13" x14ac:dyDescent="0.25">
      <c r="A265" s="45" t="s">
        <v>1369</v>
      </c>
      <c r="B265" s="44" t="s">
        <v>3819</v>
      </c>
      <c r="C265" s="47">
        <v>44250</v>
      </c>
      <c r="D265" s="44">
        <v>202109</v>
      </c>
      <c r="E265" s="44">
        <v>38.25</v>
      </c>
      <c r="F265" s="44">
        <v>38.25</v>
      </c>
      <c r="G265" s="44">
        <v>38.25</v>
      </c>
      <c r="H265" s="44">
        <v>38.25</v>
      </c>
      <c r="I265" s="44">
        <v>-0.85</v>
      </c>
      <c r="J265" s="44">
        <v>-2.17</v>
      </c>
      <c r="K265" s="44">
        <v>0</v>
      </c>
      <c r="L265" s="44">
        <v>38.25</v>
      </c>
      <c r="M265" s="44">
        <v>18</v>
      </c>
    </row>
    <row r="266" spans="1:13" x14ac:dyDescent="0.25">
      <c r="A266" s="45" t="s">
        <v>1370</v>
      </c>
      <c r="B266" s="44" t="s">
        <v>3820</v>
      </c>
      <c r="C266" s="47">
        <v>44250</v>
      </c>
      <c r="D266" s="44">
        <v>202112</v>
      </c>
      <c r="E266" s="44">
        <v>38.25</v>
      </c>
      <c r="F266" s="44">
        <v>38.25</v>
      </c>
      <c r="G266" s="44">
        <v>38.25</v>
      </c>
      <c r="H266" s="44">
        <v>38.25</v>
      </c>
      <c r="I266" s="44">
        <v>-1.1000000000000001</v>
      </c>
      <c r="J266" s="44">
        <v>-2.8</v>
      </c>
      <c r="K266" s="44">
        <v>0</v>
      </c>
      <c r="L266" s="44">
        <v>38.25</v>
      </c>
      <c r="M266" s="44">
        <v>1</v>
      </c>
    </row>
    <row r="267" spans="1:13" x14ac:dyDescent="0.25">
      <c r="A267" s="45" t="s">
        <v>982</v>
      </c>
      <c r="B267" s="44" t="s">
        <v>3821</v>
      </c>
      <c r="C267" s="47">
        <v>44250</v>
      </c>
      <c r="D267" s="44">
        <v>202103</v>
      </c>
      <c r="E267" s="44">
        <v>17.05</v>
      </c>
      <c r="F267" s="44">
        <v>17.3</v>
      </c>
      <c r="G267" s="44">
        <v>17.05</v>
      </c>
      <c r="H267" s="44">
        <v>17.3</v>
      </c>
      <c r="I267" s="44">
        <v>0.25</v>
      </c>
      <c r="J267" s="44">
        <v>1.47</v>
      </c>
      <c r="K267" s="44">
        <v>11</v>
      </c>
      <c r="L267" s="44">
        <v>17.3</v>
      </c>
      <c r="M267" s="44">
        <v>151</v>
      </c>
    </row>
    <row r="268" spans="1:13" x14ac:dyDescent="0.25">
      <c r="A268" s="45" t="s">
        <v>1371</v>
      </c>
      <c r="B268" s="44" t="s">
        <v>3822</v>
      </c>
      <c r="C268" s="47">
        <v>44250</v>
      </c>
      <c r="D268" s="44">
        <v>202103</v>
      </c>
      <c r="E268" s="44">
        <v>17.05</v>
      </c>
      <c r="F268" s="44">
        <v>17.3</v>
      </c>
      <c r="G268" s="44">
        <v>17.05</v>
      </c>
      <c r="H268" s="44">
        <v>17.3</v>
      </c>
      <c r="I268" s="44">
        <v>0.25</v>
      </c>
      <c r="J268" s="44">
        <v>1.47</v>
      </c>
      <c r="K268" s="44">
        <v>11</v>
      </c>
      <c r="L268" s="44">
        <v>17.3</v>
      </c>
      <c r="M268" s="44">
        <v>151</v>
      </c>
    </row>
    <row r="269" spans="1:13" x14ac:dyDescent="0.25">
      <c r="A269" s="45" t="s">
        <v>1372</v>
      </c>
      <c r="B269" s="44" t="s">
        <v>3823</v>
      </c>
      <c r="C269" s="47">
        <v>44250</v>
      </c>
      <c r="D269" s="44">
        <v>202104</v>
      </c>
      <c r="E269" s="44">
        <v>17.25</v>
      </c>
      <c r="F269" s="44">
        <v>17.25</v>
      </c>
      <c r="G269" s="44">
        <v>17.25</v>
      </c>
      <c r="H269" s="44">
        <v>17.25</v>
      </c>
      <c r="I269" s="44">
        <v>0.35</v>
      </c>
      <c r="J269" s="44">
        <v>2.0699999999999998</v>
      </c>
      <c r="K269" s="44">
        <v>1</v>
      </c>
      <c r="L269" s="44">
        <v>17.25</v>
      </c>
      <c r="M269" s="44">
        <v>62</v>
      </c>
    </row>
    <row r="270" spans="1:13" x14ac:dyDescent="0.25">
      <c r="A270" s="45" t="s">
        <v>1373</v>
      </c>
      <c r="B270" s="44" t="s">
        <v>3824</v>
      </c>
      <c r="C270" s="47">
        <v>44250</v>
      </c>
      <c r="D270" s="44">
        <v>202104</v>
      </c>
      <c r="E270" s="44">
        <v>17.25</v>
      </c>
      <c r="F270" s="44">
        <v>17.25</v>
      </c>
      <c r="G270" s="44">
        <v>17.25</v>
      </c>
      <c r="H270" s="44">
        <v>17.25</v>
      </c>
      <c r="I270" s="44">
        <v>0.35</v>
      </c>
      <c r="J270" s="44">
        <v>2.0699999999999998</v>
      </c>
      <c r="K270" s="44">
        <v>1</v>
      </c>
      <c r="L270" s="44">
        <v>17.25</v>
      </c>
      <c r="M270" s="44">
        <v>62</v>
      </c>
    </row>
    <row r="271" spans="1:13" x14ac:dyDescent="0.25">
      <c r="A271" s="45" t="s">
        <v>1374</v>
      </c>
      <c r="C271" s="47"/>
    </row>
    <row r="272" spans="1:13" x14ac:dyDescent="0.25">
      <c r="A272" s="45" t="s">
        <v>1375</v>
      </c>
      <c r="C272" s="47"/>
    </row>
    <row r="273" spans="1:13" x14ac:dyDescent="0.25">
      <c r="A273" s="45" t="s">
        <v>1376</v>
      </c>
      <c r="B273" s="44" t="s">
        <v>3825</v>
      </c>
      <c r="C273" s="47">
        <v>44250</v>
      </c>
      <c r="D273" s="44">
        <v>202103</v>
      </c>
      <c r="E273" s="44">
        <v>17.05</v>
      </c>
      <c r="F273" s="44">
        <v>17.3</v>
      </c>
      <c r="G273" s="44">
        <v>17.05</v>
      </c>
      <c r="H273" s="44">
        <v>17.3</v>
      </c>
      <c r="I273" s="44">
        <v>0.25</v>
      </c>
      <c r="J273" s="44">
        <v>1.47</v>
      </c>
      <c r="K273" s="44">
        <v>11</v>
      </c>
      <c r="L273" s="44">
        <v>17.3</v>
      </c>
      <c r="M273" s="44">
        <v>151</v>
      </c>
    </row>
    <row r="274" spans="1:13" x14ac:dyDescent="0.25">
      <c r="A274" s="45" t="s">
        <v>1377</v>
      </c>
      <c r="B274" s="44" t="s">
        <v>3826</v>
      </c>
      <c r="C274" s="47">
        <v>44250</v>
      </c>
      <c r="D274" s="44">
        <v>202106</v>
      </c>
      <c r="E274" s="44">
        <v>17.5</v>
      </c>
      <c r="F274" s="44">
        <v>17.5</v>
      </c>
      <c r="G274" s="44">
        <v>17.5</v>
      </c>
      <c r="H274" s="44">
        <v>17.5</v>
      </c>
      <c r="I274" s="44">
        <v>0.25</v>
      </c>
      <c r="J274" s="44">
        <v>1.45</v>
      </c>
      <c r="K274" s="44">
        <v>0</v>
      </c>
      <c r="L274" s="44">
        <v>17.5</v>
      </c>
      <c r="M274" s="44">
        <v>0</v>
      </c>
    </row>
    <row r="275" spans="1:13" x14ac:dyDescent="0.25">
      <c r="A275" s="45" t="s">
        <v>1378</v>
      </c>
      <c r="B275" s="44" t="s">
        <v>3827</v>
      </c>
      <c r="C275" s="47">
        <v>44250</v>
      </c>
      <c r="D275" s="44">
        <v>202109</v>
      </c>
      <c r="E275" s="44">
        <v>17.45</v>
      </c>
      <c r="F275" s="44">
        <v>17.45</v>
      </c>
      <c r="G275" s="44">
        <v>17.45</v>
      </c>
      <c r="H275" s="44">
        <v>17.45</v>
      </c>
      <c r="I275" s="44">
        <v>0.25</v>
      </c>
      <c r="J275" s="44">
        <v>1.45</v>
      </c>
      <c r="K275" s="44">
        <v>0</v>
      </c>
      <c r="L275" s="44">
        <v>17.45</v>
      </c>
      <c r="M275" s="44">
        <v>0</v>
      </c>
    </row>
    <row r="276" spans="1:13" x14ac:dyDescent="0.25">
      <c r="A276" s="45" t="s">
        <v>1379</v>
      </c>
      <c r="B276" s="44" t="s">
        <v>3828</v>
      </c>
      <c r="C276" s="47">
        <v>44250</v>
      </c>
      <c r="D276" s="44">
        <v>202112</v>
      </c>
      <c r="E276" s="44">
        <v>17.45</v>
      </c>
      <c r="F276" s="44">
        <v>17.45</v>
      </c>
      <c r="G276" s="44">
        <v>17.45</v>
      </c>
      <c r="H276" s="44">
        <v>17.45</v>
      </c>
      <c r="I276" s="44">
        <v>0.25</v>
      </c>
      <c r="J276" s="44">
        <v>1.45</v>
      </c>
      <c r="K276" s="44">
        <v>0</v>
      </c>
      <c r="L276" s="44">
        <v>17.45</v>
      </c>
      <c r="M276" s="44">
        <v>0</v>
      </c>
    </row>
    <row r="277" spans="1:13" x14ac:dyDescent="0.25">
      <c r="A277" s="45" t="s">
        <v>993</v>
      </c>
      <c r="B277" s="44" t="s">
        <v>3829</v>
      </c>
      <c r="C277" s="47">
        <v>44250</v>
      </c>
      <c r="D277" s="44">
        <v>202103</v>
      </c>
      <c r="E277" s="44">
        <v>8.31</v>
      </c>
      <c r="F277" s="44">
        <v>8.41</v>
      </c>
      <c r="G277" s="44">
        <v>8.31</v>
      </c>
      <c r="H277" s="44">
        <v>8.3699999999999992</v>
      </c>
      <c r="I277" s="44">
        <v>0.08</v>
      </c>
      <c r="J277" s="44">
        <v>0.97</v>
      </c>
      <c r="K277" s="44">
        <v>889</v>
      </c>
      <c r="L277" s="44">
        <v>8.3699999999999992</v>
      </c>
      <c r="M277" s="44">
        <v>2206</v>
      </c>
    </row>
    <row r="278" spans="1:13" x14ac:dyDescent="0.25">
      <c r="A278" s="45" t="s">
        <v>1380</v>
      </c>
      <c r="B278" s="44" t="s">
        <v>3830</v>
      </c>
      <c r="C278" s="47">
        <v>44250</v>
      </c>
      <c r="D278" s="44">
        <v>202103</v>
      </c>
      <c r="E278" s="44">
        <v>8.31</v>
      </c>
      <c r="F278" s="44">
        <v>8.41</v>
      </c>
      <c r="G278" s="44">
        <v>8.31</v>
      </c>
      <c r="H278" s="44">
        <v>8.3699999999999992</v>
      </c>
      <c r="I278" s="44">
        <v>0.08</v>
      </c>
      <c r="J278" s="44">
        <v>0.97</v>
      </c>
      <c r="K278" s="44">
        <v>889</v>
      </c>
      <c r="L278" s="44">
        <v>8.3699999999999992</v>
      </c>
      <c r="M278" s="44">
        <v>2206</v>
      </c>
    </row>
    <row r="279" spans="1:13" x14ac:dyDescent="0.25">
      <c r="A279" s="45" t="s">
        <v>1381</v>
      </c>
      <c r="B279" s="44" t="s">
        <v>3831</v>
      </c>
      <c r="C279" s="47">
        <v>44250</v>
      </c>
      <c r="D279" s="44">
        <v>202104</v>
      </c>
      <c r="E279" s="44">
        <v>8.3000000000000007</v>
      </c>
      <c r="F279" s="44">
        <v>8.3800000000000008</v>
      </c>
      <c r="G279" s="44">
        <v>8.3000000000000007</v>
      </c>
      <c r="H279" s="44">
        <v>8.35</v>
      </c>
      <c r="I279" s="44">
        <v>0.09</v>
      </c>
      <c r="J279" s="44">
        <v>1.0900000000000001</v>
      </c>
      <c r="K279" s="44">
        <v>334</v>
      </c>
      <c r="L279" s="44">
        <v>8.35</v>
      </c>
      <c r="M279" s="44">
        <v>164</v>
      </c>
    </row>
    <row r="280" spans="1:13" x14ac:dyDescent="0.25">
      <c r="A280" s="45" t="s">
        <v>1382</v>
      </c>
      <c r="B280" s="44" t="s">
        <v>3832</v>
      </c>
      <c r="C280" s="47">
        <v>44250</v>
      </c>
      <c r="D280" s="44">
        <v>202104</v>
      </c>
      <c r="E280" s="44">
        <v>8.3000000000000007</v>
      </c>
      <c r="F280" s="44">
        <v>8.3800000000000008</v>
      </c>
      <c r="G280" s="44">
        <v>8.3000000000000007</v>
      </c>
      <c r="H280" s="44">
        <v>8.35</v>
      </c>
      <c r="I280" s="44">
        <v>0.09</v>
      </c>
      <c r="J280" s="44">
        <v>1.0900000000000001</v>
      </c>
      <c r="K280" s="44">
        <v>334</v>
      </c>
      <c r="L280" s="44">
        <v>8.35</v>
      </c>
      <c r="M280" s="44">
        <v>164</v>
      </c>
    </row>
    <row r="281" spans="1:13" x14ac:dyDescent="0.25">
      <c r="A281" s="45" t="s">
        <v>1383</v>
      </c>
      <c r="C281" s="47"/>
    </row>
    <row r="282" spans="1:13" x14ac:dyDescent="0.25">
      <c r="A282" s="45" t="s">
        <v>1384</v>
      </c>
      <c r="C282" s="47"/>
    </row>
    <row r="283" spans="1:13" x14ac:dyDescent="0.25">
      <c r="A283" s="45" t="s">
        <v>1385</v>
      </c>
      <c r="B283" s="44" t="s">
        <v>3833</v>
      </c>
      <c r="C283" s="47">
        <v>44250</v>
      </c>
      <c r="D283" s="44">
        <v>202103</v>
      </c>
      <c r="E283" s="44">
        <v>8.31</v>
      </c>
      <c r="F283" s="44">
        <v>8.41</v>
      </c>
      <c r="G283" s="44">
        <v>8.31</v>
      </c>
      <c r="H283" s="44">
        <v>8.3699999999999992</v>
      </c>
      <c r="I283" s="44">
        <v>0.08</v>
      </c>
      <c r="J283" s="44">
        <v>0.97</v>
      </c>
      <c r="K283" s="44">
        <v>889</v>
      </c>
      <c r="L283" s="44">
        <v>8.3699999999999992</v>
      </c>
      <c r="M283" s="44">
        <v>2206</v>
      </c>
    </row>
    <row r="284" spans="1:13" x14ac:dyDescent="0.25">
      <c r="A284" s="45" t="s">
        <v>1386</v>
      </c>
      <c r="B284" s="44" t="s">
        <v>3834</v>
      </c>
      <c r="C284" s="47">
        <v>44250</v>
      </c>
      <c r="D284" s="44">
        <v>202106</v>
      </c>
      <c r="E284" s="44">
        <v>8.2899999999999991</v>
      </c>
      <c r="F284" s="44">
        <v>8.35</v>
      </c>
      <c r="G284" s="44">
        <v>8.2799999999999994</v>
      </c>
      <c r="H284" s="44">
        <v>8.32</v>
      </c>
      <c r="I284" s="44">
        <v>7.0000000000000007E-2</v>
      </c>
      <c r="J284" s="44">
        <v>0.85</v>
      </c>
      <c r="K284" s="44">
        <v>97</v>
      </c>
      <c r="L284" s="44">
        <v>8.32</v>
      </c>
      <c r="M284" s="44">
        <v>837</v>
      </c>
    </row>
    <row r="285" spans="1:13" x14ac:dyDescent="0.25">
      <c r="A285" s="45" t="s">
        <v>1387</v>
      </c>
      <c r="B285" s="44" t="s">
        <v>3835</v>
      </c>
      <c r="C285" s="47">
        <v>44250</v>
      </c>
      <c r="D285" s="44">
        <v>202109</v>
      </c>
      <c r="E285" s="44">
        <v>8.3000000000000007</v>
      </c>
      <c r="F285" s="44">
        <v>8.3000000000000007</v>
      </c>
      <c r="G285" s="44">
        <v>8.3000000000000007</v>
      </c>
      <c r="H285" s="44">
        <v>8.3000000000000007</v>
      </c>
      <c r="I285" s="44">
        <v>0.06</v>
      </c>
      <c r="J285" s="44">
        <v>0.73</v>
      </c>
      <c r="K285" s="44">
        <v>2</v>
      </c>
      <c r="L285" s="44">
        <v>8.34</v>
      </c>
      <c r="M285" s="44">
        <v>38</v>
      </c>
    </row>
    <row r="286" spans="1:13" x14ac:dyDescent="0.25">
      <c r="A286" s="45" t="s">
        <v>1388</v>
      </c>
      <c r="B286" s="44" t="s">
        <v>3836</v>
      </c>
      <c r="C286" s="47">
        <v>44250</v>
      </c>
      <c r="D286" s="44">
        <v>202112</v>
      </c>
      <c r="E286" s="44">
        <v>8.31</v>
      </c>
      <c r="F286" s="44">
        <v>8.31</v>
      </c>
      <c r="G286" s="44">
        <v>8.31</v>
      </c>
      <c r="H286" s="44">
        <v>8.31</v>
      </c>
      <c r="I286" s="44">
        <v>0.06</v>
      </c>
      <c r="J286" s="44">
        <v>0.73</v>
      </c>
      <c r="K286" s="44">
        <v>1</v>
      </c>
      <c r="L286" s="44">
        <v>8.35</v>
      </c>
      <c r="M286" s="44">
        <v>2</v>
      </c>
    </row>
    <row r="287" spans="1:13" x14ac:dyDescent="0.25">
      <c r="A287" s="45" t="s">
        <v>994</v>
      </c>
      <c r="B287" s="44" t="s">
        <v>3837</v>
      </c>
      <c r="C287" s="47">
        <v>44250</v>
      </c>
      <c r="D287" s="44">
        <v>202103</v>
      </c>
      <c r="E287" s="44">
        <v>11.75</v>
      </c>
      <c r="F287" s="44">
        <v>11.85</v>
      </c>
      <c r="G287" s="44">
        <v>11.75</v>
      </c>
      <c r="H287" s="44">
        <v>11.85</v>
      </c>
      <c r="I287" s="44">
        <v>0.1</v>
      </c>
      <c r="J287" s="44">
        <v>0.85</v>
      </c>
      <c r="K287" s="44">
        <v>3</v>
      </c>
      <c r="L287" s="44">
        <v>11.85</v>
      </c>
      <c r="M287" s="44">
        <v>312</v>
      </c>
    </row>
    <row r="288" spans="1:13" x14ac:dyDescent="0.25">
      <c r="A288" s="45" t="s">
        <v>1389</v>
      </c>
      <c r="B288" s="44" t="s">
        <v>3838</v>
      </c>
      <c r="C288" s="47">
        <v>44250</v>
      </c>
      <c r="D288" s="44">
        <v>202103</v>
      </c>
      <c r="E288" s="44">
        <v>11.75</v>
      </c>
      <c r="F288" s="44">
        <v>11.85</v>
      </c>
      <c r="G288" s="44">
        <v>11.75</v>
      </c>
      <c r="H288" s="44">
        <v>11.85</v>
      </c>
      <c r="I288" s="44">
        <v>0.1</v>
      </c>
      <c r="J288" s="44">
        <v>0.85</v>
      </c>
      <c r="K288" s="44">
        <v>3</v>
      </c>
      <c r="L288" s="44">
        <v>11.85</v>
      </c>
      <c r="M288" s="44">
        <v>312</v>
      </c>
    </row>
    <row r="289" spans="1:13" x14ac:dyDescent="0.25">
      <c r="A289" s="45" t="s">
        <v>1390</v>
      </c>
      <c r="B289" s="44" t="s">
        <v>3839</v>
      </c>
      <c r="C289" s="47">
        <v>44250</v>
      </c>
      <c r="D289" s="44">
        <v>202104</v>
      </c>
      <c r="E289" s="44">
        <v>11.75</v>
      </c>
      <c r="F289" s="44">
        <v>11.75</v>
      </c>
      <c r="G289" s="44">
        <v>11.75</v>
      </c>
      <c r="H289" s="44">
        <v>11.75</v>
      </c>
      <c r="I289" s="44">
        <v>0.1</v>
      </c>
      <c r="J289" s="44">
        <v>0.86</v>
      </c>
      <c r="K289" s="44">
        <v>1</v>
      </c>
      <c r="L289" s="44">
        <v>11.75</v>
      </c>
      <c r="M289" s="44">
        <v>35</v>
      </c>
    </row>
    <row r="290" spans="1:13" x14ac:dyDescent="0.25">
      <c r="A290" s="45" t="s">
        <v>1391</v>
      </c>
      <c r="B290" s="44" t="s">
        <v>3840</v>
      </c>
      <c r="C290" s="47">
        <v>44250</v>
      </c>
      <c r="D290" s="44">
        <v>202104</v>
      </c>
      <c r="E290" s="44">
        <v>11.75</v>
      </c>
      <c r="F290" s="44">
        <v>11.75</v>
      </c>
      <c r="G290" s="44">
        <v>11.75</v>
      </c>
      <c r="H290" s="44">
        <v>11.75</v>
      </c>
      <c r="I290" s="44">
        <v>0.1</v>
      </c>
      <c r="J290" s="44">
        <v>0.86</v>
      </c>
      <c r="K290" s="44">
        <v>1</v>
      </c>
      <c r="L290" s="44">
        <v>11.75</v>
      </c>
      <c r="M290" s="44">
        <v>35</v>
      </c>
    </row>
    <row r="291" spans="1:13" x14ac:dyDescent="0.25">
      <c r="A291" s="45" t="s">
        <v>1392</v>
      </c>
      <c r="C291" s="47"/>
    </row>
    <row r="292" spans="1:13" x14ac:dyDescent="0.25">
      <c r="A292" s="45" t="s">
        <v>1393</v>
      </c>
      <c r="C292" s="47"/>
    </row>
    <row r="293" spans="1:13" x14ac:dyDescent="0.25">
      <c r="A293" s="45" t="s">
        <v>1394</v>
      </c>
      <c r="B293" s="44" t="s">
        <v>3841</v>
      </c>
      <c r="C293" s="47">
        <v>44250</v>
      </c>
      <c r="D293" s="44">
        <v>202103</v>
      </c>
      <c r="E293" s="44">
        <v>11.75</v>
      </c>
      <c r="F293" s="44">
        <v>11.85</v>
      </c>
      <c r="G293" s="44">
        <v>11.75</v>
      </c>
      <c r="H293" s="44">
        <v>11.85</v>
      </c>
      <c r="I293" s="44">
        <v>0.1</v>
      </c>
      <c r="J293" s="44">
        <v>0.85</v>
      </c>
      <c r="K293" s="44">
        <v>3</v>
      </c>
      <c r="L293" s="44">
        <v>11.85</v>
      </c>
      <c r="M293" s="44">
        <v>312</v>
      </c>
    </row>
    <row r="294" spans="1:13" x14ac:dyDescent="0.25">
      <c r="A294" s="45" t="s">
        <v>1395</v>
      </c>
      <c r="B294" s="44" t="s">
        <v>3842</v>
      </c>
      <c r="C294" s="47">
        <v>44250</v>
      </c>
      <c r="D294" s="44">
        <v>202106</v>
      </c>
      <c r="E294" s="44">
        <v>11.75</v>
      </c>
      <c r="F294" s="44">
        <v>11.75</v>
      </c>
      <c r="G294" s="44">
        <v>11.75</v>
      </c>
      <c r="H294" s="44">
        <v>11.75</v>
      </c>
      <c r="I294" s="44">
        <v>0.1</v>
      </c>
      <c r="J294" s="44">
        <v>0.86</v>
      </c>
      <c r="K294" s="44">
        <v>0</v>
      </c>
      <c r="L294" s="44">
        <v>11.75</v>
      </c>
      <c r="M294" s="44">
        <v>20</v>
      </c>
    </row>
    <row r="295" spans="1:13" x14ac:dyDescent="0.25">
      <c r="A295" s="45" t="s">
        <v>1396</v>
      </c>
      <c r="B295" s="44" t="s">
        <v>3843</v>
      </c>
      <c r="C295" s="47">
        <v>44250</v>
      </c>
      <c r="D295" s="44">
        <v>202109</v>
      </c>
      <c r="E295" s="44">
        <v>11.65</v>
      </c>
      <c r="F295" s="44">
        <v>11.7</v>
      </c>
      <c r="G295" s="44">
        <v>11.65</v>
      </c>
      <c r="H295" s="44">
        <v>11.7</v>
      </c>
      <c r="I295" s="44">
        <v>-0.1</v>
      </c>
      <c r="J295" s="44">
        <v>-0.85</v>
      </c>
      <c r="K295" s="44">
        <v>4</v>
      </c>
      <c r="L295" s="44">
        <v>11.7</v>
      </c>
      <c r="M295" s="44">
        <v>91</v>
      </c>
    </row>
    <row r="296" spans="1:13" x14ac:dyDescent="0.25">
      <c r="A296" s="45" t="s">
        <v>1397</v>
      </c>
      <c r="B296" s="44" t="s">
        <v>3844</v>
      </c>
      <c r="C296" s="47">
        <v>44250</v>
      </c>
      <c r="D296" s="44">
        <v>202112</v>
      </c>
      <c r="E296" s="44">
        <v>11.85</v>
      </c>
      <c r="F296" s="44">
        <v>11.85</v>
      </c>
      <c r="G296" s="44">
        <v>11.85</v>
      </c>
      <c r="H296" s="44">
        <v>11.85</v>
      </c>
      <c r="I296" s="44">
        <v>0.1</v>
      </c>
      <c r="J296" s="44">
        <v>0.85</v>
      </c>
      <c r="K296" s="44">
        <v>0</v>
      </c>
      <c r="L296" s="44">
        <v>11.85</v>
      </c>
      <c r="M296" s="44">
        <v>0</v>
      </c>
    </row>
    <row r="297" spans="1:13" x14ac:dyDescent="0.25">
      <c r="A297" s="45" t="s">
        <v>889</v>
      </c>
      <c r="B297" s="44" t="s">
        <v>3845</v>
      </c>
      <c r="C297" s="47">
        <v>44250</v>
      </c>
      <c r="D297" s="44">
        <v>202103</v>
      </c>
      <c r="E297" s="44">
        <v>42</v>
      </c>
      <c r="F297" s="44">
        <v>42.6</v>
      </c>
      <c r="G297" s="44">
        <v>42</v>
      </c>
      <c r="H297" s="44">
        <v>42.6</v>
      </c>
      <c r="I297" s="44">
        <v>0.7</v>
      </c>
      <c r="J297" s="44">
        <v>1.67</v>
      </c>
      <c r="K297" s="44">
        <v>171</v>
      </c>
      <c r="L297" s="44">
        <v>42.6</v>
      </c>
      <c r="M297" s="44">
        <v>2233</v>
      </c>
    </row>
    <row r="298" spans="1:13" x14ac:dyDescent="0.25">
      <c r="A298" s="45" t="s">
        <v>1398</v>
      </c>
      <c r="B298" s="44" t="s">
        <v>3846</v>
      </c>
      <c r="C298" s="47">
        <v>44250</v>
      </c>
      <c r="D298" s="44">
        <v>202103</v>
      </c>
      <c r="E298" s="44">
        <v>42</v>
      </c>
      <c r="F298" s="44">
        <v>42.6</v>
      </c>
      <c r="G298" s="44">
        <v>42</v>
      </c>
      <c r="H298" s="44">
        <v>42.6</v>
      </c>
      <c r="I298" s="44">
        <v>0.7</v>
      </c>
      <c r="J298" s="44">
        <v>1.67</v>
      </c>
      <c r="K298" s="44">
        <v>171</v>
      </c>
      <c r="L298" s="44">
        <v>42.6</v>
      </c>
      <c r="M298" s="44">
        <v>2233</v>
      </c>
    </row>
    <row r="299" spans="1:13" x14ac:dyDescent="0.25">
      <c r="A299" s="45" t="s">
        <v>1399</v>
      </c>
      <c r="B299" s="44" t="s">
        <v>3847</v>
      </c>
      <c r="C299" s="47">
        <v>44250</v>
      </c>
      <c r="D299" s="44">
        <v>202104</v>
      </c>
      <c r="E299" s="44">
        <v>42.2</v>
      </c>
      <c r="F299" s="44">
        <v>42.5</v>
      </c>
      <c r="G299" s="44">
        <v>42.2</v>
      </c>
      <c r="H299" s="44">
        <v>42.5</v>
      </c>
      <c r="I299" s="44">
        <v>0.8</v>
      </c>
      <c r="J299" s="44">
        <v>1.92</v>
      </c>
      <c r="K299" s="44">
        <v>32</v>
      </c>
      <c r="L299" s="44">
        <v>42.5</v>
      </c>
      <c r="M299" s="44">
        <v>120</v>
      </c>
    </row>
    <row r="300" spans="1:13" x14ac:dyDescent="0.25">
      <c r="A300" s="45" t="s">
        <v>1400</v>
      </c>
      <c r="B300" s="44" t="s">
        <v>3848</v>
      </c>
      <c r="C300" s="47">
        <v>44250</v>
      </c>
      <c r="D300" s="44">
        <v>202104</v>
      </c>
      <c r="E300" s="44">
        <v>42.2</v>
      </c>
      <c r="F300" s="44">
        <v>42.5</v>
      </c>
      <c r="G300" s="44">
        <v>42.2</v>
      </c>
      <c r="H300" s="44">
        <v>42.5</v>
      </c>
      <c r="I300" s="44">
        <v>0.8</v>
      </c>
      <c r="J300" s="44">
        <v>1.92</v>
      </c>
      <c r="K300" s="44">
        <v>32</v>
      </c>
      <c r="L300" s="44">
        <v>42.5</v>
      </c>
      <c r="M300" s="44">
        <v>120</v>
      </c>
    </row>
    <row r="301" spans="1:13" x14ac:dyDescent="0.25">
      <c r="A301" s="45" t="s">
        <v>1401</v>
      </c>
      <c r="C301" s="47"/>
    </row>
    <row r="302" spans="1:13" x14ac:dyDescent="0.25">
      <c r="A302" s="45" t="s">
        <v>1402</v>
      </c>
      <c r="C302" s="47"/>
    </row>
    <row r="303" spans="1:13" x14ac:dyDescent="0.25">
      <c r="A303" s="45" t="s">
        <v>1403</v>
      </c>
      <c r="C303" s="47"/>
    </row>
    <row r="304" spans="1:13" x14ac:dyDescent="0.25">
      <c r="A304" s="45" t="s">
        <v>1404</v>
      </c>
      <c r="B304" s="44" t="s">
        <v>3849</v>
      </c>
      <c r="C304" s="47">
        <v>44250</v>
      </c>
      <c r="D304" s="44">
        <v>202103</v>
      </c>
      <c r="E304" s="44">
        <v>42</v>
      </c>
      <c r="F304" s="44">
        <v>42.6</v>
      </c>
      <c r="G304" s="44">
        <v>42</v>
      </c>
      <c r="H304" s="44">
        <v>42.6</v>
      </c>
      <c r="I304" s="44">
        <v>0.7</v>
      </c>
      <c r="J304" s="44">
        <v>1.67</v>
      </c>
      <c r="K304" s="44">
        <v>171</v>
      </c>
      <c r="L304" s="44">
        <v>42.6</v>
      </c>
      <c r="M304" s="44">
        <v>2233</v>
      </c>
    </row>
    <row r="305" spans="1:13" x14ac:dyDescent="0.25">
      <c r="A305" s="45" t="s">
        <v>1405</v>
      </c>
      <c r="B305" s="44" t="s">
        <v>3850</v>
      </c>
      <c r="C305" s="47">
        <v>44250</v>
      </c>
      <c r="D305" s="44">
        <v>202106</v>
      </c>
      <c r="E305" s="44">
        <v>42.25</v>
      </c>
      <c r="F305" s="44">
        <v>42.25</v>
      </c>
      <c r="G305" s="44">
        <v>42.25</v>
      </c>
      <c r="H305" s="44">
        <v>42.25</v>
      </c>
      <c r="I305" s="44">
        <v>0.55000000000000004</v>
      </c>
      <c r="J305" s="44">
        <v>1.32</v>
      </c>
      <c r="K305" s="44">
        <v>1</v>
      </c>
      <c r="L305" s="44">
        <v>42.55</v>
      </c>
      <c r="M305" s="44">
        <v>155</v>
      </c>
    </row>
    <row r="306" spans="1:13" x14ac:dyDescent="0.25">
      <c r="A306" s="45" t="s">
        <v>1406</v>
      </c>
      <c r="B306" s="44" t="s">
        <v>3851</v>
      </c>
      <c r="C306" s="47">
        <v>44250</v>
      </c>
      <c r="D306" s="44">
        <v>202109</v>
      </c>
      <c r="E306" s="44">
        <v>42.3</v>
      </c>
      <c r="F306" s="44">
        <v>42.3</v>
      </c>
      <c r="G306" s="44">
        <v>42.3</v>
      </c>
      <c r="H306" s="44">
        <v>42.3</v>
      </c>
      <c r="I306" s="44">
        <v>0.7</v>
      </c>
      <c r="J306" s="44">
        <v>1.68</v>
      </c>
      <c r="K306" s="44">
        <v>0</v>
      </c>
      <c r="L306" s="44">
        <v>42.3</v>
      </c>
      <c r="M306" s="44">
        <v>74</v>
      </c>
    </row>
    <row r="307" spans="1:13" x14ac:dyDescent="0.25">
      <c r="A307" s="45" t="s">
        <v>1407</v>
      </c>
      <c r="B307" s="44" t="s">
        <v>3852</v>
      </c>
      <c r="C307" s="47">
        <v>44250</v>
      </c>
      <c r="D307" s="44">
        <v>202112</v>
      </c>
      <c r="E307" s="44">
        <v>42.2</v>
      </c>
      <c r="F307" s="44">
        <v>42.2</v>
      </c>
      <c r="G307" s="44">
        <v>42.2</v>
      </c>
      <c r="H307" s="44">
        <v>42.2</v>
      </c>
      <c r="I307" s="44">
        <v>0.7</v>
      </c>
      <c r="J307" s="44">
        <v>1.69</v>
      </c>
      <c r="K307" s="44">
        <v>0</v>
      </c>
      <c r="L307" s="44">
        <v>42.2</v>
      </c>
      <c r="M307" s="44">
        <v>8</v>
      </c>
    </row>
    <row r="308" spans="1:13" x14ac:dyDescent="0.25">
      <c r="A308" s="45" t="s">
        <v>898</v>
      </c>
      <c r="B308" s="44" t="s">
        <v>3853</v>
      </c>
      <c r="C308" s="47">
        <v>44250</v>
      </c>
      <c r="D308" s="44">
        <v>202103</v>
      </c>
      <c r="E308" s="44">
        <v>83.9</v>
      </c>
      <c r="F308" s="44">
        <v>86.3</v>
      </c>
      <c r="G308" s="44">
        <v>83.6</v>
      </c>
      <c r="H308" s="44">
        <v>85.7</v>
      </c>
      <c r="I308" s="44">
        <v>1.7</v>
      </c>
      <c r="J308" s="44">
        <v>2.02</v>
      </c>
      <c r="K308" s="44">
        <v>96</v>
      </c>
      <c r="L308" s="44">
        <v>85.7</v>
      </c>
      <c r="M308" s="44">
        <v>627</v>
      </c>
    </row>
    <row r="309" spans="1:13" x14ac:dyDescent="0.25">
      <c r="A309" s="45" t="s">
        <v>1408</v>
      </c>
      <c r="B309" s="44" t="s">
        <v>3854</v>
      </c>
      <c r="C309" s="47">
        <v>44250</v>
      </c>
      <c r="D309" s="44">
        <v>202103</v>
      </c>
      <c r="E309" s="44">
        <v>83.9</v>
      </c>
      <c r="F309" s="44">
        <v>86.3</v>
      </c>
      <c r="G309" s="44">
        <v>83.6</v>
      </c>
      <c r="H309" s="44">
        <v>85.7</v>
      </c>
      <c r="I309" s="44">
        <v>1.7</v>
      </c>
      <c r="J309" s="44">
        <v>2.02</v>
      </c>
      <c r="K309" s="44">
        <v>96</v>
      </c>
      <c r="L309" s="44">
        <v>85.7</v>
      </c>
      <c r="M309" s="44">
        <v>627</v>
      </c>
    </row>
    <row r="310" spans="1:13" x14ac:dyDescent="0.25">
      <c r="A310" s="45" t="s">
        <v>1409</v>
      </c>
      <c r="B310" s="44" t="s">
        <v>3855</v>
      </c>
      <c r="C310" s="47">
        <v>44250</v>
      </c>
      <c r="D310" s="44">
        <v>202104</v>
      </c>
      <c r="E310" s="44">
        <v>85.1</v>
      </c>
      <c r="F310" s="44">
        <v>85.1</v>
      </c>
      <c r="G310" s="44">
        <v>85.1</v>
      </c>
      <c r="H310" s="44">
        <v>85.1</v>
      </c>
      <c r="I310" s="44">
        <v>1.1000000000000001</v>
      </c>
      <c r="J310" s="44">
        <v>1.31</v>
      </c>
      <c r="K310" s="44">
        <v>1</v>
      </c>
      <c r="L310" s="44">
        <v>85.7</v>
      </c>
      <c r="M310" s="44">
        <v>24</v>
      </c>
    </row>
    <row r="311" spans="1:13" x14ac:dyDescent="0.25">
      <c r="A311" s="45" t="s">
        <v>1410</v>
      </c>
      <c r="B311" s="44" t="s">
        <v>3856</v>
      </c>
      <c r="C311" s="47">
        <v>44250</v>
      </c>
      <c r="D311" s="44">
        <v>202104</v>
      </c>
      <c r="E311" s="44">
        <v>85.1</v>
      </c>
      <c r="F311" s="44">
        <v>85.1</v>
      </c>
      <c r="G311" s="44">
        <v>85.1</v>
      </c>
      <c r="H311" s="44">
        <v>85.1</v>
      </c>
      <c r="I311" s="44">
        <v>1.1000000000000001</v>
      </c>
      <c r="J311" s="44">
        <v>1.31</v>
      </c>
      <c r="K311" s="44">
        <v>1</v>
      </c>
      <c r="L311" s="44">
        <v>85.7</v>
      </c>
      <c r="M311" s="44">
        <v>24</v>
      </c>
    </row>
    <row r="312" spans="1:13" x14ac:dyDescent="0.25">
      <c r="A312" s="45" t="s">
        <v>1411</v>
      </c>
      <c r="C312" s="47"/>
    </row>
    <row r="313" spans="1:13" x14ac:dyDescent="0.25">
      <c r="A313" s="45" t="s">
        <v>1412</v>
      </c>
      <c r="C313" s="47"/>
    </row>
    <row r="314" spans="1:13" x14ac:dyDescent="0.25">
      <c r="A314" s="45" t="s">
        <v>1413</v>
      </c>
      <c r="B314" s="44" t="s">
        <v>3857</v>
      </c>
      <c r="C314" s="47">
        <v>44250</v>
      </c>
      <c r="D314" s="44">
        <v>202103</v>
      </c>
      <c r="E314" s="44">
        <v>83.9</v>
      </c>
      <c r="F314" s="44">
        <v>86.3</v>
      </c>
      <c r="G314" s="44">
        <v>83.6</v>
      </c>
      <c r="H314" s="44">
        <v>85.7</v>
      </c>
      <c r="I314" s="44">
        <v>1.7</v>
      </c>
      <c r="J314" s="44">
        <v>2.02</v>
      </c>
      <c r="K314" s="44">
        <v>96</v>
      </c>
      <c r="L314" s="44">
        <v>85.7</v>
      </c>
      <c r="M314" s="44">
        <v>627</v>
      </c>
    </row>
    <row r="315" spans="1:13" x14ac:dyDescent="0.25">
      <c r="A315" s="45" t="s">
        <v>1414</v>
      </c>
      <c r="B315" s="44" t="s">
        <v>3858</v>
      </c>
      <c r="C315" s="47">
        <v>44250</v>
      </c>
      <c r="D315" s="44">
        <v>202106</v>
      </c>
      <c r="E315" s="44">
        <v>84.6</v>
      </c>
      <c r="F315" s="44">
        <v>84.6</v>
      </c>
      <c r="G315" s="44">
        <v>84.6</v>
      </c>
      <c r="H315" s="44">
        <v>84.6</v>
      </c>
      <c r="I315" s="44">
        <v>1.7</v>
      </c>
      <c r="J315" s="44">
        <v>2.0499999999999998</v>
      </c>
      <c r="K315" s="44">
        <v>0</v>
      </c>
      <c r="L315" s="44">
        <v>84.6</v>
      </c>
      <c r="M315" s="44">
        <v>3</v>
      </c>
    </row>
    <row r="316" spans="1:13" x14ac:dyDescent="0.25">
      <c r="A316" s="45" t="s">
        <v>1415</v>
      </c>
      <c r="B316" s="44" t="s">
        <v>3859</v>
      </c>
      <c r="C316" s="47">
        <v>44250</v>
      </c>
      <c r="D316" s="44">
        <v>202109</v>
      </c>
      <c r="E316" s="44">
        <v>84.6</v>
      </c>
      <c r="F316" s="44">
        <v>84.6</v>
      </c>
      <c r="G316" s="44">
        <v>84.6</v>
      </c>
      <c r="H316" s="44">
        <v>84.6</v>
      </c>
      <c r="I316" s="44">
        <v>1.7</v>
      </c>
      <c r="J316" s="44">
        <v>2.0499999999999998</v>
      </c>
      <c r="K316" s="44">
        <v>0</v>
      </c>
      <c r="L316" s="44">
        <v>84.6</v>
      </c>
      <c r="M316" s="44">
        <v>0</v>
      </c>
    </row>
    <row r="317" spans="1:13" x14ac:dyDescent="0.25">
      <c r="A317" s="45" t="s">
        <v>1416</v>
      </c>
      <c r="B317" s="44" t="s">
        <v>3860</v>
      </c>
      <c r="C317" s="47">
        <v>44250</v>
      </c>
      <c r="D317" s="44">
        <v>202112</v>
      </c>
      <c r="E317" s="44">
        <v>84.6</v>
      </c>
      <c r="F317" s="44">
        <v>84.6</v>
      </c>
      <c r="G317" s="44">
        <v>84.6</v>
      </c>
      <c r="H317" s="44">
        <v>84.6</v>
      </c>
      <c r="I317" s="44">
        <v>1.7</v>
      </c>
      <c r="J317" s="44">
        <v>2.0499999999999998</v>
      </c>
      <c r="K317" s="44">
        <v>0</v>
      </c>
      <c r="L317" s="44">
        <v>84.6</v>
      </c>
      <c r="M317" s="44">
        <v>0</v>
      </c>
    </row>
    <row r="318" spans="1:13" x14ac:dyDescent="0.25">
      <c r="A318" s="45" t="s">
        <v>926</v>
      </c>
      <c r="B318" s="44" t="s">
        <v>3861</v>
      </c>
      <c r="C318" s="47">
        <v>44250</v>
      </c>
      <c r="D318" s="44">
        <v>202103</v>
      </c>
      <c r="E318" s="44">
        <v>110</v>
      </c>
      <c r="F318" s="44">
        <v>112.5</v>
      </c>
      <c r="G318" s="44">
        <v>108</v>
      </c>
      <c r="H318" s="44">
        <v>112</v>
      </c>
      <c r="I318" s="44">
        <v>0.5</v>
      </c>
      <c r="J318" s="44">
        <v>0.45</v>
      </c>
      <c r="K318" s="44">
        <v>5900</v>
      </c>
      <c r="L318" s="44">
        <v>112</v>
      </c>
      <c r="M318" s="44">
        <v>18501</v>
      </c>
    </row>
    <row r="319" spans="1:13" x14ac:dyDescent="0.25">
      <c r="A319" s="45" t="s">
        <v>1417</v>
      </c>
      <c r="B319" s="44" t="s">
        <v>3862</v>
      </c>
      <c r="C319" s="47">
        <v>44250</v>
      </c>
      <c r="D319" s="44">
        <v>202103</v>
      </c>
      <c r="E319" s="44">
        <v>110</v>
      </c>
      <c r="F319" s="44">
        <v>112.5</v>
      </c>
      <c r="G319" s="44">
        <v>108</v>
      </c>
      <c r="H319" s="44">
        <v>112</v>
      </c>
      <c r="I319" s="44">
        <v>0.5</v>
      </c>
      <c r="J319" s="44">
        <v>0.45</v>
      </c>
      <c r="K319" s="44">
        <v>5900</v>
      </c>
      <c r="L319" s="44">
        <v>112</v>
      </c>
      <c r="M319" s="44">
        <v>18501</v>
      </c>
    </row>
    <row r="320" spans="1:13" x14ac:dyDescent="0.25">
      <c r="A320" s="45" t="s">
        <v>1418</v>
      </c>
      <c r="B320" s="44" t="s">
        <v>3863</v>
      </c>
      <c r="C320" s="47">
        <v>44250</v>
      </c>
      <c r="D320" s="44">
        <v>202104</v>
      </c>
      <c r="E320" s="44">
        <v>110</v>
      </c>
      <c r="F320" s="44">
        <v>112.5</v>
      </c>
      <c r="G320" s="44">
        <v>108</v>
      </c>
      <c r="H320" s="44">
        <v>112</v>
      </c>
      <c r="I320" s="44">
        <v>1</v>
      </c>
      <c r="J320" s="44">
        <v>0.9</v>
      </c>
      <c r="K320" s="44">
        <v>1800</v>
      </c>
      <c r="L320" s="44">
        <v>112</v>
      </c>
      <c r="M320" s="44">
        <v>2845</v>
      </c>
    </row>
    <row r="321" spans="1:13" x14ac:dyDescent="0.25">
      <c r="A321" s="45" t="s">
        <v>1419</v>
      </c>
      <c r="B321" s="44" t="s">
        <v>3864</v>
      </c>
      <c r="C321" s="47">
        <v>44250</v>
      </c>
      <c r="D321" s="44">
        <v>202104</v>
      </c>
      <c r="E321" s="44">
        <v>110</v>
      </c>
      <c r="F321" s="44">
        <v>112.5</v>
      </c>
      <c r="G321" s="44">
        <v>108</v>
      </c>
      <c r="H321" s="44">
        <v>112</v>
      </c>
      <c r="I321" s="44">
        <v>1</v>
      </c>
      <c r="J321" s="44">
        <v>0.9</v>
      </c>
      <c r="K321" s="44">
        <v>1800</v>
      </c>
      <c r="L321" s="44">
        <v>112</v>
      </c>
      <c r="M321" s="44">
        <v>2845</v>
      </c>
    </row>
    <row r="322" spans="1:13" x14ac:dyDescent="0.25">
      <c r="A322" s="45" t="s">
        <v>1420</v>
      </c>
      <c r="C322" s="47"/>
    </row>
    <row r="323" spans="1:13" x14ac:dyDescent="0.25">
      <c r="A323" s="45" t="s">
        <v>1421</v>
      </c>
      <c r="C323" s="47"/>
    </row>
    <row r="324" spans="1:13" x14ac:dyDescent="0.25">
      <c r="A324" s="45" t="s">
        <v>1422</v>
      </c>
      <c r="C324" s="47"/>
    </row>
    <row r="325" spans="1:13" x14ac:dyDescent="0.25">
      <c r="A325" s="45" t="s">
        <v>1423</v>
      </c>
      <c r="C325" s="47"/>
    </row>
    <row r="326" spans="1:13" x14ac:dyDescent="0.25">
      <c r="A326" s="45" t="s">
        <v>1424</v>
      </c>
      <c r="C326" s="47"/>
    </row>
    <row r="327" spans="1:13" x14ac:dyDescent="0.25">
      <c r="A327" s="45" t="s">
        <v>1425</v>
      </c>
      <c r="B327" s="44" t="s">
        <v>3865</v>
      </c>
      <c r="C327" s="47">
        <v>44250</v>
      </c>
      <c r="D327" s="44">
        <v>202103</v>
      </c>
      <c r="E327" s="44">
        <v>110</v>
      </c>
      <c r="F327" s="44">
        <v>112.5</v>
      </c>
      <c r="G327" s="44">
        <v>108</v>
      </c>
      <c r="H327" s="44">
        <v>112</v>
      </c>
      <c r="I327" s="44">
        <v>0.5</v>
      </c>
      <c r="J327" s="44">
        <v>0.45</v>
      </c>
      <c r="K327" s="44">
        <v>5900</v>
      </c>
      <c r="L327" s="44">
        <v>112</v>
      </c>
      <c r="M327" s="44">
        <v>18501</v>
      </c>
    </row>
    <row r="328" spans="1:13" x14ac:dyDescent="0.25">
      <c r="A328" s="45" t="s">
        <v>1426</v>
      </c>
      <c r="B328" s="44" t="s">
        <v>3866</v>
      </c>
      <c r="C328" s="47">
        <v>44250</v>
      </c>
      <c r="D328" s="44" t="s">
        <v>5788</v>
      </c>
      <c r="E328" s="44">
        <v>-0.62</v>
      </c>
      <c r="F328" s="44">
        <v>-0.62</v>
      </c>
      <c r="G328" s="44">
        <v>-0.64</v>
      </c>
      <c r="H328" s="44">
        <v>-0.64</v>
      </c>
      <c r="K328" s="44">
        <v>2</v>
      </c>
    </row>
    <row r="329" spans="1:13" x14ac:dyDescent="0.25">
      <c r="A329" s="45" t="s">
        <v>1427</v>
      </c>
      <c r="B329" s="44" t="s">
        <v>3867</v>
      </c>
      <c r="C329" s="47">
        <v>44250</v>
      </c>
      <c r="D329" s="44" t="s">
        <v>5789</v>
      </c>
      <c r="E329" s="44">
        <v>-1.17</v>
      </c>
      <c r="F329" s="44">
        <v>-1.17</v>
      </c>
      <c r="G329" s="44">
        <v>-1.24</v>
      </c>
      <c r="H329" s="44">
        <v>-1.24</v>
      </c>
      <c r="K329" s="44">
        <v>41</v>
      </c>
    </row>
    <row r="330" spans="1:13" x14ac:dyDescent="0.25">
      <c r="A330" s="45" t="s">
        <v>1428</v>
      </c>
      <c r="B330" s="44" t="s">
        <v>3868</v>
      </c>
      <c r="C330" s="47">
        <v>44250</v>
      </c>
      <c r="D330" s="44" t="s">
        <v>5792</v>
      </c>
      <c r="E330" s="44">
        <v>-1.76</v>
      </c>
      <c r="F330" s="44">
        <v>-1.76</v>
      </c>
      <c r="G330" s="44">
        <v>-1.77</v>
      </c>
      <c r="H330" s="44">
        <v>-1.77</v>
      </c>
      <c r="K330" s="44">
        <v>2</v>
      </c>
    </row>
    <row r="331" spans="1:13" x14ac:dyDescent="0.25">
      <c r="A331" s="45" t="s">
        <v>1429</v>
      </c>
      <c r="B331" s="44" t="s">
        <v>3869</v>
      </c>
      <c r="C331" s="47">
        <v>44250</v>
      </c>
      <c r="D331" s="44">
        <v>202106</v>
      </c>
      <c r="E331" s="44">
        <v>109.5</v>
      </c>
      <c r="F331" s="44">
        <v>112</v>
      </c>
      <c r="G331" s="44">
        <v>107.5</v>
      </c>
      <c r="H331" s="44">
        <v>111.5</v>
      </c>
      <c r="I331" s="44">
        <v>1</v>
      </c>
      <c r="J331" s="44">
        <v>0.9</v>
      </c>
      <c r="K331" s="44">
        <v>184</v>
      </c>
      <c r="L331" s="44">
        <v>111.5</v>
      </c>
      <c r="M331" s="44">
        <v>1551</v>
      </c>
    </row>
    <row r="332" spans="1:13" x14ac:dyDescent="0.25">
      <c r="A332" s="45" t="s">
        <v>1430</v>
      </c>
      <c r="B332" s="44" t="s">
        <v>3870</v>
      </c>
      <c r="C332" s="47">
        <v>44250</v>
      </c>
      <c r="D332" s="44" t="s">
        <v>5790</v>
      </c>
      <c r="E332" s="44">
        <v>0</v>
      </c>
      <c r="F332" s="44">
        <v>0</v>
      </c>
      <c r="G332" s="44">
        <v>0</v>
      </c>
      <c r="H332" s="44">
        <v>0</v>
      </c>
      <c r="K332" s="44">
        <v>0</v>
      </c>
    </row>
    <row r="333" spans="1:13" x14ac:dyDescent="0.25">
      <c r="A333" s="45" t="s">
        <v>1431</v>
      </c>
      <c r="B333" s="44" t="s">
        <v>3871</v>
      </c>
      <c r="C333" s="47">
        <v>44250</v>
      </c>
      <c r="D333" s="44">
        <v>202109</v>
      </c>
      <c r="E333" s="44">
        <v>108</v>
      </c>
      <c r="F333" s="44">
        <v>111</v>
      </c>
      <c r="G333" s="44">
        <v>107.5</v>
      </c>
      <c r="H333" s="44">
        <v>111</v>
      </c>
      <c r="I333" s="44">
        <v>1</v>
      </c>
      <c r="J333" s="44">
        <v>0.91</v>
      </c>
      <c r="K333" s="44">
        <v>63</v>
      </c>
      <c r="L333" s="44">
        <v>111</v>
      </c>
      <c r="M333" s="44">
        <v>1492</v>
      </c>
    </row>
    <row r="334" spans="1:13" x14ac:dyDescent="0.25">
      <c r="A334" s="45" t="s">
        <v>1432</v>
      </c>
      <c r="C334" s="47"/>
    </row>
    <row r="335" spans="1:13" x14ac:dyDescent="0.25">
      <c r="A335" s="45" t="s">
        <v>1433</v>
      </c>
      <c r="B335" s="44" t="s">
        <v>3872</v>
      </c>
      <c r="C335" s="47">
        <v>44250</v>
      </c>
      <c r="D335" s="44">
        <v>202112</v>
      </c>
      <c r="E335" s="44">
        <v>108</v>
      </c>
      <c r="F335" s="44">
        <v>110.5</v>
      </c>
      <c r="G335" s="44">
        <v>106.5</v>
      </c>
      <c r="H335" s="44">
        <v>110</v>
      </c>
      <c r="I335" s="44">
        <v>-0.5</v>
      </c>
      <c r="J335" s="44">
        <v>-0.45</v>
      </c>
      <c r="K335" s="44">
        <v>23</v>
      </c>
      <c r="L335" s="44">
        <v>110</v>
      </c>
      <c r="M335" s="44">
        <v>444</v>
      </c>
    </row>
    <row r="336" spans="1:13" x14ac:dyDescent="0.25">
      <c r="A336" s="45" t="s">
        <v>936</v>
      </c>
      <c r="B336" s="44" t="s">
        <v>3873</v>
      </c>
      <c r="C336" s="47">
        <v>44250</v>
      </c>
      <c r="D336" s="44">
        <v>202103</v>
      </c>
      <c r="E336" s="44">
        <v>46.8</v>
      </c>
      <c r="F336" s="44">
        <v>47.2</v>
      </c>
      <c r="G336" s="44">
        <v>45.8</v>
      </c>
      <c r="H336" s="44">
        <v>46.9</v>
      </c>
      <c r="I336" s="44">
        <v>-0.4</v>
      </c>
      <c r="J336" s="44">
        <v>-0.85</v>
      </c>
      <c r="K336" s="44">
        <v>5416</v>
      </c>
      <c r="L336" s="44">
        <v>46.85</v>
      </c>
      <c r="M336" s="44">
        <v>7734</v>
      </c>
    </row>
    <row r="337" spans="1:13" x14ac:dyDescent="0.25">
      <c r="A337" s="45" t="s">
        <v>1434</v>
      </c>
      <c r="B337" s="44" t="s">
        <v>3874</v>
      </c>
      <c r="C337" s="47">
        <v>44250</v>
      </c>
      <c r="D337" s="44">
        <v>202103</v>
      </c>
      <c r="E337" s="44">
        <v>46.8</v>
      </c>
      <c r="F337" s="44">
        <v>47.2</v>
      </c>
      <c r="G337" s="44">
        <v>45.8</v>
      </c>
      <c r="H337" s="44">
        <v>46.9</v>
      </c>
      <c r="I337" s="44">
        <v>-0.4</v>
      </c>
      <c r="J337" s="44">
        <v>-0.85</v>
      </c>
      <c r="K337" s="44">
        <v>5416</v>
      </c>
      <c r="L337" s="44">
        <v>46.85</v>
      </c>
      <c r="M337" s="44">
        <v>7734</v>
      </c>
    </row>
    <row r="338" spans="1:13" x14ac:dyDescent="0.25">
      <c r="A338" s="45" t="s">
        <v>1435</v>
      </c>
      <c r="B338" s="44" t="s">
        <v>3875</v>
      </c>
      <c r="C338" s="47">
        <v>44250</v>
      </c>
      <c r="D338" s="44">
        <v>202104</v>
      </c>
      <c r="E338" s="44">
        <v>46.2</v>
      </c>
      <c r="F338" s="44">
        <v>47.1</v>
      </c>
      <c r="G338" s="44">
        <v>45.8</v>
      </c>
      <c r="H338" s="44">
        <v>46.7</v>
      </c>
      <c r="I338" s="44">
        <v>-0.5</v>
      </c>
      <c r="J338" s="44">
        <v>-1.06</v>
      </c>
      <c r="K338" s="44">
        <v>725</v>
      </c>
      <c r="L338" s="44">
        <v>46.7</v>
      </c>
      <c r="M338" s="44">
        <v>968</v>
      </c>
    </row>
    <row r="339" spans="1:13" x14ac:dyDescent="0.25">
      <c r="A339" s="45" t="s">
        <v>1436</v>
      </c>
      <c r="B339" s="44" t="s">
        <v>3876</v>
      </c>
      <c r="C339" s="47">
        <v>44250</v>
      </c>
      <c r="D339" s="44">
        <v>202104</v>
      </c>
      <c r="E339" s="44">
        <v>46.2</v>
      </c>
      <c r="F339" s="44">
        <v>47.1</v>
      </c>
      <c r="G339" s="44">
        <v>45.8</v>
      </c>
      <c r="H339" s="44">
        <v>46.7</v>
      </c>
      <c r="I339" s="44">
        <v>-0.5</v>
      </c>
      <c r="J339" s="44">
        <v>-1.06</v>
      </c>
      <c r="K339" s="44">
        <v>725</v>
      </c>
      <c r="L339" s="44">
        <v>46.7</v>
      </c>
      <c r="M339" s="44">
        <v>968</v>
      </c>
    </row>
    <row r="340" spans="1:13" x14ac:dyDescent="0.25">
      <c r="A340" s="45" t="s">
        <v>1437</v>
      </c>
      <c r="C340" s="47"/>
    </row>
    <row r="341" spans="1:13" x14ac:dyDescent="0.25">
      <c r="A341" s="45" t="s">
        <v>1438</v>
      </c>
      <c r="C341" s="47"/>
    </row>
    <row r="342" spans="1:13" x14ac:dyDescent="0.25">
      <c r="A342" s="45" t="s">
        <v>1439</v>
      </c>
      <c r="C342" s="47"/>
    </row>
    <row r="343" spans="1:13" x14ac:dyDescent="0.25">
      <c r="A343" s="45" t="s">
        <v>1440</v>
      </c>
      <c r="B343" s="44" t="s">
        <v>3877</v>
      </c>
      <c r="C343" s="47">
        <v>44250</v>
      </c>
      <c r="D343" s="44">
        <v>202103</v>
      </c>
      <c r="E343" s="44">
        <v>46.8</v>
      </c>
      <c r="F343" s="44">
        <v>47.2</v>
      </c>
      <c r="G343" s="44">
        <v>45.8</v>
      </c>
      <c r="H343" s="44">
        <v>46.9</v>
      </c>
      <c r="I343" s="44">
        <v>-0.4</v>
      </c>
      <c r="J343" s="44">
        <v>-0.85</v>
      </c>
      <c r="K343" s="44">
        <v>5416</v>
      </c>
      <c r="L343" s="44">
        <v>46.85</v>
      </c>
      <c r="M343" s="44">
        <v>7734</v>
      </c>
    </row>
    <row r="344" spans="1:13" x14ac:dyDescent="0.25">
      <c r="A344" s="45" t="s">
        <v>1441</v>
      </c>
      <c r="B344" s="44" t="s">
        <v>3878</v>
      </c>
      <c r="C344" s="47">
        <v>44250</v>
      </c>
      <c r="D344" s="44" t="s">
        <v>5788</v>
      </c>
      <c r="E344" s="44">
        <v>0</v>
      </c>
      <c r="F344" s="44">
        <v>0</v>
      </c>
      <c r="G344" s="44">
        <v>0</v>
      </c>
      <c r="H344" s="44">
        <v>0</v>
      </c>
      <c r="K344" s="44">
        <v>0</v>
      </c>
    </row>
    <row r="345" spans="1:13" x14ac:dyDescent="0.25">
      <c r="A345" s="45" t="s">
        <v>1442</v>
      </c>
      <c r="B345" s="44" t="s">
        <v>3879</v>
      </c>
      <c r="C345" s="47">
        <v>44250</v>
      </c>
      <c r="D345" s="44">
        <v>202106</v>
      </c>
      <c r="E345" s="44">
        <v>46</v>
      </c>
      <c r="F345" s="44">
        <v>46</v>
      </c>
      <c r="G345" s="44">
        <v>46</v>
      </c>
      <c r="H345" s="44">
        <v>46</v>
      </c>
      <c r="I345" s="44">
        <v>-1.35</v>
      </c>
      <c r="J345" s="44">
        <v>-2.85</v>
      </c>
      <c r="K345" s="44">
        <v>1</v>
      </c>
      <c r="L345" s="44">
        <v>46.65</v>
      </c>
      <c r="M345" s="44">
        <v>50</v>
      </c>
    </row>
    <row r="346" spans="1:13" x14ac:dyDescent="0.25">
      <c r="A346" s="45" t="s">
        <v>1443</v>
      </c>
      <c r="B346" s="44" t="s">
        <v>3880</v>
      </c>
      <c r="C346" s="47">
        <v>44250</v>
      </c>
      <c r="D346" s="44">
        <v>202109</v>
      </c>
      <c r="E346" s="44">
        <v>46.7</v>
      </c>
      <c r="F346" s="44">
        <v>46.7</v>
      </c>
      <c r="G346" s="44">
        <v>46.7</v>
      </c>
      <c r="H346" s="44">
        <v>46.7</v>
      </c>
      <c r="I346" s="44">
        <v>-0.45</v>
      </c>
      <c r="J346" s="44">
        <v>-0.95</v>
      </c>
      <c r="K346" s="44">
        <v>0</v>
      </c>
      <c r="L346" s="44">
        <v>46.7</v>
      </c>
      <c r="M346" s="44">
        <v>1</v>
      </c>
    </row>
    <row r="347" spans="1:13" x14ac:dyDescent="0.25">
      <c r="A347" s="45" t="s">
        <v>1444</v>
      </c>
      <c r="B347" s="44" t="s">
        <v>3881</v>
      </c>
      <c r="C347" s="47">
        <v>44250</v>
      </c>
      <c r="D347" s="44">
        <v>202112</v>
      </c>
      <c r="E347" s="44">
        <v>46.7</v>
      </c>
      <c r="F347" s="44">
        <v>46.7</v>
      </c>
      <c r="G347" s="44">
        <v>46.7</v>
      </c>
      <c r="H347" s="44">
        <v>46.7</v>
      </c>
      <c r="I347" s="44">
        <v>-0.45</v>
      </c>
      <c r="J347" s="44">
        <v>-0.95</v>
      </c>
      <c r="K347" s="44">
        <v>0</v>
      </c>
      <c r="L347" s="44">
        <v>46.7</v>
      </c>
      <c r="M347" s="44">
        <v>0</v>
      </c>
    </row>
    <row r="348" spans="1:13" x14ac:dyDescent="0.25">
      <c r="A348" s="45" t="s">
        <v>946</v>
      </c>
      <c r="B348" s="44" t="s">
        <v>3882</v>
      </c>
      <c r="C348" s="47">
        <v>44250</v>
      </c>
      <c r="D348" s="44">
        <v>202103</v>
      </c>
      <c r="E348" s="44">
        <v>289.5</v>
      </c>
      <c r="F348" s="44">
        <v>292</v>
      </c>
      <c r="G348" s="44">
        <v>289.5</v>
      </c>
      <c r="H348" s="44">
        <v>290</v>
      </c>
      <c r="I348" s="44">
        <v>-1.5</v>
      </c>
      <c r="J348" s="44">
        <v>-0.51</v>
      </c>
      <c r="K348" s="44">
        <v>146</v>
      </c>
      <c r="L348" s="44">
        <v>290</v>
      </c>
      <c r="M348" s="44">
        <v>948</v>
      </c>
    </row>
    <row r="349" spans="1:13" x14ac:dyDescent="0.25">
      <c r="A349" s="45" t="s">
        <v>1445</v>
      </c>
      <c r="B349" s="44" t="s">
        <v>3883</v>
      </c>
      <c r="C349" s="47">
        <v>44250</v>
      </c>
      <c r="D349" s="44">
        <v>202103</v>
      </c>
      <c r="E349" s="44">
        <v>289.5</v>
      </c>
      <c r="F349" s="44">
        <v>292</v>
      </c>
      <c r="G349" s="44">
        <v>289.5</v>
      </c>
      <c r="H349" s="44">
        <v>290</v>
      </c>
      <c r="I349" s="44">
        <v>-1.5</v>
      </c>
      <c r="J349" s="44">
        <v>-0.51</v>
      </c>
      <c r="K349" s="44">
        <v>146</v>
      </c>
      <c r="L349" s="44">
        <v>290</v>
      </c>
      <c r="M349" s="44">
        <v>948</v>
      </c>
    </row>
    <row r="350" spans="1:13" x14ac:dyDescent="0.25">
      <c r="A350" s="45" t="s">
        <v>1446</v>
      </c>
      <c r="B350" s="44" t="s">
        <v>3884</v>
      </c>
      <c r="C350" s="47">
        <v>44250</v>
      </c>
      <c r="D350" s="44">
        <v>202104</v>
      </c>
      <c r="E350" s="44">
        <v>292</v>
      </c>
      <c r="F350" s="44">
        <v>292</v>
      </c>
      <c r="G350" s="44">
        <v>292</v>
      </c>
      <c r="H350" s="44">
        <v>292</v>
      </c>
      <c r="I350" s="44">
        <v>0</v>
      </c>
      <c r="J350" s="44">
        <v>0</v>
      </c>
      <c r="K350" s="44">
        <v>111</v>
      </c>
      <c r="L350" s="44">
        <v>290.5</v>
      </c>
      <c r="M350" s="44">
        <v>233</v>
      </c>
    </row>
    <row r="351" spans="1:13" x14ac:dyDescent="0.25">
      <c r="A351" s="45" t="s">
        <v>1447</v>
      </c>
      <c r="B351" s="44" t="s">
        <v>3885</v>
      </c>
      <c r="C351" s="47">
        <v>44250</v>
      </c>
      <c r="D351" s="44">
        <v>202104</v>
      </c>
      <c r="E351" s="44">
        <v>292</v>
      </c>
      <c r="F351" s="44">
        <v>292</v>
      </c>
      <c r="G351" s="44">
        <v>292</v>
      </c>
      <c r="H351" s="44">
        <v>292</v>
      </c>
      <c r="I351" s="44">
        <v>0</v>
      </c>
      <c r="J351" s="44">
        <v>0</v>
      </c>
      <c r="K351" s="44">
        <v>111</v>
      </c>
      <c r="L351" s="44">
        <v>290.5</v>
      </c>
      <c r="M351" s="44">
        <v>233</v>
      </c>
    </row>
    <row r="352" spans="1:13" x14ac:dyDescent="0.25">
      <c r="A352" s="45" t="s">
        <v>1448</v>
      </c>
      <c r="C352" s="47"/>
    </row>
    <row r="353" spans="1:13" x14ac:dyDescent="0.25">
      <c r="A353" s="45" t="s">
        <v>1449</v>
      </c>
      <c r="C353" s="47"/>
    </row>
    <row r="354" spans="1:13" x14ac:dyDescent="0.25">
      <c r="A354" s="45" t="s">
        <v>1450</v>
      </c>
      <c r="B354" s="44" t="s">
        <v>3886</v>
      </c>
      <c r="C354" s="47">
        <v>44250</v>
      </c>
      <c r="D354" s="44">
        <v>202103</v>
      </c>
      <c r="E354" s="44">
        <v>289.5</v>
      </c>
      <c r="F354" s="44">
        <v>292</v>
      </c>
      <c r="G354" s="44">
        <v>289.5</v>
      </c>
      <c r="H354" s="44">
        <v>290</v>
      </c>
      <c r="I354" s="44">
        <v>-1.5</v>
      </c>
      <c r="J354" s="44">
        <v>-0.51</v>
      </c>
      <c r="K354" s="44">
        <v>146</v>
      </c>
      <c r="L354" s="44">
        <v>290</v>
      </c>
      <c r="M354" s="44">
        <v>948</v>
      </c>
    </row>
    <row r="355" spans="1:13" x14ac:dyDescent="0.25">
      <c r="A355" s="45" t="s">
        <v>1451</v>
      </c>
      <c r="B355" s="44" t="s">
        <v>3887</v>
      </c>
      <c r="C355" s="47">
        <v>44250</v>
      </c>
      <c r="D355" s="44">
        <v>202106</v>
      </c>
      <c r="E355" s="44">
        <v>290</v>
      </c>
      <c r="F355" s="44">
        <v>290</v>
      </c>
      <c r="G355" s="44">
        <v>290</v>
      </c>
      <c r="H355" s="44">
        <v>290</v>
      </c>
      <c r="I355" s="44">
        <v>-1.5</v>
      </c>
      <c r="J355" s="44">
        <v>-0.51</v>
      </c>
      <c r="K355" s="44">
        <v>0</v>
      </c>
      <c r="L355" s="44">
        <v>290</v>
      </c>
      <c r="M355" s="44">
        <v>0</v>
      </c>
    </row>
    <row r="356" spans="1:13" x14ac:dyDescent="0.25">
      <c r="A356" s="45" t="s">
        <v>1452</v>
      </c>
      <c r="B356" s="44" t="s">
        <v>3888</v>
      </c>
      <c r="C356" s="47">
        <v>44250</v>
      </c>
      <c r="D356" s="44">
        <v>202109</v>
      </c>
      <c r="E356" s="44">
        <v>290</v>
      </c>
      <c r="F356" s="44">
        <v>290</v>
      </c>
      <c r="G356" s="44">
        <v>290</v>
      </c>
      <c r="H356" s="44">
        <v>290</v>
      </c>
      <c r="I356" s="44">
        <v>-1.5</v>
      </c>
      <c r="J356" s="44">
        <v>-0.51</v>
      </c>
      <c r="K356" s="44">
        <v>0</v>
      </c>
      <c r="L356" s="44">
        <v>290</v>
      </c>
      <c r="M356" s="44">
        <v>0</v>
      </c>
    </row>
    <row r="357" spans="1:13" x14ac:dyDescent="0.25">
      <c r="A357" s="45" t="s">
        <v>1453</v>
      </c>
      <c r="B357" s="44" t="s">
        <v>3889</v>
      </c>
      <c r="C357" s="47">
        <v>44250</v>
      </c>
      <c r="D357" s="44">
        <v>202112</v>
      </c>
      <c r="E357" s="44">
        <v>290</v>
      </c>
      <c r="F357" s="44">
        <v>290</v>
      </c>
      <c r="G357" s="44">
        <v>290</v>
      </c>
      <c r="H357" s="44">
        <v>290</v>
      </c>
      <c r="I357" s="44">
        <v>-1.5</v>
      </c>
      <c r="J357" s="44">
        <v>-0.51</v>
      </c>
      <c r="K357" s="44">
        <v>0</v>
      </c>
      <c r="L357" s="44">
        <v>290</v>
      </c>
      <c r="M357" s="44">
        <v>0</v>
      </c>
    </row>
    <row r="358" spans="1:13" x14ac:dyDescent="0.25">
      <c r="A358" s="45" t="s">
        <v>953</v>
      </c>
      <c r="B358" s="44" t="s">
        <v>3890</v>
      </c>
      <c r="C358" s="47">
        <v>44250</v>
      </c>
      <c r="D358" s="44">
        <v>202103</v>
      </c>
      <c r="E358" s="44">
        <v>86.7</v>
      </c>
      <c r="F358" s="44">
        <v>87.3</v>
      </c>
      <c r="G358" s="44">
        <v>86.2</v>
      </c>
      <c r="H358" s="44">
        <v>87</v>
      </c>
      <c r="I358" s="44">
        <v>-0.5</v>
      </c>
      <c r="J358" s="44">
        <v>-0.56999999999999995</v>
      </c>
      <c r="K358" s="44">
        <v>51</v>
      </c>
      <c r="L358" s="44">
        <v>87</v>
      </c>
      <c r="M358" s="44">
        <v>591</v>
      </c>
    </row>
    <row r="359" spans="1:13" x14ac:dyDescent="0.25">
      <c r="A359" s="45" t="s">
        <v>1454</v>
      </c>
      <c r="B359" s="44" t="s">
        <v>3891</v>
      </c>
      <c r="C359" s="47">
        <v>44250</v>
      </c>
      <c r="D359" s="44">
        <v>202103</v>
      </c>
      <c r="E359" s="44">
        <v>86.7</v>
      </c>
      <c r="F359" s="44">
        <v>87.3</v>
      </c>
      <c r="G359" s="44">
        <v>86.2</v>
      </c>
      <c r="H359" s="44">
        <v>87</v>
      </c>
      <c r="I359" s="44">
        <v>-0.5</v>
      </c>
      <c r="J359" s="44">
        <v>-0.56999999999999995</v>
      </c>
      <c r="K359" s="44">
        <v>51</v>
      </c>
      <c r="L359" s="44">
        <v>87</v>
      </c>
      <c r="M359" s="44">
        <v>591</v>
      </c>
    </row>
    <row r="360" spans="1:13" x14ac:dyDescent="0.25">
      <c r="A360" s="45" t="s">
        <v>1455</v>
      </c>
      <c r="B360" s="44" t="s">
        <v>3892</v>
      </c>
      <c r="C360" s="47">
        <v>44250</v>
      </c>
      <c r="D360" s="44">
        <v>202104</v>
      </c>
      <c r="E360" s="44">
        <v>86.3</v>
      </c>
      <c r="F360" s="44">
        <v>86.9</v>
      </c>
      <c r="G360" s="44">
        <v>86.1</v>
      </c>
      <c r="H360" s="44">
        <v>86.9</v>
      </c>
      <c r="I360" s="44">
        <v>-0.8</v>
      </c>
      <c r="J360" s="44">
        <v>-0.91</v>
      </c>
      <c r="K360" s="44">
        <v>8</v>
      </c>
      <c r="L360" s="44">
        <v>86.9</v>
      </c>
      <c r="M360" s="44">
        <v>22</v>
      </c>
    </row>
    <row r="361" spans="1:13" x14ac:dyDescent="0.25">
      <c r="A361" s="45" t="s">
        <v>1456</v>
      </c>
      <c r="B361" s="44" t="s">
        <v>3893</v>
      </c>
      <c r="C361" s="47">
        <v>44250</v>
      </c>
      <c r="D361" s="44">
        <v>202104</v>
      </c>
      <c r="E361" s="44">
        <v>86.3</v>
      </c>
      <c r="F361" s="44">
        <v>86.9</v>
      </c>
      <c r="G361" s="44">
        <v>86.1</v>
      </c>
      <c r="H361" s="44">
        <v>86.9</v>
      </c>
      <c r="I361" s="44">
        <v>-0.8</v>
      </c>
      <c r="J361" s="44">
        <v>-0.91</v>
      </c>
      <c r="K361" s="44">
        <v>8</v>
      </c>
      <c r="L361" s="44">
        <v>86.9</v>
      </c>
      <c r="M361" s="44">
        <v>22</v>
      </c>
    </row>
    <row r="362" spans="1:13" x14ac:dyDescent="0.25">
      <c r="A362" s="45" t="s">
        <v>1457</v>
      </c>
      <c r="C362" s="47"/>
    </row>
    <row r="363" spans="1:13" x14ac:dyDescent="0.25">
      <c r="A363" s="45" t="s">
        <v>1458</v>
      </c>
      <c r="C363" s="47"/>
    </row>
    <row r="364" spans="1:13" x14ac:dyDescent="0.25">
      <c r="A364" s="45" t="s">
        <v>1459</v>
      </c>
      <c r="B364" s="44" t="s">
        <v>3894</v>
      </c>
      <c r="C364" s="47">
        <v>44250</v>
      </c>
      <c r="D364" s="44">
        <v>202103</v>
      </c>
      <c r="E364" s="44">
        <v>86.7</v>
      </c>
      <c r="F364" s="44">
        <v>87.3</v>
      </c>
      <c r="G364" s="44">
        <v>86.2</v>
      </c>
      <c r="H364" s="44">
        <v>87</v>
      </c>
      <c r="I364" s="44">
        <v>-0.5</v>
      </c>
      <c r="J364" s="44">
        <v>-0.56999999999999995</v>
      </c>
      <c r="K364" s="44">
        <v>51</v>
      </c>
      <c r="L364" s="44">
        <v>87</v>
      </c>
      <c r="M364" s="44">
        <v>591</v>
      </c>
    </row>
    <row r="365" spans="1:13" x14ac:dyDescent="0.25">
      <c r="A365" s="45" t="s">
        <v>1460</v>
      </c>
      <c r="B365" s="44" t="s">
        <v>3895</v>
      </c>
      <c r="C365" s="47">
        <v>44250</v>
      </c>
      <c r="D365" s="44">
        <v>202106</v>
      </c>
      <c r="E365" s="44">
        <v>86.7</v>
      </c>
      <c r="F365" s="44">
        <v>86.7</v>
      </c>
      <c r="G365" s="44">
        <v>86.7</v>
      </c>
      <c r="H365" s="44">
        <v>86.7</v>
      </c>
      <c r="I365" s="44">
        <v>-0.9</v>
      </c>
      <c r="J365" s="44">
        <v>-1.03</v>
      </c>
      <c r="K365" s="44">
        <v>0</v>
      </c>
      <c r="L365" s="44">
        <v>86.7</v>
      </c>
      <c r="M365" s="44">
        <v>92</v>
      </c>
    </row>
    <row r="366" spans="1:13" x14ac:dyDescent="0.25">
      <c r="A366" s="45" t="s">
        <v>1461</v>
      </c>
      <c r="B366" s="44" t="s">
        <v>3896</v>
      </c>
      <c r="C366" s="47">
        <v>44250</v>
      </c>
      <c r="D366" s="44">
        <v>202109</v>
      </c>
      <c r="E366" s="44">
        <v>86.9</v>
      </c>
      <c r="F366" s="44">
        <v>86.9</v>
      </c>
      <c r="G366" s="44">
        <v>86.9</v>
      </c>
      <c r="H366" s="44">
        <v>86.9</v>
      </c>
      <c r="I366" s="44">
        <v>-0.5</v>
      </c>
      <c r="J366" s="44">
        <v>-0.56999999999999995</v>
      </c>
      <c r="K366" s="44">
        <v>0</v>
      </c>
      <c r="L366" s="44">
        <v>86.9</v>
      </c>
      <c r="M366" s="44">
        <v>2</v>
      </c>
    </row>
    <row r="367" spans="1:13" x14ac:dyDescent="0.25">
      <c r="A367" s="45" t="s">
        <v>1462</v>
      </c>
      <c r="B367" s="44" t="s">
        <v>3897</v>
      </c>
      <c r="C367" s="47">
        <v>44250</v>
      </c>
      <c r="D367" s="44">
        <v>202112</v>
      </c>
      <c r="E367" s="44">
        <v>86.7</v>
      </c>
      <c r="F367" s="44">
        <v>86.7</v>
      </c>
      <c r="G367" s="44">
        <v>86.7</v>
      </c>
      <c r="H367" s="44">
        <v>86.7</v>
      </c>
      <c r="I367" s="44">
        <v>-0.5</v>
      </c>
      <c r="J367" s="44">
        <v>-0.56999999999999995</v>
      </c>
      <c r="K367" s="44">
        <v>0</v>
      </c>
      <c r="L367" s="44">
        <v>86.7</v>
      </c>
      <c r="M367" s="44">
        <v>0</v>
      </c>
    </row>
    <row r="368" spans="1:13" x14ac:dyDescent="0.25">
      <c r="A368" s="45" t="s">
        <v>961</v>
      </c>
      <c r="B368" s="44" t="s">
        <v>3898</v>
      </c>
      <c r="C368" s="47">
        <v>44250</v>
      </c>
      <c r="D368" s="44">
        <v>202103</v>
      </c>
      <c r="E368" s="44">
        <v>109</v>
      </c>
      <c r="F368" s="44">
        <v>109</v>
      </c>
      <c r="G368" s="44">
        <v>109</v>
      </c>
      <c r="H368" s="44">
        <v>109</v>
      </c>
      <c r="I368" s="44">
        <v>0</v>
      </c>
      <c r="J368" s="44">
        <v>0</v>
      </c>
      <c r="K368" s="44">
        <v>106</v>
      </c>
      <c r="L368" s="44">
        <v>109</v>
      </c>
      <c r="M368" s="44">
        <v>210</v>
      </c>
    </row>
    <row r="369" spans="1:13" x14ac:dyDescent="0.25">
      <c r="A369" s="45" t="s">
        <v>1463</v>
      </c>
      <c r="B369" s="44" t="s">
        <v>3899</v>
      </c>
      <c r="C369" s="47">
        <v>44250</v>
      </c>
      <c r="D369" s="44">
        <v>202103</v>
      </c>
      <c r="E369" s="44">
        <v>109</v>
      </c>
      <c r="F369" s="44">
        <v>109</v>
      </c>
      <c r="G369" s="44">
        <v>109</v>
      </c>
      <c r="H369" s="44">
        <v>109</v>
      </c>
      <c r="I369" s="44">
        <v>0</v>
      </c>
      <c r="J369" s="44">
        <v>0</v>
      </c>
      <c r="K369" s="44">
        <v>106</v>
      </c>
      <c r="L369" s="44">
        <v>109</v>
      </c>
      <c r="M369" s="44">
        <v>210</v>
      </c>
    </row>
    <row r="370" spans="1:13" x14ac:dyDescent="0.25">
      <c r="A370" s="45" t="s">
        <v>1464</v>
      </c>
      <c r="B370" s="44" t="s">
        <v>3900</v>
      </c>
      <c r="C370" s="47">
        <v>44250</v>
      </c>
      <c r="D370" s="44">
        <v>202104</v>
      </c>
      <c r="E370" s="44">
        <v>109</v>
      </c>
      <c r="F370" s="44">
        <v>109</v>
      </c>
      <c r="G370" s="44">
        <v>109</v>
      </c>
      <c r="H370" s="44">
        <v>109</v>
      </c>
      <c r="I370" s="44">
        <v>0</v>
      </c>
      <c r="J370" s="44">
        <v>0</v>
      </c>
      <c r="K370" s="44">
        <v>88</v>
      </c>
      <c r="L370" s="44">
        <v>109</v>
      </c>
      <c r="M370" s="44">
        <v>234</v>
      </c>
    </row>
    <row r="371" spans="1:13" x14ac:dyDescent="0.25">
      <c r="A371" s="45" t="s">
        <v>1465</v>
      </c>
      <c r="B371" s="44" t="s">
        <v>3901</v>
      </c>
      <c r="C371" s="47">
        <v>44250</v>
      </c>
      <c r="D371" s="44">
        <v>202104</v>
      </c>
      <c r="E371" s="44">
        <v>109</v>
      </c>
      <c r="F371" s="44">
        <v>109</v>
      </c>
      <c r="G371" s="44">
        <v>109</v>
      </c>
      <c r="H371" s="44">
        <v>109</v>
      </c>
      <c r="I371" s="44">
        <v>0</v>
      </c>
      <c r="J371" s="44">
        <v>0</v>
      </c>
      <c r="K371" s="44">
        <v>88</v>
      </c>
      <c r="L371" s="44">
        <v>109</v>
      </c>
      <c r="M371" s="44">
        <v>234</v>
      </c>
    </row>
    <row r="372" spans="1:13" x14ac:dyDescent="0.25">
      <c r="A372" s="45" t="s">
        <v>1466</v>
      </c>
      <c r="C372" s="47"/>
    </row>
    <row r="373" spans="1:13" x14ac:dyDescent="0.25">
      <c r="A373" s="45" t="s">
        <v>1467</v>
      </c>
      <c r="C373" s="47"/>
    </row>
    <row r="374" spans="1:13" x14ac:dyDescent="0.25">
      <c r="A374" s="45" t="s">
        <v>1468</v>
      </c>
      <c r="B374" s="44" t="s">
        <v>3902</v>
      </c>
      <c r="C374" s="47">
        <v>44250</v>
      </c>
      <c r="D374" s="44">
        <v>202103</v>
      </c>
      <c r="E374" s="44">
        <v>109</v>
      </c>
      <c r="F374" s="44">
        <v>109</v>
      </c>
      <c r="G374" s="44">
        <v>109</v>
      </c>
      <c r="H374" s="44">
        <v>109</v>
      </c>
      <c r="I374" s="44">
        <v>0</v>
      </c>
      <c r="J374" s="44">
        <v>0</v>
      </c>
      <c r="K374" s="44">
        <v>106</v>
      </c>
      <c r="L374" s="44">
        <v>109</v>
      </c>
      <c r="M374" s="44">
        <v>210</v>
      </c>
    </row>
    <row r="375" spans="1:13" x14ac:dyDescent="0.25">
      <c r="A375" s="45" t="s">
        <v>1469</v>
      </c>
      <c r="B375" s="44" t="s">
        <v>3903</v>
      </c>
      <c r="C375" s="47">
        <v>44250</v>
      </c>
      <c r="D375" s="44">
        <v>202106</v>
      </c>
      <c r="E375" s="44">
        <v>108.5</v>
      </c>
      <c r="F375" s="44">
        <v>108.5</v>
      </c>
      <c r="G375" s="44">
        <v>108.5</v>
      </c>
      <c r="H375" s="44">
        <v>108.5</v>
      </c>
      <c r="I375" s="44">
        <v>0</v>
      </c>
      <c r="J375" s="44">
        <v>0</v>
      </c>
      <c r="K375" s="44">
        <v>0</v>
      </c>
      <c r="L375" s="44">
        <v>108.5</v>
      </c>
      <c r="M375" s="44">
        <v>0</v>
      </c>
    </row>
    <row r="376" spans="1:13" x14ac:dyDescent="0.25">
      <c r="A376" s="45" t="s">
        <v>1470</v>
      </c>
      <c r="B376" s="44" t="s">
        <v>3904</v>
      </c>
      <c r="C376" s="47">
        <v>44250</v>
      </c>
      <c r="D376" s="44">
        <v>202109</v>
      </c>
      <c r="E376" s="44">
        <v>109</v>
      </c>
      <c r="F376" s="44">
        <v>109</v>
      </c>
      <c r="G376" s="44">
        <v>109</v>
      </c>
      <c r="H376" s="44">
        <v>109</v>
      </c>
      <c r="I376" s="44">
        <v>0</v>
      </c>
      <c r="J376" s="44">
        <v>0</v>
      </c>
      <c r="K376" s="44">
        <v>0</v>
      </c>
      <c r="L376" s="44">
        <v>109</v>
      </c>
      <c r="M376" s="44">
        <v>1</v>
      </c>
    </row>
    <row r="377" spans="1:13" x14ac:dyDescent="0.25">
      <c r="A377" s="45" t="s">
        <v>1471</v>
      </c>
      <c r="B377" s="44" t="s">
        <v>3905</v>
      </c>
      <c r="C377" s="47">
        <v>44250</v>
      </c>
      <c r="D377" s="44">
        <v>202112</v>
      </c>
      <c r="E377" s="44">
        <v>108.5</v>
      </c>
      <c r="F377" s="44">
        <v>108.5</v>
      </c>
      <c r="G377" s="44">
        <v>108.5</v>
      </c>
      <c r="H377" s="44">
        <v>108.5</v>
      </c>
      <c r="I377" s="44">
        <v>0</v>
      </c>
      <c r="J377" s="44">
        <v>0</v>
      </c>
      <c r="K377" s="44">
        <v>0</v>
      </c>
      <c r="L377" s="44">
        <v>108.5</v>
      </c>
      <c r="M377" s="44">
        <v>500</v>
      </c>
    </row>
    <row r="378" spans="1:13" x14ac:dyDescent="0.25">
      <c r="A378" s="45" t="s">
        <v>989</v>
      </c>
      <c r="B378" s="44" t="s">
        <v>3906</v>
      </c>
      <c r="C378" s="47">
        <v>44250</v>
      </c>
      <c r="D378" s="44">
        <v>202103</v>
      </c>
      <c r="E378" s="44">
        <v>24.9</v>
      </c>
      <c r="F378" s="44">
        <v>25.15</v>
      </c>
      <c r="G378" s="44">
        <v>24.9</v>
      </c>
      <c r="H378" s="44">
        <v>25.15</v>
      </c>
      <c r="I378" s="44">
        <v>0.25</v>
      </c>
      <c r="J378" s="44">
        <v>1</v>
      </c>
      <c r="K378" s="44">
        <v>29</v>
      </c>
      <c r="L378" s="44">
        <v>25.15</v>
      </c>
      <c r="M378" s="44">
        <v>238</v>
      </c>
    </row>
    <row r="379" spans="1:13" x14ac:dyDescent="0.25">
      <c r="A379" s="45" t="s">
        <v>1472</v>
      </c>
      <c r="B379" s="44" t="s">
        <v>3907</v>
      </c>
      <c r="C379" s="47">
        <v>44250</v>
      </c>
      <c r="D379" s="44">
        <v>202103</v>
      </c>
      <c r="E379" s="44">
        <v>24.9</v>
      </c>
      <c r="F379" s="44">
        <v>25.15</v>
      </c>
      <c r="G379" s="44">
        <v>24.9</v>
      </c>
      <c r="H379" s="44">
        <v>25.15</v>
      </c>
      <c r="I379" s="44">
        <v>0.25</v>
      </c>
      <c r="J379" s="44">
        <v>1</v>
      </c>
      <c r="K379" s="44">
        <v>29</v>
      </c>
      <c r="L379" s="44">
        <v>25.15</v>
      </c>
      <c r="M379" s="44">
        <v>238</v>
      </c>
    </row>
    <row r="380" spans="1:13" x14ac:dyDescent="0.25">
      <c r="A380" s="45" t="s">
        <v>1473</v>
      </c>
      <c r="B380" s="44" t="s">
        <v>3908</v>
      </c>
      <c r="C380" s="47">
        <v>44250</v>
      </c>
      <c r="D380" s="44">
        <v>202104</v>
      </c>
      <c r="E380" s="44">
        <v>25.05</v>
      </c>
      <c r="F380" s="44">
        <v>25.2</v>
      </c>
      <c r="G380" s="44">
        <v>25.05</v>
      </c>
      <c r="H380" s="44">
        <v>25.15</v>
      </c>
      <c r="I380" s="44">
        <v>0.25</v>
      </c>
      <c r="J380" s="44">
        <v>1</v>
      </c>
      <c r="K380" s="44">
        <v>13</v>
      </c>
      <c r="L380" s="44">
        <v>25.15</v>
      </c>
      <c r="M380" s="44">
        <v>26</v>
      </c>
    </row>
    <row r="381" spans="1:13" x14ac:dyDescent="0.25">
      <c r="A381" s="45" t="s">
        <v>1474</v>
      </c>
      <c r="B381" s="44" t="s">
        <v>3909</v>
      </c>
      <c r="C381" s="47">
        <v>44250</v>
      </c>
      <c r="D381" s="44">
        <v>202104</v>
      </c>
      <c r="E381" s="44">
        <v>25.05</v>
      </c>
      <c r="F381" s="44">
        <v>25.2</v>
      </c>
      <c r="G381" s="44">
        <v>25.05</v>
      </c>
      <c r="H381" s="44">
        <v>25.15</v>
      </c>
      <c r="I381" s="44">
        <v>0.25</v>
      </c>
      <c r="J381" s="44">
        <v>1</v>
      </c>
      <c r="K381" s="44">
        <v>13</v>
      </c>
      <c r="L381" s="44">
        <v>25.15</v>
      </c>
      <c r="M381" s="44">
        <v>26</v>
      </c>
    </row>
    <row r="382" spans="1:13" x14ac:dyDescent="0.25">
      <c r="A382" s="45" t="s">
        <v>1475</v>
      </c>
      <c r="C382" s="47"/>
    </row>
    <row r="383" spans="1:13" x14ac:dyDescent="0.25">
      <c r="A383" s="45" t="s">
        <v>1476</v>
      </c>
      <c r="C383" s="47"/>
    </row>
    <row r="384" spans="1:13" x14ac:dyDescent="0.25">
      <c r="A384" s="45" t="s">
        <v>1477</v>
      </c>
      <c r="B384" s="44" t="s">
        <v>3910</v>
      </c>
      <c r="C384" s="47">
        <v>44250</v>
      </c>
      <c r="D384" s="44">
        <v>202103</v>
      </c>
      <c r="E384" s="44">
        <v>24.9</v>
      </c>
      <c r="F384" s="44">
        <v>25.15</v>
      </c>
      <c r="G384" s="44">
        <v>24.9</v>
      </c>
      <c r="H384" s="44">
        <v>25.15</v>
      </c>
      <c r="I384" s="44">
        <v>0.25</v>
      </c>
      <c r="J384" s="44">
        <v>1</v>
      </c>
      <c r="K384" s="44">
        <v>29</v>
      </c>
      <c r="L384" s="44">
        <v>25.15</v>
      </c>
      <c r="M384" s="44">
        <v>238</v>
      </c>
    </row>
    <row r="385" spans="1:13" x14ac:dyDescent="0.25">
      <c r="A385" s="45" t="s">
        <v>1478</v>
      </c>
      <c r="B385" s="44" t="s">
        <v>3911</v>
      </c>
      <c r="C385" s="47">
        <v>44250</v>
      </c>
      <c r="D385" s="44">
        <v>202106</v>
      </c>
      <c r="E385" s="44">
        <v>25.05</v>
      </c>
      <c r="F385" s="44">
        <v>25.05</v>
      </c>
      <c r="G385" s="44">
        <v>25.05</v>
      </c>
      <c r="H385" s="44">
        <v>25.05</v>
      </c>
      <c r="I385" s="44">
        <v>0.25</v>
      </c>
      <c r="J385" s="44">
        <v>1.01</v>
      </c>
      <c r="K385" s="44">
        <v>0</v>
      </c>
      <c r="L385" s="44">
        <v>25.05</v>
      </c>
      <c r="M385" s="44">
        <v>50</v>
      </c>
    </row>
    <row r="386" spans="1:13" x14ac:dyDescent="0.25">
      <c r="A386" s="45" t="s">
        <v>1479</v>
      </c>
      <c r="B386" s="44" t="s">
        <v>3912</v>
      </c>
      <c r="C386" s="47">
        <v>44250</v>
      </c>
      <c r="D386" s="44">
        <v>202109</v>
      </c>
      <c r="E386" s="44">
        <v>25.25</v>
      </c>
      <c r="F386" s="44">
        <v>25.25</v>
      </c>
      <c r="G386" s="44">
        <v>25.25</v>
      </c>
      <c r="H386" s="44">
        <v>25.25</v>
      </c>
      <c r="I386" s="44">
        <v>0.25</v>
      </c>
      <c r="J386" s="44">
        <v>1</v>
      </c>
      <c r="K386" s="44">
        <v>0</v>
      </c>
      <c r="L386" s="44">
        <v>25.25</v>
      </c>
      <c r="M386" s="44">
        <v>0</v>
      </c>
    </row>
    <row r="387" spans="1:13" x14ac:dyDescent="0.25">
      <c r="A387" s="45" t="s">
        <v>1480</v>
      </c>
      <c r="B387" s="44" t="s">
        <v>3913</v>
      </c>
      <c r="C387" s="47">
        <v>44250</v>
      </c>
      <c r="D387" s="44">
        <v>202112</v>
      </c>
      <c r="E387" s="44">
        <v>25</v>
      </c>
      <c r="F387" s="44">
        <v>25</v>
      </c>
      <c r="G387" s="44">
        <v>25</v>
      </c>
      <c r="H387" s="44">
        <v>25</v>
      </c>
      <c r="I387" s="44">
        <v>0.25</v>
      </c>
      <c r="J387" s="44">
        <v>1.01</v>
      </c>
      <c r="K387" s="44">
        <v>0</v>
      </c>
      <c r="L387" s="44">
        <v>25</v>
      </c>
      <c r="M387" s="44">
        <v>1</v>
      </c>
    </row>
    <row r="388" spans="1:13" x14ac:dyDescent="0.25">
      <c r="A388" s="45" t="s">
        <v>990</v>
      </c>
      <c r="B388" s="44" t="s">
        <v>3914</v>
      </c>
      <c r="C388" s="47">
        <v>44250</v>
      </c>
      <c r="D388" s="44">
        <v>202103</v>
      </c>
      <c r="E388" s="44">
        <v>21.4</v>
      </c>
      <c r="F388" s="44">
        <v>21.8</v>
      </c>
      <c r="G388" s="44">
        <v>21.4</v>
      </c>
      <c r="H388" s="44">
        <v>21.7</v>
      </c>
      <c r="I388" s="44">
        <v>0.3</v>
      </c>
      <c r="J388" s="44">
        <v>1.4</v>
      </c>
      <c r="K388" s="44">
        <v>31</v>
      </c>
      <c r="L388" s="44">
        <v>21.7</v>
      </c>
      <c r="M388" s="44">
        <v>285</v>
      </c>
    </row>
    <row r="389" spans="1:13" x14ac:dyDescent="0.25">
      <c r="A389" s="45" t="s">
        <v>1481</v>
      </c>
      <c r="B389" s="44" t="s">
        <v>3915</v>
      </c>
      <c r="C389" s="47">
        <v>44250</v>
      </c>
      <c r="D389" s="44">
        <v>202103</v>
      </c>
      <c r="E389" s="44">
        <v>21.4</v>
      </c>
      <c r="F389" s="44">
        <v>21.8</v>
      </c>
      <c r="G389" s="44">
        <v>21.4</v>
      </c>
      <c r="H389" s="44">
        <v>21.7</v>
      </c>
      <c r="I389" s="44">
        <v>0.3</v>
      </c>
      <c r="J389" s="44">
        <v>1.4</v>
      </c>
      <c r="K389" s="44">
        <v>31</v>
      </c>
      <c r="L389" s="44">
        <v>21.7</v>
      </c>
      <c r="M389" s="44">
        <v>285</v>
      </c>
    </row>
    <row r="390" spans="1:13" x14ac:dyDescent="0.25">
      <c r="A390" s="45" t="s">
        <v>1482</v>
      </c>
      <c r="B390" s="44" t="s">
        <v>3916</v>
      </c>
      <c r="C390" s="47">
        <v>44250</v>
      </c>
      <c r="D390" s="44">
        <v>202104</v>
      </c>
      <c r="E390" s="44">
        <v>21.3</v>
      </c>
      <c r="F390" s="44">
        <v>21.3</v>
      </c>
      <c r="G390" s="44">
        <v>21.3</v>
      </c>
      <c r="H390" s="44">
        <v>21.3</v>
      </c>
      <c r="I390" s="44">
        <v>0</v>
      </c>
      <c r="J390" s="44">
        <v>0</v>
      </c>
      <c r="K390" s="44">
        <v>2</v>
      </c>
      <c r="L390" s="44">
        <v>21.6</v>
      </c>
      <c r="M390" s="44">
        <v>13</v>
      </c>
    </row>
    <row r="391" spans="1:13" x14ac:dyDescent="0.25">
      <c r="A391" s="45" t="s">
        <v>1483</v>
      </c>
      <c r="B391" s="44" t="s">
        <v>3917</v>
      </c>
      <c r="C391" s="47">
        <v>44250</v>
      </c>
      <c r="D391" s="44">
        <v>202104</v>
      </c>
      <c r="E391" s="44">
        <v>21.3</v>
      </c>
      <c r="F391" s="44">
        <v>21.3</v>
      </c>
      <c r="G391" s="44">
        <v>21.3</v>
      </c>
      <c r="H391" s="44">
        <v>21.3</v>
      </c>
      <c r="I391" s="44">
        <v>0</v>
      </c>
      <c r="J391" s="44">
        <v>0</v>
      </c>
      <c r="K391" s="44">
        <v>2</v>
      </c>
      <c r="L391" s="44">
        <v>21.6</v>
      </c>
      <c r="M391" s="44">
        <v>13</v>
      </c>
    </row>
    <row r="392" spans="1:13" x14ac:dyDescent="0.25">
      <c r="A392" s="45" t="s">
        <v>1484</v>
      </c>
      <c r="C392" s="47"/>
    </row>
    <row r="393" spans="1:13" x14ac:dyDescent="0.25">
      <c r="A393" s="45" t="s">
        <v>1485</v>
      </c>
      <c r="C393" s="47"/>
    </row>
    <row r="394" spans="1:13" x14ac:dyDescent="0.25">
      <c r="A394" s="45" t="s">
        <v>1486</v>
      </c>
      <c r="B394" s="44" t="s">
        <v>3918</v>
      </c>
      <c r="C394" s="47">
        <v>44250</v>
      </c>
      <c r="D394" s="44">
        <v>202103</v>
      </c>
      <c r="E394" s="44">
        <v>21.4</v>
      </c>
      <c r="F394" s="44">
        <v>21.8</v>
      </c>
      <c r="G394" s="44">
        <v>21.4</v>
      </c>
      <c r="H394" s="44">
        <v>21.7</v>
      </c>
      <c r="I394" s="44">
        <v>0.3</v>
      </c>
      <c r="J394" s="44">
        <v>1.4</v>
      </c>
      <c r="K394" s="44">
        <v>31</v>
      </c>
      <c r="L394" s="44">
        <v>21.7</v>
      </c>
      <c r="M394" s="44">
        <v>285</v>
      </c>
    </row>
    <row r="395" spans="1:13" x14ac:dyDescent="0.25">
      <c r="A395" s="45" t="s">
        <v>1487</v>
      </c>
      <c r="B395" s="44" t="s">
        <v>3919</v>
      </c>
      <c r="C395" s="47">
        <v>44250</v>
      </c>
      <c r="D395" s="44">
        <v>202106</v>
      </c>
      <c r="E395" s="44">
        <v>21.45</v>
      </c>
      <c r="F395" s="44">
        <v>21.45</v>
      </c>
      <c r="G395" s="44">
        <v>21.45</v>
      </c>
      <c r="H395" s="44">
        <v>21.45</v>
      </c>
      <c r="I395" s="44">
        <v>0</v>
      </c>
      <c r="J395" s="44">
        <v>0</v>
      </c>
      <c r="K395" s="44">
        <v>2</v>
      </c>
      <c r="L395" s="44">
        <v>21.75</v>
      </c>
      <c r="M395" s="44">
        <v>15</v>
      </c>
    </row>
    <row r="396" spans="1:13" x14ac:dyDescent="0.25">
      <c r="A396" s="45" t="s">
        <v>1488</v>
      </c>
      <c r="B396" s="44" t="s">
        <v>3920</v>
      </c>
      <c r="C396" s="47">
        <v>44250</v>
      </c>
      <c r="D396" s="44">
        <v>202109</v>
      </c>
      <c r="E396" s="44">
        <v>21.75</v>
      </c>
      <c r="F396" s="44">
        <v>21.75</v>
      </c>
      <c r="G396" s="44">
        <v>21.75</v>
      </c>
      <c r="H396" s="44">
        <v>21.75</v>
      </c>
      <c r="I396" s="44">
        <v>0.3</v>
      </c>
      <c r="J396" s="44">
        <v>1.4</v>
      </c>
      <c r="K396" s="44">
        <v>0</v>
      </c>
      <c r="L396" s="44">
        <v>21.75</v>
      </c>
      <c r="M396" s="44">
        <v>2</v>
      </c>
    </row>
    <row r="397" spans="1:13" x14ac:dyDescent="0.25">
      <c r="A397" s="45" t="s">
        <v>1489</v>
      </c>
      <c r="B397" s="44" t="s">
        <v>3921</v>
      </c>
      <c r="C397" s="47">
        <v>44250</v>
      </c>
      <c r="D397" s="44">
        <v>202112</v>
      </c>
      <c r="E397" s="44">
        <v>21.7</v>
      </c>
      <c r="F397" s="44">
        <v>21.7</v>
      </c>
      <c r="G397" s="44">
        <v>21.7</v>
      </c>
      <c r="H397" s="44">
        <v>21.7</v>
      </c>
      <c r="I397" s="44">
        <v>0.1</v>
      </c>
      <c r="J397" s="44">
        <v>0.46</v>
      </c>
      <c r="K397" s="44">
        <v>0</v>
      </c>
      <c r="L397" s="44">
        <v>21.7</v>
      </c>
      <c r="M397" s="44">
        <v>0</v>
      </c>
    </row>
    <row r="398" spans="1:13" x14ac:dyDescent="0.25">
      <c r="A398" s="45" t="s">
        <v>996</v>
      </c>
      <c r="B398" s="44" t="s">
        <v>3922</v>
      </c>
      <c r="C398" s="47">
        <v>44250</v>
      </c>
      <c r="D398" s="44">
        <v>202103</v>
      </c>
      <c r="E398" s="44">
        <v>20.85</v>
      </c>
      <c r="F398" s="44">
        <v>21.1</v>
      </c>
      <c r="G398" s="44">
        <v>20.85</v>
      </c>
      <c r="H398" s="44">
        <v>21.1</v>
      </c>
      <c r="I398" s="44">
        <v>0.2</v>
      </c>
      <c r="J398" s="44">
        <v>0.96</v>
      </c>
      <c r="K398" s="44">
        <v>10</v>
      </c>
      <c r="L398" s="44">
        <v>21.1</v>
      </c>
      <c r="M398" s="44">
        <v>105</v>
      </c>
    </row>
    <row r="399" spans="1:13" x14ac:dyDescent="0.25">
      <c r="A399" s="45" t="s">
        <v>1490</v>
      </c>
      <c r="B399" s="44" t="s">
        <v>3923</v>
      </c>
      <c r="C399" s="47">
        <v>44250</v>
      </c>
      <c r="D399" s="44">
        <v>202103</v>
      </c>
      <c r="E399" s="44">
        <v>20.85</v>
      </c>
      <c r="F399" s="44">
        <v>21.1</v>
      </c>
      <c r="G399" s="44">
        <v>20.85</v>
      </c>
      <c r="H399" s="44">
        <v>21.1</v>
      </c>
      <c r="I399" s="44">
        <v>0.2</v>
      </c>
      <c r="J399" s="44">
        <v>0.96</v>
      </c>
      <c r="K399" s="44">
        <v>10</v>
      </c>
      <c r="L399" s="44">
        <v>21.1</v>
      </c>
      <c r="M399" s="44">
        <v>105</v>
      </c>
    </row>
    <row r="400" spans="1:13" x14ac:dyDescent="0.25">
      <c r="A400" s="45" t="s">
        <v>1491</v>
      </c>
      <c r="B400" s="44" t="s">
        <v>3924</v>
      </c>
      <c r="C400" s="47">
        <v>44250</v>
      </c>
      <c r="D400" s="44">
        <v>202104</v>
      </c>
      <c r="E400" s="44">
        <v>21.2</v>
      </c>
      <c r="F400" s="44">
        <v>21.2</v>
      </c>
      <c r="G400" s="44">
        <v>21.2</v>
      </c>
      <c r="H400" s="44">
        <v>21.2</v>
      </c>
      <c r="I400" s="44">
        <v>0.2</v>
      </c>
      <c r="J400" s="44">
        <v>0.95</v>
      </c>
      <c r="K400" s="44">
        <v>0</v>
      </c>
      <c r="L400" s="44">
        <v>21.2</v>
      </c>
      <c r="M400" s="44">
        <v>24</v>
      </c>
    </row>
    <row r="401" spans="1:13" x14ac:dyDescent="0.25">
      <c r="A401" s="45" t="s">
        <v>1492</v>
      </c>
      <c r="B401" s="44" t="s">
        <v>3925</v>
      </c>
      <c r="C401" s="47">
        <v>44250</v>
      </c>
      <c r="D401" s="44">
        <v>202104</v>
      </c>
      <c r="E401" s="44">
        <v>21.2</v>
      </c>
      <c r="F401" s="44">
        <v>21.2</v>
      </c>
      <c r="G401" s="44">
        <v>21.2</v>
      </c>
      <c r="H401" s="44">
        <v>21.2</v>
      </c>
      <c r="I401" s="44">
        <v>0.2</v>
      </c>
      <c r="J401" s="44">
        <v>0.95</v>
      </c>
      <c r="K401" s="44">
        <v>0</v>
      </c>
      <c r="L401" s="44">
        <v>21.2</v>
      </c>
      <c r="M401" s="44">
        <v>24</v>
      </c>
    </row>
    <row r="402" spans="1:13" x14ac:dyDescent="0.25">
      <c r="A402" s="45" t="s">
        <v>1493</v>
      </c>
      <c r="C402" s="47"/>
    </row>
    <row r="403" spans="1:13" x14ac:dyDescent="0.25">
      <c r="A403" s="45" t="s">
        <v>1494</v>
      </c>
      <c r="C403" s="47"/>
    </row>
    <row r="404" spans="1:13" x14ac:dyDescent="0.25">
      <c r="A404" s="45" t="s">
        <v>1495</v>
      </c>
      <c r="B404" s="44" t="s">
        <v>3926</v>
      </c>
      <c r="C404" s="47">
        <v>44250</v>
      </c>
      <c r="D404" s="44">
        <v>202103</v>
      </c>
      <c r="E404" s="44">
        <v>20.85</v>
      </c>
      <c r="F404" s="44">
        <v>21.1</v>
      </c>
      <c r="G404" s="44">
        <v>20.85</v>
      </c>
      <c r="H404" s="44">
        <v>21.1</v>
      </c>
      <c r="I404" s="44">
        <v>0.2</v>
      </c>
      <c r="J404" s="44">
        <v>0.96</v>
      </c>
      <c r="K404" s="44">
        <v>10</v>
      </c>
      <c r="L404" s="44">
        <v>21.1</v>
      </c>
      <c r="M404" s="44">
        <v>105</v>
      </c>
    </row>
    <row r="405" spans="1:13" x14ac:dyDescent="0.25">
      <c r="A405" s="45" t="s">
        <v>1496</v>
      </c>
      <c r="B405" s="44" t="s">
        <v>3927</v>
      </c>
      <c r="C405" s="47">
        <v>44250</v>
      </c>
      <c r="D405" s="44">
        <v>202106</v>
      </c>
      <c r="E405" s="44">
        <v>21.15</v>
      </c>
      <c r="F405" s="44">
        <v>21.15</v>
      </c>
      <c r="G405" s="44">
        <v>21.15</v>
      </c>
      <c r="H405" s="44">
        <v>21.15</v>
      </c>
      <c r="I405" s="44">
        <v>0.2</v>
      </c>
      <c r="J405" s="44">
        <v>0.95</v>
      </c>
      <c r="K405" s="44">
        <v>0</v>
      </c>
      <c r="L405" s="44">
        <v>21.15</v>
      </c>
      <c r="M405" s="44">
        <v>0</v>
      </c>
    </row>
    <row r="406" spans="1:13" x14ac:dyDescent="0.25">
      <c r="A406" s="45" t="s">
        <v>1497</v>
      </c>
      <c r="B406" s="44" t="s">
        <v>3928</v>
      </c>
      <c r="C406" s="47">
        <v>44250</v>
      </c>
      <c r="D406" s="44">
        <v>202109</v>
      </c>
      <c r="E406" s="44">
        <v>21.65</v>
      </c>
      <c r="F406" s="44">
        <v>21.65</v>
      </c>
      <c r="G406" s="44">
        <v>21.65</v>
      </c>
      <c r="H406" s="44">
        <v>21.65</v>
      </c>
      <c r="I406" s="44">
        <v>0.2</v>
      </c>
      <c r="J406" s="44">
        <v>0.93</v>
      </c>
      <c r="K406" s="44">
        <v>0</v>
      </c>
      <c r="L406" s="44">
        <v>21.65</v>
      </c>
      <c r="M406" s="44">
        <v>3</v>
      </c>
    </row>
    <row r="407" spans="1:13" x14ac:dyDescent="0.25">
      <c r="A407" s="45" t="s">
        <v>1498</v>
      </c>
      <c r="B407" s="44" t="s">
        <v>3929</v>
      </c>
      <c r="C407" s="47">
        <v>44250</v>
      </c>
      <c r="D407" s="44">
        <v>202112</v>
      </c>
      <c r="E407" s="44">
        <v>21.4</v>
      </c>
      <c r="F407" s="44">
        <v>21.4</v>
      </c>
      <c r="G407" s="44">
        <v>21.4</v>
      </c>
      <c r="H407" s="44">
        <v>21.4</v>
      </c>
      <c r="I407" s="44">
        <v>0.2</v>
      </c>
      <c r="J407" s="44">
        <v>0.94</v>
      </c>
      <c r="K407" s="44">
        <v>0</v>
      </c>
      <c r="L407" s="44">
        <v>21.4</v>
      </c>
      <c r="M407" s="44">
        <v>0</v>
      </c>
    </row>
    <row r="408" spans="1:13" x14ac:dyDescent="0.25">
      <c r="A408" s="45" t="s">
        <v>1031</v>
      </c>
      <c r="B408" s="44" t="s">
        <v>3930</v>
      </c>
      <c r="C408" s="47">
        <v>44250</v>
      </c>
      <c r="D408" s="44">
        <v>202103</v>
      </c>
      <c r="E408" s="44">
        <v>16.3</v>
      </c>
      <c r="F408" s="44">
        <v>16.45</v>
      </c>
      <c r="G408" s="44">
        <v>15.9</v>
      </c>
      <c r="H408" s="44">
        <v>16.25</v>
      </c>
      <c r="I408" s="44">
        <v>-0.2</v>
      </c>
      <c r="J408" s="44">
        <v>-1.22</v>
      </c>
      <c r="K408" s="44">
        <v>11043</v>
      </c>
      <c r="L408" s="44">
        <v>16.25</v>
      </c>
      <c r="M408" s="44">
        <v>18138</v>
      </c>
    </row>
    <row r="409" spans="1:13" x14ac:dyDescent="0.25">
      <c r="A409" s="45" t="s">
        <v>1499</v>
      </c>
      <c r="B409" s="44" t="s">
        <v>3931</v>
      </c>
      <c r="C409" s="47">
        <v>44250</v>
      </c>
      <c r="D409" s="44">
        <v>202103</v>
      </c>
      <c r="E409" s="44">
        <v>16.3</v>
      </c>
      <c r="F409" s="44">
        <v>16.45</v>
      </c>
      <c r="G409" s="44">
        <v>15.9</v>
      </c>
      <c r="H409" s="44">
        <v>16.25</v>
      </c>
      <c r="I409" s="44">
        <v>-0.2</v>
      </c>
      <c r="J409" s="44">
        <v>-1.22</v>
      </c>
      <c r="K409" s="44">
        <v>11043</v>
      </c>
      <c r="L409" s="44">
        <v>16.25</v>
      </c>
      <c r="M409" s="44">
        <v>18138</v>
      </c>
    </row>
    <row r="410" spans="1:13" x14ac:dyDescent="0.25">
      <c r="A410" s="45" t="s">
        <v>1500</v>
      </c>
      <c r="B410" s="44" t="s">
        <v>3932</v>
      </c>
      <c r="C410" s="47">
        <v>44250</v>
      </c>
      <c r="D410" s="44">
        <v>202104</v>
      </c>
      <c r="E410" s="44">
        <v>16.45</v>
      </c>
      <c r="F410" s="44">
        <v>16.45</v>
      </c>
      <c r="G410" s="44">
        <v>15.9</v>
      </c>
      <c r="H410" s="44">
        <v>16.149999999999999</v>
      </c>
      <c r="I410" s="44">
        <v>-0.3</v>
      </c>
      <c r="J410" s="44">
        <v>-1.82</v>
      </c>
      <c r="K410" s="44">
        <v>1463</v>
      </c>
      <c r="L410" s="44">
        <v>16.149999999999999</v>
      </c>
      <c r="M410" s="44">
        <v>623</v>
      </c>
    </row>
    <row r="411" spans="1:13" x14ac:dyDescent="0.25">
      <c r="A411" s="45" t="s">
        <v>1501</v>
      </c>
      <c r="B411" s="44" t="s">
        <v>3933</v>
      </c>
      <c r="C411" s="47">
        <v>44250</v>
      </c>
      <c r="D411" s="44">
        <v>202104</v>
      </c>
      <c r="E411" s="44">
        <v>16.45</v>
      </c>
      <c r="F411" s="44">
        <v>16.45</v>
      </c>
      <c r="G411" s="44">
        <v>15.9</v>
      </c>
      <c r="H411" s="44">
        <v>16.149999999999999</v>
      </c>
      <c r="I411" s="44">
        <v>-0.3</v>
      </c>
      <c r="J411" s="44">
        <v>-1.82</v>
      </c>
      <c r="K411" s="44">
        <v>1463</v>
      </c>
      <c r="L411" s="44">
        <v>16.149999999999999</v>
      </c>
      <c r="M411" s="44">
        <v>623</v>
      </c>
    </row>
    <row r="412" spans="1:13" x14ac:dyDescent="0.25">
      <c r="A412" s="45" t="s">
        <v>1502</v>
      </c>
      <c r="C412" s="47"/>
    </row>
    <row r="413" spans="1:13" x14ac:dyDescent="0.25">
      <c r="A413" s="45" t="s">
        <v>1503</v>
      </c>
      <c r="C413" s="47"/>
    </row>
    <row r="414" spans="1:13" x14ac:dyDescent="0.25">
      <c r="A414" s="45" t="s">
        <v>1504</v>
      </c>
      <c r="C414" s="47"/>
    </row>
    <row r="415" spans="1:13" x14ac:dyDescent="0.25">
      <c r="A415" s="45" t="s">
        <v>1505</v>
      </c>
      <c r="B415" s="44" t="s">
        <v>3934</v>
      </c>
      <c r="C415" s="47">
        <v>44250</v>
      </c>
      <c r="D415" s="44">
        <v>202103</v>
      </c>
      <c r="E415" s="44">
        <v>16.3</v>
      </c>
      <c r="F415" s="44">
        <v>16.45</v>
      </c>
      <c r="G415" s="44">
        <v>15.9</v>
      </c>
      <c r="H415" s="44">
        <v>16.25</v>
      </c>
      <c r="I415" s="44">
        <v>-0.2</v>
      </c>
      <c r="J415" s="44">
        <v>-1.22</v>
      </c>
      <c r="K415" s="44">
        <v>11043</v>
      </c>
      <c r="L415" s="44">
        <v>16.25</v>
      </c>
      <c r="M415" s="44">
        <v>18138</v>
      </c>
    </row>
    <row r="416" spans="1:13" x14ac:dyDescent="0.25">
      <c r="A416" s="45" t="s">
        <v>1506</v>
      </c>
      <c r="B416" s="44" t="s">
        <v>3935</v>
      </c>
      <c r="C416" s="47">
        <v>44250</v>
      </c>
      <c r="D416" s="44" t="s">
        <v>5788</v>
      </c>
      <c r="E416" s="44">
        <v>0</v>
      </c>
      <c r="F416" s="44">
        <v>0</v>
      </c>
      <c r="G416" s="44">
        <v>0</v>
      </c>
      <c r="H416" s="44">
        <v>0</v>
      </c>
      <c r="K416" s="44">
        <v>0</v>
      </c>
    </row>
    <row r="417" spans="1:13" x14ac:dyDescent="0.25">
      <c r="A417" s="45" t="s">
        <v>1507</v>
      </c>
      <c r="B417" s="44" t="s">
        <v>3936</v>
      </c>
      <c r="C417" s="47">
        <v>44250</v>
      </c>
      <c r="D417" s="44">
        <v>202106</v>
      </c>
      <c r="E417" s="44">
        <v>16.2</v>
      </c>
      <c r="F417" s="44">
        <v>16.25</v>
      </c>
      <c r="G417" s="44">
        <v>15.9</v>
      </c>
      <c r="H417" s="44">
        <v>16.2</v>
      </c>
      <c r="I417" s="44">
        <v>-0.1</v>
      </c>
      <c r="J417" s="44">
        <v>-0.61</v>
      </c>
      <c r="K417" s="44">
        <v>157</v>
      </c>
      <c r="L417" s="44">
        <v>16.2</v>
      </c>
      <c r="M417" s="44">
        <v>309</v>
      </c>
    </row>
    <row r="418" spans="1:13" x14ac:dyDescent="0.25">
      <c r="A418" s="45" t="s">
        <v>1508</v>
      </c>
      <c r="B418" s="44" t="s">
        <v>3937</v>
      </c>
      <c r="C418" s="47">
        <v>44250</v>
      </c>
      <c r="D418" s="44">
        <v>202109</v>
      </c>
      <c r="E418" s="44">
        <v>16.149999999999999</v>
      </c>
      <c r="F418" s="44">
        <v>16.149999999999999</v>
      </c>
      <c r="G418" s="44">
        <v>16.149999999999999</v>
      </c>
      <c r="H418" s="44">
        <v>16.149999999999999</v>
      </c>
      <c r="I418" s="44">
        <v>-0.2</v>
      </c>
      <c r="J418" s="44">
        <v>-1.22</v>
      </c>
      <c r="K418" s="44">
        <v>0</v>
      </c>
      <c r="L418" s="44">
        <v>16.149999999999999</v>
      </c>
      <c r="M418" s="44">
        <v>46</v>
      </c>
    </row>
    <row r="419" spans="1:13" x14ac:dyDescent="0.25">
      <c r="A419" s="45" t="s">
        <v>1509</v>
      </c>
      <c r="B419" s="44" t="s">
        <v>3938</v>
      </c>
      <c r="C419" s="47">
        <v>44250</v>
      </c>
      <c r="D419" s="44">
        <v>202112</v>
      </c>
      <c r="E419" s="44">
        <v>16.100000000000001</v>
      </c>
      <c r="F419" s="44">
        <v>16.100000000000001</v>
      </c>
      <c r="G419" s="44">
        <v>16.100000000000001</v>
      </c>
      <c r="H419" s="44">
        <v>16.100000000000001</v>
      </c>
      <c r="I419" s="44">
        <v>-0.2</v>
      </c>
      <c r="J419" s="44">
        <v>-1.23</v>
      </c>
      <c r="K419" s="44">
        <v>0</v>
      </c>
      <c r="L419" s="44">
        <v>16.100000000000001</v>
      </c>
      <c r="M419" s="44">
        <v>0</v>
      </c>
    </row>
    <row r="420" spans="1:13" x14ac:dyDescent="0.25">
      <c r="A420" s="45" t="s">
        <v>942</v>
      </c>
      <c r="B420" s="44" t="s">
        <v>3939</v>
      </c>
      <c r="C420" s="47">
        <v>44250</v>
      </c>
      <c r="D420" s="44">
        <v>202103</v>
      </c>
      <c r="E420" s="44">
        <v>26.9</v>
      </c>
      <c r="F420" s="44">
        <v>27.05</v>
      </c>
      <c r="G420" s="44">
        <v>26.5</v>
      </c>
      <c r="H420" s="44">
        <v>27.05</v>
      </c>
      <c r="I420" s="44">
        <v>0.25</v>
      </c>
      <c r="J420" s="44">
        <v>0.93</v>
      </c>
      <c r="K420" s="44">
        <v>1918</v>
      </c>
      <c r="L420" s="44">
        <v>27.05</v>
      </c>
      <c r="M420" s="44">
        <v>7385</v>
      </c>
    </row>
    <row r="421" spans="1:13" x14ac:dyDescent="0.25">
      <c r="A421" s="45" t="s">
        <v>1510</v>
      </c>
      <c r="B421" s="44" t="s">
        <v>3940</v>
      </c>
      <c r="C421" s="47">
        <v>44250</v>
      </c>
      <c r="D421" s="44">
        <v>202103</v>
      </c>
      <c r="E421" s="44">
        <v>26.9</v>
      </c>
      <c r="F421" s="44">
        <v>27.05</v>
      </c>
      <c r="G421" s="44">
        <v>26.5</v>
      </c>
      <c r="H421" s="44">
        <v>27.05</v>
      </c>
      <c r="I421" s="44">
        <v>0.25</v>
      </c>
      <c r="J421" s="44">
        <v>0.93</v>
      </c>
      <c r="K421" s="44">
        <v>1918</v>
      </c>
      <c r="L421" s="44">
        <v>27.05</v>
      </c>
      <c r="M421" s="44">
        <v>7385</v>
      </c>
    </row>
    <row r="422" spans="1:13" x14ac:dyDescent="0.25">
      <c r="A422" s="45" t="s">
        <v>1511</v>
      </c>
      <c r="B422" s="44" t="s">
        <v>3941</v>
      </c>
      <c r="C422" s="47">
        <v>44250</v>
      </c>
      <c r="D422" s="44">
        <v>202104</v>
      </c>
      <c r="E422" s="44">
        <v>27.1</v>
      </c>
      <c r="F422" s="44">
        <v>27.1</v>
      </c>
      <c r="G422" s="44">
        <v>26.5</v>
      </c>
      <c r="H422" s="44">
        <v>27</v>
      </c>
      <c r="I422" s="44">
        <v>0.35</v>
      </c>
      <c r="J422" s="44">
        <v>1.31</v>
      </c>
      <c r="K422" s="44">
        <v>71</v>
      </c>
      <c r="L422" s="44">
        <v>27</v>
      </c>
      <c r="M422" s="44">
        <v>184</v>
      </c>
    </row>
    <row r="423" spans="1:13" x14ac:dyDescent="0.25">
      <c r="A423" s="45" t="s">
        <v>1512</v>
      </c>
      <c r="B423" s="44" t="s">
        <v>3942</v>
      </c>
      <c r="C423" s="47">
        <v>44250</v>
      </c>
      <c r="D423" s="44">
        <v>202104</v>
      </c>
      <c r="E423" s="44">
        <v>27.1</v>
      </c>
      <c r="F423" s="44">
        <v>27.1</v>
      </c>
      <c r="G423" s="44">
        <v>26.5</v>
      </c>
      <c r="H423" s="44">
        <v>27</v>
      </c>
      <c r="I423" s="44">
        <v>0.35</v>
      </c>
      <c r="J423" s="44">
        <v>1.31</v>
      </c>
      <c r="K423" s="44">
        <v>71</v>
      </c>
      <c r="L423" s="44">
        <v>27</v>
      </c>
      <c r="M423" s="44">
        <v>184</v>
      </c>
    </row>
    <row r="424" spans="1:13" x14ac:dyDescent="0.25">
      <c r="A424" s="45" t="s">
        <v>1513</v>
      </c>
      <c r="C424" s="47"/>
    </row>
    <row r="425" spans="1:13" x14ac:dyDescent="0.25">
      <c r="A425" s="45" t="s">
        <v>1514</v>
      </c>
      <c r="C425" s="47"/>
    </row>
    <row r="426" spans="1:13" x14ac:dyDescent="0.25">
      <c r="A426" s="45" t="s">
        <v>1515</v>
      </c>
      <c r="B426" s="44" t="s">
        <v>3943</v>
      </c>
      <c r="C426" s="47">
        <v>44250</v>
      </c>
      <c r="D426" s="44">
        <v>202103</v>
      </c>
      <c r="E426" s="44">
        <v>26.9</v>
      </c>
      <c r="F426" s="44">
        <v>27.05</v>
      </c>
      <c r="G426" s="44">
        <v>26.5</v>
      </c>
      <c r="H426" s="44">
        <v>27.05</v>
      </c>
      <c r="I426" s="44">
        <v>0.25</v>
      </c>
      <c r="J426" s="44">
        <v>0.93</v>
      </c>
      <c r="K426" s="44">
        <v>1918</v>
      </c>
      <c r="L426" s="44">
        <v>27.05</v>
      </c>
      <c r="M426" s="44">
        <v>7385</v>
      </c>
    </row>
    <row r="427" spans="1:13" x14ac:dyDescent="0.25">
      <c r="A427" s="45" t="s">
        <v>1516</v>
      </c>
      <c r="B427" s="44" t="s">
        <v>3944</v>
      </c>
      <c r="C427" s="47">
        <v>44250</v>
      </c>
      <c r="D427" s="44">
        <v>202106</v>
      </c>
      <c r="E427" s="44">
        <v>26.7</v>
      </c>
      <c r="F427" s="44">
        <v>26.7</v>
      </c>
      <c r="G427" s="44">
        <v>26.7</v>
      </c>
      <c r="H427" s="44">
        <v>26.7</v>
      </c>
      <c r="I427" s="44">
        <v>0.25</v>
      </c>
      <c r="J427" s="44">
        <v>0.95</v>
      </c>
      <c r="K427" s="44">
        <v>0</v>
      </c>
      <c r="L427" s="44">
        <v>26.7</v>
      </c>
      <c r="M427" s="44">
        <v>61</v>
      </c>
    </row>
    <row r="428" spans="1:13" x14ac:dyDescent="0.25">
      <c r="A428" s="45" t="s">
        <v>1517</v>
      </c>
      <c r="B428" s="44" t="s">
        <v>3945</v>
      </c>
      <c r="C428" s="47">
        <v>44250</v>
      </c>
      <c r="D428" s="44">
        <v>202109</v>
      </c>
      <c r="E428" s="44">
        <v>26.7</v>
      </c>
      <c r="F428" s="44">
        <v>26.7</v>
      </c>
      <c r="G428" s="44">
        <v>26.7</v>
      </c>
      <c r="H428" s="44">
        <v>26.7</v>
      </c>
      <c r="I428" s="44">
        <v>0.25</v>
      </c>
      <c r="J428" s="44">
        <v>0.95</v>
      </c>
      <c r="K428" s="44">
        <v>0</v>
      </c>
      <c r="L428" s="44">
        <v>26.7</v>
      </c>
      <c r="M428" s="44">
        <v>200</v>
      </c>
    </row>
    <row r="429" spans="1:13" x14ac:dyDescent="0.25">
      <c r="A429" s="45" t="s">
        <v>1518</v>
      </c>
      <c r="B429" s="44" t="s">
        <v>3946</v>
      </c>
      <c r="C429" s="47">
        <v>44250</v>
      </c>
      <c r="D429" s="44">
        <v>202112</v>
      </c>
      <c r="E429" s="44">
        <v>27.05</v>
      </c>
      <c r="F429" s="44">
        <v>27.05</v>
      </c>
      <c r="G429" s="44">
        <v>27.05</v>
      </c>
      <c r="H429" s="44">
        <v>27.05</v>
      </c>
      <c r="I429" s="44">
        <v>0.2</v>
      </c>
      <c r="J429" s="44">
        <v>0.74</v>
      </c>
      <c r="K429" s="44">
        <v>0</v>
      </c>
      <c r="L429" s="44">
        <v>27.05</v>
      </c>
      <c r="M429" s="44">
        <v>0</v>
      </c>
    </row>
    <row r="430" spans="1:13" x14ac:dyDescent="0.25">
      <c r="A430" s="45" t="s">
        <v>964</v>
      </c>
      <c r="B430" s="44" t="s">
        <v>3947</v>
      </c>
      <c r="C430" s="47">
        <v>44250</v>
      </c>
      <c r="D430" s="44">
        <v>202103</v>
      </c>
      <c r="E430" s="44">
        <v>940</v>
      </c>
      <c r="F430" s="44">
        <v>969</v>
      </c>
      <c r="G430" s="44">
        <v>933</v>
      </c>
      <c r="H430" s="44">
        <v>965</v>
      </c>
      <c r="I430" s="44">
        <v>11</v>
      </c>
      <c r="J430" s="44">
        <v>1.1499999999999999</v>
      </c>
      <c r="K430" s="44">
        <v>2139</v>
      </c>
      <c r="L430" s="44">
        <v>965</v>
      </c>
      <c r="M430" s="44">
        <v>3546</v>
      </c>
    </row>
    <row r="431" spans="1:13" x14ac:dyDescent="0.25">
      <c r="A431" s="45" t="s">
        <v>1519</v>
      </c>
      <c r="B431" s="44" t="s">
        <v>3948</v>
      </c>
      <c r="C431" s="47">
        <v>44250</v>
      </c>
      <c r="D431" s="44">
        <v>202103</v>
      </c>
      <c r="E431" s="44">
        <v>940</v>
      </c>
      <c r="F431" s="44">
        <v>969</v>
      </c>
      <c r="G431" s="44">
        <v>933</v>
      </c>
      <c r="H431" s="44">
        <v>965</v>
      </c>
      <c r="I431" s="44">
        <v>11</v>
      </c>
      <c r="J431" s="44">
        <v>1.1499999999999999</v>
      </c>
      <c r="K431" s="44">
        <v>2139</v>
      </c>
      <c r="L431" s="44">
        <v>965</v>
      </c>
      <c r="M431" s="44">
        <v>3546</v>
      </c>
    </row>
    <row r="432" spans="1:13" x14ac:dyDescent="0.25">
      <c r="A432" s="45" t="s">
        <v>1520</v>
      </c>
      <c r="B432" s="44" t="s">
        <v>3949</v>
      </c>
      <c r="C432" s="47">
        <v>44250</v>
      </c>
      <c r="D432" s="44">
        <v>202104</v>
      </c>
      <c r="E432" s="44">
        <v>948</v>
      </c>
      <c r="F432" s="44">
        <v>965</v>
      </c>
      <c r="G432" s="44">
        <v>936</v>
      </c>
      <c r="H432" s="44">
        <v>963</v>
      </c>
      <c r="I432" s="44">
        <v>11</v>
      </c>
      <c r="J432" s="44">
        <v>1.1599999999999999</v>
      </c>
      <c r="K432" s="44">
        <v>396</v>
      </c>
      <c r="L432" s="44">
        <v>966</v>
      </c>
      <c r="M432" s="44">
        <v>461</v>
      </c>
    </row>
    <row r="433" spans="1:13" x14ac:dyDescent="0.25">
      <c r="A433" s="45" t="s">
        <v>1521</v>
      </c>
      <c r="B433" s="44" t="s">
        <v>3950</v>
      </c>
      <c r="C433" s="47">
        <v>44250</v>
      </c>
      <c r="D433" s="44">
        <v>202104</v>
      </c>
      <c r="E433" s="44">
        <v>948</v>
      </c>
      <c r="F433" s="44">
        <v>965</v>
      </c>
      <c r="G433" s="44">
        <v>936</v>
      </c>
      <c r="H433" s="44">
        <v>963</v>
      </c>
      <c r="I433" s="44">
        <v>11</v>
      </c>
      <c r="J433" s="44">
        <v>1.1599999999999999</v>
      </c>
      <c r="K433" s="44">
        <v>396</v>
      </c>
      <c r="L433" s="44">
        <v>966</v>
      </c>
      <c r="M433" s="44">
        <v>461</v>
      </c>
    </row>
    <row r="434" spans="1:13" x14ac:dyDescent="0.25">
      <c r="A434" s="45" t="s">
        <v>1522</v>
      </c>
      <c r="C434" s="47"/>
    </row>
    <row r="435" spans="1:13" x14ac:dyDescent="0.25">
      <c r="A435" s="45" t="s">
        <v>1523</v>
      </c>
      <c r="C435" s="47"/>
    </row>
    <row r="436" spans="1:13" x14ac:dyDescent="0.25">
      <c r="A436" s="45" t="s">
        <v>1524</v>
      </c>
      <c r="B436" s="44" t="s">
        <v>3951</v>
      </c>
      <c r="C436" s="47">
        <v>44250</v>
      </c>
      <c r="D436" s="44">
        <v>202103</v>
      </c>
      <c r="E436" s="44">
        <v>940</v>
      </c>
      <c r="F436" s="44">
        <v>969</v>
      </c>
      <c r="G436" s="44">
        <v>933</v>
      </c>
      <c r="H436" s="44">
        <v>965</v>
      </c>
      <c r="I436" s="44">
        <v>11</v>
      </c>
      <c r="J436" s="44">
        <v>1.1499999999999999</v>
      </c>
      <c r="K436" s="44">
        <v>2139</v>
      </c>
      <c r="L436" s="44">
        <v>965</v>
      </c>
      <c r="M436" s="44">
        <v>3546</v>
      </c>
    </row>
    <row r="437" spans="1:13" x14ac:dyDescent="0.25">
      <c r="A437" s="45" t="s">
        <v>1525</v>
      </c>
      <c r="C437" s="47"/>
    </row>
    <row r="438" spans="1:13" x14ac:dyDescent="0.25">
      <c r="A438" s="45" t="s">
        <v>1526</v>
      </c>
      <c r="B438" s="44" t="s">
        <v>3952</v>
      </c>
      <c r="C438" s="47">
        <v>44250</v>
      </c>
      <c r="D438" s="44">
        <v>202106</v>
      </c>
      <c r="E438" s="44">
        <v>939</v>
      </c>
      <c r="F438" s="44">
        <v>940</v>
      </c>
      <c r="G438" s="44">
        <v>939</v>
      </c>
      <c r="H438" s="44">
        <v>940</v>
      </c>
      <c r="I438" s="44">
        <v>-12</v>
      </c>
      <c r="J438" s="44">
        <v>-1.26</v>
      </c>
      <c r="K438" s="44">
        <v>2</v>
      </c>
      <c r="L438" s="44">
        <v>959</v>
      </c>
      <c r="M438" s="44">
        <v>533</v>
      </c>
    </row>
    <row r="439" spans="1:13" x14ac:dyDescent="0.25">
      <c r="A439" s="45" t="s">
        <v>1527</v>
      </c>
      <c r="B439" s="44" t="s">
        <v>3953</v>
      </c>
      <c r="C439" s="47">
        <v>44250</v>
      </c>
      <c r="D439" s="44">
        <v>202109</v>
      </c>
      <c r="E439" s="44">
        <v>943</v>
      </c>
      <c r="F439" s="44">
        <v>943</v>
      </c>
      <c r="G439" s="44">
        <v>943</v>
      </c>
      <c r="H439" s="44">
        <v>943</v>
      </c>
      <c r="I439" s="44">
        <v>-11</v>
      </c>
      <c r="J439" s="44">
        <v>-1.1499999999999999</v>
      </c>
      <c r="K439" s="44">
        <v>51</v>
      </c>
      <c r="L439" s="44">
        <v>965</v>
      </c>
      <c r="M439" s="44">
        <v>337</v>
      </c>
    </row>
    <row r="440" spans="1:13" x14ac:dyDescent="0.25">
      <c r="A440" s="45" t="s">
        <v>1528</v>
      </c>
      <c r="B440" s="44" t="s">
        <v>3954</v>
      </c>
      <c r="C440" s="47">
        <v>44250</v>
      </c>
      <c r="D440" s="44">
        <v>202112</v>
      </c>
      <c r="E440" s="44">
        <v>950</v>
      </c>
      <c r="F440" s="44">
        <v>950</v>
      </c>
      <c r="G440" s="44">
        <v>950</v>
      </c>
      <c r="H440" s="44">
        <v>950</v>
      </c>
      <c r="I440" s="44">
        <v>11</v>
      </c>
      <c r="J440" s="44">
        <v>1.17</v>
      </c>
      <c r="K440" s="44">
        <v>0</v>
      </c>
      <c r="L440" s="44">
        <v>950</v>
      </c>
      <c r="M440" s="44">
        <v>3</v>
      </c>
    </row>
    <row r="441" spans="1:13" x14ac:dyDescent="0.25">
      <c r="A441" s="45" t="s">
        <v>998</v>
      </c>
      <c r="B441" s="44" t="s">
        <v>3955</v>
      </c>
      <c r="C441" s="47">
        <v>44250</v>
      </c>
      <c r="D441" s="44">
        <v>202103</v>
      </c>
      <c r="E441" s="44">
        <v>73.400000000000006</v>
      </c>
      <c r="F441" s="44">
        <v>74.8</v>
      </c>
      <c r="G441" s="44">
        <v>73</v>
      </c>
      <c r="H441" s="44">
        <v>74.5</v>
      </c>
      <c r="I441" s="44">
        <v>0.8</v>
      </c>
      <c r="J441" s="44">
        <v>1.0900000000000001</v>
      </c>
      <c r="K441" s="44">
        <v>146</v>
      </c>
      <c r="L441" s="44">
        <v>74.5</v>
      </c>
      <c r="M441" s="44">
        <v>898</v>
      </c>
    </row>
    <row r="442" spans="1:13" x14ac:dyDescent="0.25">
      <c r="A442" s="45" t="s">
        <v>1529</v>
      </c>
      <c r="B442" s="44" t="s">
        <v>3956</v>
      </c>
      <c r="C442" s="47">
        <v>44250</v>
      </c>
      <c r="D442" s="44">
        <v>202103</v>
      </c>
      <c r="E442" s="44">
        <v>73.400000000000006</v>
      </c>
      <c r="F442" s="44">
        <v>74.8</v>
      </c>
      <c r="G442" s="44">
        <v>73</v>
      </c>
      <c r="H442" s="44">
        <v>74.5</v>
      </c>
      <c r="I442" s="44">
        <v>0.8</v>
      </c>
      <c r="J442" s="44">
        <v>1.0900000000000001</v>
      </c>
      <c r="K442" s="44">
        <v>146</v>
      </c>
      <c r="L442" s="44">
        <v>74.5</v>
      </c>
      <c r="M442" s="44">
        <v>898</v>
      </c>
    </row>
    <row r="443" spans="1:13" x14ac:dyDescent="0.25">
      <c r="A443" s="45" t="s">
        <v>1530</v>
      </c>
      <c r="B443" s="44" t="s">
        <v>3957</v>
      </c>
      <c r="C443" s="47">
        <v>44250</v>
      </c>
      <c r="D443" s="44">
        <v>202104</v>
      </c>
      <c r="E443" s="44">
        <v>73.3</v>
      </c>
      <c r="F443" s="44">
        <v>74.099999999999994</v>
      </c>
      <c r="G443" s="44">
        <v>73.3</v>
      </c>
      <c r="H443" s="44">
        <v>74</v>
      </c>
      <c r="I443" s="44">
        <v>0.2</v>
      </c>
      <c r="J443" s="44">
        <v>0.27</v>
      </c>
      <c r="K443" s="44">
        <v>52</v>
      </c>
      <c r="L443" s="44">
        <v>74</v>
      </c>
      <c r="M443" s="44">
        <v>96</v>
      </c>
    </row>
    <row r="444" spans="1:13" x14ac:dyDescent="0.25">
      <c r="A444" s="45" t="s">
        <v>1531</v>
      </c>
      <c r="B444" s="44" t="s">
        <v>3958</v>
      </c>
      <c r="C444" s="47">
        <v>44250</v>
      </c>
      <c r="D444" s="44">
        <v>202104</v>
      </c>
      <c r="E444" s="44">
        <v>73.3</v>
      </c>
      <c r="F444" s="44">
        <v>74.099999999999994</v>
      </c>
      <c r="G444" s="44">
        <v>73.3</v>
      </c>
      <c r="H444" s="44">
        <v>74</v>
      </c>
      <c r="I444" s="44">
        <v>0.2</v>
      </c>
      <c r="J444" s="44">
        <v>0.27</v>
      </c>
      <c r="K444" s="44">
        <v>52</v>
      </c>
      <c r="L444" s="44">
        <v>74</v>
      </c>
      <c r="M444" s="44">
        <v>96</v>
      </c>
    </row>
    <row r="445" spans="1:13" x14ac:dyDescent="0.25">
      <c r="A445" s="45" t="s">
        <v>1532</v>
      </c>
      <c r="C445" s="47"/>
    </row>
    <row r="446" spans="1:13" x14ac:dyDescent="0.25">
      <c r="A446" s="45" t="s">
        <v>1533</v>
      </c>
      <c r="C446" s="47"/>
    </row>
    <row r="447" spans="1:13" x14ac:dyDescent="0.25">
      <c r="A447" s="45" t="s">
        <v>1534</v>
      </c>
      <c r="B447" s="44" t="s">
        <v>3959</v>
      </c>
      <c r="C447" s="47">
        <v>44250</v>
      </c>
      <c r="D447" s="44">
        <v>202103</v>
      </c>
      <c r="E447" s="44">
        <v>73.400000000000006</v>
      </c>
      <c r="F447" s="44">
        <v>74.8</v>
      </c>
      <c r="G447" s="44">
        <v>73</v>
      </c>
      <c r="H447" s="44">
        <v>74.5</v>
      </c>
      <c r="I447" s="44">
        <v>0.8</v>
      </c>
      <c r="J447" s="44">
        <v>1.0900000000000001</v>
      </c>
      <c r="K447" s="44">
        <v>146</v>
      </c>
      <c r="L447" s="44">
        <v>74.5</v>
      </c>
      <c r="M447" s="44">
        <v>898</v>
      </c>
    </row>
    <row r="448" spans="1:13" x14ac:dyDescent="0.25">
      <c r="A448" s="45" t="s">
        <v>1535</v>
      </c>
      <c r="B448" s="44" t="s">
        <v>3960</v>
      </c>
      <c r="C448" s="47">
        <v>44250</v>
      </c>
      <c r="D448" s="44">
        <v>202106</v>
      </c>
      <c r="E448" s="44">
        <v>74.099999999999994</v>
      </c>
      <c r="F448" s="44">
        <v>74.099999999999994</v>
      </c>
      <c r="G448" s="44">
        <v>74.099999999999994</v>
      </c>
      <c r="H448" s="44">
        <v>74.099999999999994</v>
      </c>
      <c r="I448" s="44">
        <v>0.1</v>
      </c>
      <c r="J448" s="44">
        <v>0.14000000000000001</v>
      </c>
      <c r="K448" s="44">
        <v>1</v>
      </c>
      <c r="L448" s="44">
        <v>74.099999999999994</v>
      </c>
      <c r="M448" s="44">
        <v>13</v>
      </c>
    </row>
    <row r="449" spans="1:13" x14ac:dyDescent="0.25">
      <c r="A449" s="45" t="s">
        <v>1536</v>
      </c>
      <c r="B449" s="44" t="s">
        <v>3961</v>
      </c>
      <c r="C449" s="47">
        <v>44250</v>
      </c>
      <c r="D449" s="44">
        <v>202109</v>
      </c>
      <c r="E449" s="44">
        <v>74.7</v>
      </c>
      <c r="F449" s="44">
        <v>74.7</v>
      </c>
      <c r="G449" s="44">
        <v>74.7</v>
      </c>
      <c r="H449" s="44">
        <v>74.7</v>
      </c>
      <c r="I449" s="44">
        <v>0.8</v>
      </c>
      <c r="J449" s="44">
        <v>1.08</v>
      </c>
      <c r="K449" s="44">
        <v>0</v>
      </c>
      <c r="L449" s="44">
        <v>74.7</v>
      </c>
      <c r="M449" s="44">
        <v>2</v>
      </c>
    </row>
    <row r="450" spans="1:13" x14ac:dyDescent="0.25">
      <c r="A450" s="45" t="s">
        <v>1537</v>
      </c>
      <c r="B450" s="44" t="s">
        <v>3962</v>
      </c>
      <c r="C450" s="47">
        <v>44250</v>
      </c>
      <c r="D450" s="44">
        <v>202112</v>
      </c>
      <c r="E450" s="44">
        <v>74.599999999999994</v>
      </c>
      <c r="F450" s="44">
        <v>74.599999999999994</v>
      </c>
      <c r="G450" s="44">
        <v>74.599999999999994</v>
      </c>
      <c r="H450" s="44">
        <v>74.599999999999994</v>
      </c>
      <c r="I450" s="44">
        <v>0.8</v>
      </c>
      <c r="J450" s="44">
        <v>1.08</v>
      </c>
      <c r="K450" s="44">
        <v>0</v>
      </c>
      <c r="L450" s="44">
        <v>74.599999999999994</v>
      </c>
      <c r="M450" s="44">
        <v>0</v>
      </c>
    </row>
    <row r="451" spans="1:13" x14ac:dyDescent="0.25">
      <c r="A451" s="45" t="s">
        <v>1018</v>
      </c>
      <c r="B451" s="44" t="s">
        <v>3963</v>
      </c>
      <c r="C451" s="47">
        <v>44250</v>
      </c>
      <c r="D451" s="44">
        <v>202103</v>
      </c>
      <c r="E451" s="44">
        <v>31.4</v>
      </c>
      <c r="F451" s="44">
        <v>32.049999999999997</v>
      </c>
      <c r="G451" s="44">
        <v>31.4</v>
      </c>
      <c r="H451" s="44">
        <v>32</v>
      </c>
      <c r="I451" s="44">
        <v>0.5</v>
      </c>
      <c r="J451" s="44">
        <v>1.59</v>
      </c>
      <c r="K451" s="44">
        <v>204</v>
      </c>
      <c r="L451" s="44">
        <v>32</v>
      </c>
      <c r="M451" s="44">
        <v>710</v>
      </c>
    </row>
    <row r="452" spans="1:13" x14ac:dyDescent="0.25">
      <c r="A452" s="45" t="s">
        <v>1538</v>
      </c>
      <c r="B452" s="44" t="s">
        <v>3964</v>
      </c>
      <c r="C452" s="47">
        <v>44250</v>
      </c>
      <c r="D452" s="44">
        <v>202103</v>
      </c>
      <c r="E452" s="44">
        <v>31.4</v>
      </c>
      <c r="F452" s="44">
        <v>32.049999999999997</v>
      </c>
      <c r="G452" s="44">
        <v>31.4</v>
      </c>
      <c r="H452" s="44">
        <v>32</v>
      </c>
      <c r="I452" s="44">
        <v>0.5</v>
      </c>
      <c r="J452" s="44">
        <v>1.59</v>
      </c>
      <c r="K452" s="44">
        <v>204</v>
      </c>
      <c r="L452" s="44">
        <v>32</v>
      </c>
      <c r="M452" s="44">
        <v>710</v>
      </c>
    </row>
    <row r="453" spans="1:13" x14ac:dyDescent="0.25">
      <c r="A453" s="45" t="s">
        <v>1539</v>
      </c>
      <c r="B453" s="44" t="s">
        <v>3965</v>
      </c>
      <c r="C453" s="47">
        <v>44250</v>
      </c>
      <c r="D453" s="44">
        <v>202104</v>
      </c>
      <c r="E453" s="44">
        <v>31.65</v>
      </c>
      <c r="F453" s="44">
        <v>31.9</v>
      </c>
      <c r="G453" s="44">
        <v>31.65</v>
      </c>
      <c r="H453" s="44">
        <v>31.9</v>
      </c>
      <c r="I453" s="44">
        <v>0.35</v>
      </c>
      <c r="J453" s="44">
        <v>1.1100000000000001</v>
      </c>
      <c r="K453" s="44">
        <v>32</v>
      </c>
      <c r="L453" s="44">
        <v>31.9</v>
      </c>
      <c r="M453" s="44">
        <v>56</v>
      </c>
    </row>
    <row r="454" spans="1:13" x14ac:dyDescent="0.25">
      <c r="A454" s="45" t="s">
        <v>1540</v>
      </c>
      <c r="B454" s="44" t="s">
        <v>3966</v>
      </c>
      <c r="C454" s="47">
        <v>44250</v>
      </c>
      <c r="D454" s="44">
        <v>202104</v>
      </c>
      <c r="E454" s="44">
        <v>31.65</v>
      </c>
      <c r="F454" s="44">
        <v>31.9</v>
      </c>
      <c r="G454" s="44">
        <v>31.65</v>
      </c>
      <c r="H454" s="44">
        <v>31.9</v>
      </c>
      <c r="I454" s="44">
        <v>0.35</v>
      </c>
      <c r="J454" s="44">
        <v>1.1100000000000001</v>
      </c>
      <c r="K454" s="44">
        <v>32</v>
      </c>
      <c r="L454" s="44">
        <v>31.9</v>
      </c>
      <c r="M454" s="44">
        <v>56</v>
      </c>
    </row>
    <row r="455" spans="1:13" x14ac:dyDescent="0.25">
      <c r="A455" s="45" t="s">
        <v>1541</v>
      </c>
      <c r="C455" s="47"/>
    </row>
    <row r="456" spans="1:13" x14ac:dyDescent="0.25">
      <c r="A456" s="45" t="s">
        <v>1542</v>
      </c>
      <c r="C456" s="47"/>
    </row>
    <row r="457" spans="1:13" x14ac:dyDescent="0.25">
      <c r="A457" s="45" t="s">
        <v>1543</v>
      </c>
      <c r="B457" s="44" t="s">
        <v>3967</v>
      </c>
      <c r="C457" s="47">
        <v>44250</v>
      </c>
      <c r="D457" s="44">
        <v>202103</v>
      </c>
      <c r="E457" s="44">
        <v>31.4</v>
      </c>
      <c r="F457" s="44">
        <v>32.049999999999997</v>
      </c>
      <c r="G457" s="44">
        <v>31.4</v>
      </c>
      <c r="H457" s="44">
        <v>32</v>
      </c>
      <c r="I457" s="44">
        <v>0.5</v>
      </c>
      <c r="J457" s="44">
        <v>1.59</v>
      </c>
      <c r="K457" s="44">
        <v>204</v>
      </c>
      <c r="L457" s="44">
        <v>32</v>
      </c>
      <c r="M457" s="44">
        <v>710</v>
      </c>
    </row>
    <row r="458" spans="1:13" x14ac:dyDescent="0.25">
      <c r="A458" s="45" t="s">
        <v>1544</v>
      </c>
      <c r="B458" s="44" t="s">
        <v>3968</v>
      </c>
      <c r="C458" s="47">
        <v>44250</v>
      </c>
      <c r="D458" s="44">
        <v>202106</v>
      </c>
      <c r="E458" s="44">
        <v>31.7</v>
      </c>
      <c r="F458" s="44">
        <v>31.7</v>
      </c>
      <c r="G458" s="44">
        <v>31.7</v>
      </c>
      <c r="H458" s="44">
        <v>31.7</v>
      </c>
      <c r="I458" s="44">
        <v>0.35</v>
      </c>
      <c r="J458" s="44">
        <v>1.1200000000000001</v>
      </c>
      <c r="K458" s="44">
        <v>1</v>
      </c>
      <c r="L458" s="44">
        <v>31.9</v>
      </c>
      <c r="M458" s="44">
        <v>13</v>
      </c>
    </row>
    <row r="459" spans="1:13" x14ac:dyDescent="0.25">
      <c r="A459" s="45" t="s">
        <v>1545</v>
      </c>
      <c r="B459" s="44" t="s">
        <v>3969</v>
      </c>
      <c r="C459" s="47">
        <v>44250</v>
      </c>
      <c r="D459" s="44">
        <v>202109</v>
      </c>
      <c r="E459" s="44">
        <v>31.9</v>
      </c>
      <c r="F459" s="44">
        <v>31.9</v>
      </c>
      <c r="G459" s="44">
        <v>31.9</v>
      </c>
      <c r="H459" s="44">
        <v>31.9</v>
      </c>
      <c r="I459" s="44">
        <v>0.5</v>
      </c>
      <c r="J459" s="44">
        <v>1.59</v>
      </c>
      <c r="K459" s="44">
        <v>0</v>
      </c>
      <c r="L459" s="44">
        <v>31.9</v>
      </c>
      <c r="M459" s="44">
        <v>3</v>
      </c>
    </row>
    <row r="460" spans="1:13" x14ac:dyDescent="0.25">
      <c r="A460" s="45" t="s">
        <v>1546</v>
      </c>
      <c r="B460" s="44" t="s">
        <v>3970</v>
      </c>
      <c r="C460" s="47">
        <v>44250</v>
      </c>
      <c r="D460" s="44">
        <v>202112</v>
      </c>
      <c r="E460" s="44">
        <v>31.9</v>
      </c>
      <c r="F460" s="44">
        <v>31.9</v>
      </c>
      <c r="G460" s="44">
        <v>31.9</v>
      </c>
      <c r="H460" s="44">
        <v>31.9</v>
      </c>
      <c r="I460" s="44">
        <v>0.5</v>
      </c>
      <c r="J460" s="44">
        <v>1.59</v>
      </c>
      <c r="K460" s="44">
        <v>0</v>
      </c>
      <c r="L460" s="44">
        <v>31.9</v>
      </c>
      <c r="M460" s="44">
        <v>0</v>
      </c>
    </row>
    <row r="461" spans="1:13" x14ac:dyDescent="0.25">
      <c r="A461" s="45" t="s">
        <v>890</v>
      </c>
      <c r="B461" s="44" t="s">
        <v>3971</v>
      </c>
      <c r="C461" s="47">
        <v>44250</v>
      </c>
      <c r="D461" s="44">
        <v>202103</v>
      </c>
      <c r="E461" s="44">
        <v>42.85</v>
      </c>
      <c r="F461" s="44">
        <v>43.1</v>
      </c>
      <c r="G461" s="44">
        <v>42.85</v>
      </c>
      <c r="H461" s="44">
        <v>42.95</v>
      </c>
      <c r="I461" s="44">
        <v>0.3</v>
      </c>
      <c r="J461" s="44">
        <v>0.7</v>
      </c>
      <c r="K461" s="44">
        <v>121</v>
      </c>
      <c r="L461" s="44">
        <v>42.95</v>
      </c>
      <c r="M461" s="44">
        <v>1089</v>
      </c>
    </row>
    <row r="462" spans="1:13" x14ac:dyDescent="0.25">
      <c r="A462" s="45" t="s">
        <v>1547</v>
      </c>
      <c r="B462" s="44" t="s">
        <v>3972</v>
      </c>
      <c r="C462" s="47">
        <v>44250</v>
      </c>
      <c r="D462" s="44">
        <v>202103</v>
      </c>
      <c r="E462" s="44">
        <v>42.85</v>
      </c>
      <c r="F462" s="44">
        <v>43.1</v>
      </c>
      <c r="G462" s="44">
        <v>42.85</v>
      </c>
      <c r="H462" s="44">
        <v>42.95</v>
      </c>
      <c r="I462" s="44">
        <v>0.3</v>
      </c>
      <c r="J462" s="44">
        <v>0.7</v>
      </c>
      <c r="K462" s="44">
        <v>121</v>
      </c>
      <c r="L462" s="44">
        <v>42.95</v>
      </c>
      <c r="M462" s="44">
        <v>1089</v>
      </c>
    </row>
    <row r="463" spans="1:13" x14ac:dyDescent="0.25">
      <c r="A463" s="45" t="s">
        <v>1548</v>
      </c>
      <c r="B463" s="44" t="s">
        <v>3973</v>
      </c>
      <c r="C463" s="47">
        <v>44250</v>
      </c>
      <c r="D463" s="44">
        <v>202104</v>
      </c>
      <c r="E463" s="44">
        <v>42.8</v>
      </c>
      <c r="F463" s="44">
        <v>42.85</v>
      </c>
      <c r="G463" s="44">
        <v>42.8</v>
      </c>
      <c r="H463" s="44">
        <v>42.85</v>
      </c>
      <c r="I463" s="44">
        <v>0.25</v>
      </c>
      <c r="J463" s="44">
        <v>0.59</v>
      </c>
      <c r="K463" s="44">
        <v>99</v>
      </c>
      <c r="L463" s="44">
        <v>42.85</v>
      </c>
      <c r="M463" s="44">
        <v>78</v>
      </c>
    </row>
    <row r="464" spans="1:13" x14ac:dyDescent="0.25">
      <c r="A464" s="45" t="s">
        <v>1549</v>
      </c>
      <c r="B464" s="44" t="s">
        <v>3974</v>
      </c>
      <c r="C464" s="47">
        <v>44250</v>
      </c>
      <c r="D464" s="44">
        <v>202104</v>
      </c>
      <c r="E464" s="44">
        <v>42.8</v>
      </c>
      <c r="F464" s="44">
        <v>42.85</v>
      </c>
      <c r="G464" s="44">
        <v>42.8</v>
      </c>
      <c r="H464" s="44">
        <v>42.85</v>
      </c>
      <c r="I464" s="44">
        <v>0.25</v>
      </c>
      <c r="J464" s="44">
        <v>0.59</v>
      </c>
      <c r="K464" s="44">
        <v>99</v>
      </c>
      <c r="L464" s="44">
        <v>42.85</v>
      </c>
      <c r="M464" s="44">
        <v>78</v>
      </c>
    </row>
    <row r="465" spans="1:13" x14ac:dyDescent="0.25">
      <c r="A465" s="45" t="s">
        <v>1550</v>
      </c>
      <c r="C465" s="47"/>
    </row>
    <row r="466" spans="1:13" x14ac:dyDescent="0.25">
      <c r="A466" s="45" t="s">
        <v>1551</v>
      </c>
      <c r="C466" s="47"/>
    </row>
    <row r="467" spans="1:13" x14ac:dyDescent="0.25">
      <c r="A467" s="45" t="s">
        <v>1552</v>
      </c>
      <c r="C467" s="47"/>
    </row>
    <row r="468" spans="1:13" x14ac:dyDescent="0.25">
      <c r="A468" s="45" t="s">
        <v>1553</v>
      </c>
      <c r="B468" s="44" t="s">
        <v>3975</v>
      </c>
      <c r="C468" s="47">
        <v>44250</v>
      </c>
      <c r="D468" s="44">
        <v>202103</v>
      </c>
      <c r="E468" s="44">
        <v>42.85</v>
      </c>
      <c r="F468" s="44">
        <v>43.1</v>
      </c>
      <c r="G468" s="44">
        <v>42.85</v>
      </c>
      <c r="H468" s="44">
        <v>42.95</v>
      </c>
      <c r="I468" s="44">
        <v>0.3</v>
      </c>
      <c r="J468" s="44">
        <v>0.7</v>
      </c>
      <c r="K468" s="44">
        <v>121</v>
      </c>
      <c r="L468" s="44">
        <v>42.95</v>
      </c>
      <c r="M468" s="44">
        <v>1089</v>
      </c>
    </row>
    <row r="469" spans="1:13" x14ac:dyDescent="0.25">
      <c r="A469" s="45" t="s">
        <v>1554</v>
      </c>
      <c r="C469" s="47"/>
    </row>
    <row r="470" spans="1:13" x14ac:dyDescent="0.25">
      <c r="A470" s="45" t="s">
        <v>1555</v>
      </c>
      <c r="B470" s="44" t="s">
        <v>3976</v>
      </c>
      <c r="C470" s="47">
        <v>44250</v>
      </c>
      <c r="D470" s="44">
        <v>202106</v>
      </c>
      <c r="E470" s="44">
        <v>42.9</v>
      </c>
      <c r="F470" s="44">
        <v>42.9</v>
      </c>
      <c r="G470" s="44">
        <v>42.9</v>
      </c>
      <c r="H470" s="44">
        <v>42.9</v>
      </c>
      <c r="I470" s="44">
        <v>0.3</v>
      </c>
      <c r="J470" s="44">
        <v>0.7</v>
      </c>
      <c r="K470" s="44">
        <v>0</v>
      </c>
      <c r="L470" s="44">
        <v>42.9</v>
      </c>
      <c r="M470" s="44">
        <v>327</v>
      </c>
    </row>
    <row r="471" spans="1:13" x14ac:dyDescent="0.25">
      <c r="A471" s="45" t="s">
        <v>1556</v>
      </c>
      <c r="B471" s="44" t="s">
        <v>3977</v>
      </c>
      <c r="C471" s="47">
        <v>44250</v>
      </c>
      <c r="D471" s="44">
        <v>202109</v>
      </c>
      <c r="E471" s="44">
        <v>42.75</v>
      </c>
      <c r="F471" s="44">
        <v>42.75</v>
      </c>
      <c r="G471" s="44">
        <v>42.75</v>
      </c>
      <c r="H471" s="44">
        <v>42.75</v>
      </c>
      <c r="I471" s="44">
        <v>0.3</v>
      </c>
      <c r="J471" s="44">
        <v>0.71</v>
      </c>
      <c r="K471" s="44">
        <v>0</v>
      </c>
      <c r="L471" s="44">
        <v>42.75</v>
      </c>
      <c r="M471" s="44">
        <v>175</v>
      </c>
    </row>
    <row r="472" spans="1:13" x14ac:dyDescent="0.25">
      <c r="A472" s="45" t="s">
        <v>1557</v>
      </c>
      <c r="B472" s="44" t="s">
        <v>3978</v>
      </c>
      <c r="C472" s="47">
        <v>44250</v>
      </c>
      <c r="D472" s="44">
        <v>202112</v>
      </c>
      <c r="E472" s="44">
        <v>42.9</v>
      </c>
      <c r="F472" s="44">
        <v>42.9</v>
      </c>
      <c r="G472" s="44">
        <v>42.9</v>
      </c>
      <c r="H472" s="44">
        <v>42.9</v>
      </c>
      <c r="I472" s="44">
        <v>0.25</v>
      </c>
      <c r="J472" s="44">
        <v>0.59</v>
      </c>
      <c r="K472" s="44">
        <v>2</v>
      </c>
      <c r="L472" s="44">
        <v>42.9</v>
      </c>
      <c r="M472" s="44">
        <v>18</v>
      </c>
    </row>
    <row r="473" spans="1:13" x14ac:dyDescent="0.25">
      <c r="A473" s="45" t="s">
        <v>891</v>
      </c>
      <c r="B473" s="44" t="s">
        <v>3979</v>
      </c>
      <c r="C473" s="47">
        <v>44250</v>
      </c>
      <c r="D473" s="44">
        <v>202103</v>
      </c>
      <c r="E473" s="44">
        <v>49.9</v>
      </c>
      <c r="F473" s="44">
        <v>50.4</v>
      </c>
      <c r="G473" s="44">
        <v>49.9</v>
      </c>
      <c r="H473" s="44">
        <v>50.1</v>
      </c>
      <c r="I473" s="44">
        <v>0.1</v>
      </c>
      <c r="J473" s="44">
        <v>0.2</v>
      </c>
      <c r="K473" s="44">
        <v>10</v>
      </c>
      <c r="L473" s="44">
        <v>50.1</v>
      </c>
      <c r="M473" s="44">
        <v>153</v>
      </c>
    </row>
    <row r="474" spans="1:13" x14ac:dyDescent="0.25">
      <c r="A474" s="45" t="s">
        <v>1558</v>
      </c>
      <c r="B474" s="44" t="s">
        <v>3980</v>
      </c>
      <c r="C474" s="47">
        <v>44250</v>
      </c>
      <c r="D474" s="44">
        <v>202103</v>
      </c>
      <c r="E474" s="44">
        <v>49.9</v>
      </c>
      <c r="F474" s="44">
        <v>50.4</v>
      </c>
      <c r="G474" s="44">
        <v>49.9</v>
      </c>
      <c r="H474" s="44">
        <v>50.1</v>
      </c>
      <c r="I474" s="44">
        <v>0.1</v>
      </c>
      <c r="J474" s="44">
        <v>0.2</v>
      </c>
      <c r="K474" s="44">
        <v>10</v>
      </c>
      <c r="L474" s="44">
        <v>50.1</v>
      </c>
      <c r="M474" s="44">
        <v>153</v>
      </c>
    </row>
    <row r="475" spans="1:13" x14ac:dyDescent="0.25">
      <c r="A475" s="45" t="s">
        <v>1559</v>
      </c>
      <c r="B475" s="44" t="s">
        <v>3981</v>
      </c>
      <c r="C475" s="47">
        <v>44250</v>
      </c>
      <c r="D475" s="44">
        <v>202104</v>
      </c>
      <c r="E475" s="44">
        <v>50.3</v>
      </c>
      <c r="F475" s="44">
        <v>50.3</v>
      </c>
      <c r="G475" s="44">
        <v>50.3</v>
      </c>
      <c r="H475" s="44">
        <v>50.3</v>
      </c>
      <c r="I475" s="44">
        <v>0.35</v>
      </c>
      <c r="J475" s="44">
        <v>0.7</v>
      </c>
      <c r="K475" s="44">
        <v>1</v>
      </c>
      <c r="L475" s="44">
        <v>50.3</v>
      </c>
      <c r="M475" s="44">
        <v>1</v>
      </c>
    </row>
    <row r="476" spans="1:13" x14ac:dyDescent="0.25">
      <c r="A476" s="45" t="s">
        <v>1560</v>
      </c>
      <c r="B476" s="44" t="s">
        <v>3982</v>
      </c>
      <c r="C476" s="47">
        <v>44250</v>
      </c>
      <c r="D476" s="44">
        <v>202104</v>
      </c>
      <c r="E476" s="44">
        <v>50.3</v>
      </c>
      <c r="F476" s="44">
        <v>50.3</v>
      </c>
      <c r="G476" s="44">
        <v>50.3</v>
      </c>
      <c r="H476" s="44">
        <v>50.3</v>
      </c>
      <c r="I476" s="44">
        <v>0.35</v>
      </c>
      <c r="J476" s="44">
        <v>0.7</v>
      </c>
      <c r="K476" s="44">
        <v>1</v>
      </c>
      <c r="L476" s="44">
        <v>50.3</v>
      </c>
      <c r="M476" s="44">
        <v>1</v>
      </c>
    </row>
    <row r="477" spans="1:13" x14ac:dyDescent="0.25">
      <c r="A477" s="45" t="s">
        <v>1561</v>
      </c>
      <c r="C477" s="47"/>
    </row>
    <row r="478" spans="1:13" x14ac:dyDescent="0.25">
      <c r="A478" s="45" t="s">
        <v>1562</v>
      </c>
      <c r="B478" s="44" t="s">
        <v>3983</v>
      </c>
      <c r="C478" s="47">
        <v>44250</v>
      </c>
      <c r="D478" s="44">
        <v>202103</v>
      </c>
      <c r="E478" s="44">
        <v>49.9</v>
      </c>
      <c r="F478" s="44">
        <v>50.4</v>
      </c>
      <c r="G478" s="44">
        <v>49.9</v>
      </c>
      <c r="H478" s="44">
        <v>50.1</v>
      </c>
      <c r="I478" s="44">
        <v>0.1</v>
      </c>
      <c r="J478" s="44">
        <v>0.2</v>
      </c>
      <c r="K478" s="44">
        <v>10</v>
      </c>
      <c r="L478" s="44">
        <v>50.1</v>
      </c>
      <c r="M478" s="44">
        <v>153</v>
      </c>
    </row>
    <row r="479" spans="1:13" x14ac:dyDescent="0.25">
      <c r="A479" s="45" t="s">
        <v>1563</v>
      </c>
      <c r="B479" s="44" t="s">
        <v>3984</v>
      </c>
      <c r="C479" s="47">
        <v>44250</v>
      </c>
      <c r="D479" s="44">
        <v>202106</v>
      </c>
      <c r="E479" s="44">
        <v>50.3</v>
      </c>
      <c r="F479" s="44">
        <v>50.3</v>
      </c>
      <c r="G479" s="44">
        <v>50.3</v>
      </c>
      <c r="H479" s="44">
        <v>50.3</v>
      </c>
      <c r="I479" s="44">
        <v>0.7</v>
      </c>
      <c r="J479" s="44">
        <v>1.41</v>
      </c>
      <c r="K479" s="44">
        <v>0</v>
      </c>
      <c r="L479" s="44">
        <v>50.3</v>
      </c>
      <c r="M479" s="44">
        <v>0</v>
      </c>
    </row>
    <row r="480" spans="1:13" x14ac:dyDescent="0.25">
      <c r="A480" s="45" t="s">
        <v>1564</v>
      </c>
      <c r="B480" s="44" t="s">
        <v>3985</v>
      </c>
      <c r="C480" s="47">
        <v>44250</v>
      </c>
      <c r="D480" s="44">
        <v>202109</v>
      </c>
      <c r="E480" s="44">
        <v>49.55</v>
      </c>
      <c r="F480" s="44">
        <v>49.55</v>
      </c>
      <c r="G480" s="44">
        <v>49.55</v>
      </c>
      <c r="H480" s="44">
        <v>49.55</v>
      </c>
      <c r="I480" s="44">
        <v>0.1</v>
      </c>
      <c r="J480" s="44">
        <v>0.2</v>
      </c>
      <c r="K480" s="44">
        <v>0</v>
      </c>
      <c r="L480" s="44">
        <v>49.55</v>
      </c>
      <c r="M480" s="44">
        <v>0</v>
      </c>
    </row>
    <row r="481" spans="1:13" x14ac:dyDescent="0.25">
      <c r="A481" s="45" t="s">
        <v>1565</v>
      </c>
      <c r="B481" s="44" t="s">
        <v>3986</v>
      </c>
      <c r="C481" s="47">
        <v>44250</v>
      </c>
      <c r="D481" s="44">
        <v>202112</v>
      </c>
      <c r="E481" s="44">
        <v>49.55</v>
      </c>
      <c r="F481" s="44">
        <v>49.55</v>
      </c>
      <c r="G481" s="44">
        <v>49.55</v>
      </c>
      <c r="H481" s="44">
        <v>49.55</v>
      </c>
      <c r="I481" s="44">
        <v>0.1</v>
      </c>
      <c r="J481" s="44">
        <v>0.2</v>
      </c>
      <c r="K481" s="44">
        <v>0</v>
      </c>
      <c r="L481" s="44">
        <v>49.55</v>
      </c>
      <c r="M481" s="44">
        <v>0</v>
      </c>
    </row>
    <row r="482" spans="1:13" x14ac:dyDescent="0.25">
      <c r="A482" s="45" t="s">
        <v>1566</v>
      </c>
      <c r="B482" s="44" t="s">
        <v>3987</v>
      </c>
      <c r="C482" s="47">
        <v>44250</v>
      </c>
      <c r="D482" s="44">
        <v>202103</v>
      </c>
      <c r="E482" s="44">
        <v>8369</v>
      </c>
      <c r="F482" s="44">
        <v>8411</v>
      </c>
      <c r="G482" s="44">
        <v>8338</v>
      </c>
      <c r="H482" s="44">
        <v>8411</v>
      </c>
      <c r="I482" s="44">
        <v>22</v>
      </c>
      <c r="J482" s="44">
        <v>0.26</v>
      </c>
      <c r="K482" s="44">
        <v>20</v>
      </c>
      <c r="L482" s="44">
        <v>8411</v>
      </c>
      <c r="M482" s="44">
        <v>60</v>
      </c>
    </row>
    <row r="483" spans="1:13" x14ac:dyDescent="0.25">
      <c r="A483" s="45" t="s">
        <v>1567</v>
      </c>
      <c r="B483" s="44" t="s">
        <v>3988</v>
      </c>
      <c r="C483" s="47">
        <v>44250</v>
      </c>
      <c r="D483" s="44">
        <v>202103</v>
      </c>
      <c r="E483" s="44">
        <v>8369</v>
      </c>
      <c r="F483" s="44">
        <v>8411</v>
      </c>
      <c r="G483" s="44">
        <v>8338</v>
      </c>
      <c r="H483" s="44">
        <v>8411</v>
      </c>
      <c r="I483" s="44">
        <v>22</v>
      </c>
      <c r="J483" s="44">
        <v>0.26</v>
      </c>
      <c r="K483" s="44">
        <v>20</v>
      </c>
      <c r="L483" s="44">
        <v>8411</v>
      </c>
      <c r="M483" s="44">
        <v>60</v>
      </c>
    </row>
    <row r="484" spans="1:13" x14ac:dyDescent="0.25">
      <c r="A484" s="45" t="s">
        <v>1568</v>
      </c>
      <c r="B484" s="44" t="s">
        <v>3989</v>
      </c>
      <c r="C484" s="47">
        <v>44250</v>
      </c>
      <c r="D484" s="44">
        <v>202104</v>
      </c>
      <c r="E484" s="44">
        <v>8381</v>
      </c>
      <c r="F484" s="44">
        <v>8381</v>
      </c>
      <c r="G484" s="44">
        <v>8381</v>
      </c>
      <c r="H484" s="44">
        <v>8381</v>
      </c>
      <c r="I484" s="44">
        <v>22</v>
      </c>
      <c r="J484" s="44">
        <v>0.26</v>
      </c>
      <c r="K484" s="44">
        <v>0</v>
      </c>
      <c r="L484" s="44">
        <v>8381</v>
      </c>
      <c r="M484" s="44">
        <v>0</v>
      </c>
    </row>
    <row r="485" spans="1:13" x14ac:dyDescent="0.25">
      <c r="A485" s="45" t="s">
        <v>1569</v>
      </c>
      <c r="B485" s="44" t="s">
        <v>3990</v>
      </c>
      <c r="C485" s="47">
        <v>44250</v>
      </c>
      <c r="D485" s="44">
        <v>202104</v>
      </c>
      <c r="E485" s="44">
        <v>8381</v>
      </c>
      <c r="F485" s="44">
        <v>8381</v>
      </c>
      <c r="G485" s="44">
        <v>8381</v>
      </c>
      <c r="H485" s="44">
        <v>8381</v>
      </c>
      <c r="I485" s="44">
        <v>22</v>
      </c>
      <c r="J485" s="44">
        <v>0.26</v>
      </c>
      <c r="K485" s="44">
        <v>0</v>
      </c>
      <c r="L485" s="44">
        <v>8381</v>
      </c>
      <c r="M485" s="44">
        <v>0</v>
      </c>
    </row>
    <row r="486" spans="1:13" x14ac:dyDescent="0.25">
      <c r="A486" s="45" t="s">
        <v>1570</v>
      </c>
      <c r="C486" s="47"/>
    </row>
    <row r="487" spans="1:13" x14ac:dyDescent="0.25">
      <c r="A487" s="45" t="s">
        <v>1571</v>
      </c>
      <c r="C487" s="47"/>
    </row>
    <row r="488" spans="1:13" x14ac:dyDescent="0.25">
      <c r="A488" s="45" t="s">
        <v>1572</v>
      </c>
      <c r="B488" s="44" t="s">
        <v>3991</v>
      </c>
      <c r="C488" s="47">
        <v>44250</v>
      </c>
      <c r="D488" s="44">
        <v>202103</v>
      </c>
      <c r="E488" s="44">
        <v>8369</v>
      </c>
      <c r="F488" s="44">
        <v>8411</v>
      </c>
      <c r="G488" s="44">
        <v>8338</v>
      </c>
      <c r="H488" s="44">
        <v>8411</v>
      </c>
      <c r="I488" s="44">
        <v>22</v>
      </c>
      <c r="J488" s="44">
        <v>0.26</v>
      </c>
      <c r="K488" s="44">
        <v>20</v>
      </c>
      <c r="L488" s="44">
        <v>8411</v>
      </c>
      <c r="M488" s="44">
        <v>60</v>
      </c>
    </row>
    <row r="489" spans="1:13" x14ac:dyDescent="0.25">
      <c r="A489" s="45" t="s">
        <v>1573</v>
      </c>
      <c r="B489" s="44" t="s">
        <v>3992</v>
      </c>
      <c r="C489" s="47">
        <v>44250</v>
      </c>
      <c r="D489" s="44">
        <v>202104</v>
      </c>
      <c r="E489" s="44">
        <v>8381</v>
      </c>
      <c r="F489" s="44">
        <v>8381</v>
      </c>
      <c r="G489" s="44">
        <v>8381</v>
      </c>
      <c r="H489" s="44">
        <v>8381</v>
      </c>
      <c r="I489" s="44">
        <v>22</v>
      </c>
      <c r="J489" s="44">
        <v>0.26</v>
      </c>
      <c r="K489" s="44">
        <v>0</v>
      </c>
      <c r="L489" s="44">
        <v>8381</v>
      </c>
      <c r="M489" s="44">
        <v>0</v>
      </c>
    </row>
    <row r="490" spans="1:13" x14ac:dyDescent="0.25">
      <c r="A490" s="45" t="s">
        <v>1574</v>
      </c>
      <c r="B490" s="44" t="s">
        <v>3993</v>
      </c>
      <c r="C490" s="47">
        <v>44250</v>
      </c>
      <c r="D490" s="44">
        <v>202106</v>
      </c>
      <c r="E490" s="44">
        <v>8293</v>
      </c>
      <c r="F490" s="44">
        <v>8293</v>
      </c>
      <c r="G490" s="44">
        <v>8293</v>
      </c>
      <c r="H490" s="44">
        <v>8293</v>
      </c>
      <c r="I490" s="44">
        <v>22</v>
      </c>
      <c r="J490" s="44">
        <v>0.27</v>
      </c>
      <c r="K490" s="44">
        <v>0</v>
      </c>
      <c r="L490" s="44">
        <v>8293</v>
      </c>
      <c r="M490" s="44">
        <v>0</v>
      </c>
    </row>
    <row r="491" spans="1:13" x14ac:dyDescent="0.25">
      <c r="A491" s="45" t="s">
        <v>1575</v>
      </c>
      <c r="B491" s="44" t="s">
        <v>3994</v>
      </c>
      <c r="C491" s="47">
        <v>44250</v>
      </c>
      <c r="D491" s="44">
        <v>202109</v>
      </c>
      <c r="E491" s="44">
        <v>8092</v>
      </c>
      <c r="F491" s="44">
        <v>8092</v>
      </c>
      <c r="G491" s="44">
        <v>8092</v>
      </c>
      <c r="H491" s="44">
        <v>8092</v>
      </c>
      <c r="I491" s="44">
        <v>22</v>
      </c>
      <c r="J491" s="44">
        <v>0.27</v>
      </c>
      <c r="K491" s="44">
        <v>0</v>
      </c>
      <c r="L491" s="44">
        <v>8092</v>
      </c>
      <c r="M491" s="44">
        <v>0</v>
      </c>
    </row>
    <row r="492" spans="1:13" x14ac:dyDescent="0.25">
      <c r="A492" s="45" t="s">
        <v>1576</v>
      </c>
      <c r="B492" s="44" t="s">
        <v>3995</v>
      </c>
      <c r="C492" s="47">
        <v>44250</v>
      </c>
      <c r="D492" s="44">
        <v>202112</v>
      </c>
      <c r="E492" s="44">
        <v>7933</v>
      </c>
      <c r="F492" s="44">
        <v>7933</v>
      </c>
      <c r="G492" s="44">
        <v>7933</v>
      </c>
      <c r="H492" s="44">
        <v>7933</v>
      </c>
      <c r="I492" s="44">
        <v>22</v>
      </c>
      <c r="J492" s="44">
        <v>0.28000000000000003</v>
      </c>
      <c r="K492" s="44">
        <v>0</v>
      </c>
      <c r="L492" s="44">
        <v>7933</v>
      </c>
      <c r="M492" s="44">
        <v>0</v>
      </c>
    </row>
    <row r="493" spans="1:13" x14ac:dyDescent="0.25">
      <c r="A493" s="45" t="s">
        <v>1577</v>
      </c>
      <c r="B493" s="44" t="s">
        <v>3996</v>
      </c>
      <c r="C493" s="47">
        <v>44250</v>
      </c>
      <c r="D493" s="44">
        <v>202105</v>
      </c>
      <c r="E493" s="44">
        <v>8291</v>
      </c>
      <c r="F493" s="44">
        <v>8291</v>
      </c>
      <c r="G493" s="44">
        <v>8291</v>
      </c>
      <c r="H493" s="44">
        <v>8291</v>
      </c>
      <c r="I493" s="44">
        <v>22</v>
      </c>
      <c r="J493" s="44">
        <v>0.27</v>
      </c>
      <c r="K493" s="44">
        <v>0</v>
      </c>
      <c r="L493" s="44">
        <v>8291</v>
      </c>
      <c r="M493" s="44">
        <v>0</v>
      </c>
    </row>
    <row r="494" spans="1:13" x14ac:dyDescent="0.25">
      <c r="A494" s="45" t="s">
        <v>1578</v>
      </c>
      <c r="B494" s="44" t="s">
        <v>3997</v>
      </c>
      <c r="C494" s="47">
        <v>44250</v>
      </c>
      <c r="D494" s="44">
        <v>202105</v>
      </c>
      <c r="E494" s="44">
        <v>8291</v>
      </c>
      <c r="F494" s="44">
        <v>8291</v>
      </c>
      <c r="G494" s="44">
        <v>8291</v>
      </c>
      <c r="H494" s="44">
        <v>8291</v>
      </c>
      <c r="I494" s="44">
        <v>22</v>
      </c>
      <c r="J494" s="44">
        <v>0.27</v>
      </c>
      <c r="K494" s="44">
        <v>0</v>
      </c>
      <c r="L494" s="44">
        <v>8291</v>
      </c>
      <c r="M494" s="44">
        <v>0</v>
      </c>
    </row>
    <row r="495" spans="1:13" x14ac:dyDescent="0.25">
      <c r="A495" s="45" t="s">
        <v>895</v>
      </c>
      <c r="B495" s="44" t="s">
        <v>3998</v>
      </c>
      <c r="C495" s="47">
        <v>44250</v>
      </c>
      <c r="D495" s="44">
        <v>202103</v>
      </c>
      <c r="E495" s="44">
        <v>24</v>
      </c>
      <c r="F495" s="44">
        <v>24.75</v>
      </c>
      <c r="G495" s="44">
        <v>23.8</v>
      </c>
      <c r="H495" s="44">
        <v>24.45</v>
      </c>
      <c r="I495" s="44">
        <v>0.8</v>
      </c>
      <c r="J495" s="44">
        <v>3.38</v>
      </c>
      <c r="K495" s="44">
        <v>547</v>
      </c>
      <c r="L495" s="44">
        <v>24.45</v>
      </c>
      <c r="M495" s="44">
        <v>1657</v>
      </c>
    </row>
    <row r="496" spans="1:13" x14ac:dyDescent="0.25">
      <c r="A496" s="45" t="s">
        <v>1579</v>
      </c>
      <c r="B496" s="44" t="s">
        <v>3999</v>
      </c>
      <c r="C496" s="47">
        <v>44250</v>
      </c>
      <c r="D496" s="44">
        <v>202103</v>
      </c>
      <c r="E496" s="44">
        <v>24</v>
      </c>
      <c r="F496" s="44">
        <v>24.75</v>
      </c>
      <c r="G496" s="44">
        <v>23.8</v>
      </c>
      <c r="H496" s="44">
        <v>24.45</v>
      </c>
      <c r="I496" s="44">
        <v>0.8</v>
      </c>
      <c r="J496" s="44">
        <v>3.38</v>
      </c>
      <c r="K496" s="44">
        <v>547</v>
      </c>
      <c r="L496" s="44">
        <v>24.45</v>
      </c>
      <c r="M496" s="44">
        <v>1657</v>
      </c>
    </row>
    <row r="497" spans="1:13" x14ac:dyDescent="0.25">
      <c r="A497" s="45" t="s">
        <v>1580</v>
      </c>
      <c r="B497" s="44" t="s">
        <v>4000</v>
      </c>
      <c r="C497" s="47">
        <v>44250</v>
      </c>
      <c r="D497" s="44">
        <v>202104</v>
      </c>
      <c r="E497" s="44">
        <v>23.9</v>
      </c>
      <c r="F497" s="44">
        <v>24.6</v>
      </c>
      <c r="G497" s="44">
        <v>23.9</v>
      </c>
      <c r="H497" s="44">
        <v>24.6</v>
      </c>
      <c r="I497" s="44">
        <v>0.9</v>
      </c>
      <c r="J497" s="44">
        <v>3.8</v>
      </c>
      <c r="K497" s="44">
        <v>132</v>
      </c>
      <c r="L497" s="44">
        <v>24.45</v>
      </c>
      <c r="M497" s="44">
        <v>781</v>
      </c>
    </row>
    <row r="498" spans="1:13" x14ac:dyDescent="0.25">
      <c r="A498" s="45" t="s">
        <v>1581</v>
      </c>
      <c r="B498" s="44" t="s">
        <v>4001</v>
      </c>
      <c r="C498" s="47">
        <v>44250</v>
      </c>
      <c r="D498" s="44">
        <v>202104</v>
      </c>
      <c r="E498" s="44">
        <v>23.9</v>
      </c>
      <c r="F498" s="44">
        <v>24.6</v>
      </c>
      <c r="G498" s="44">
        <v>23.9</v>
      </c>
      <c r="H498" s="44">
        <v>24.6</v>
      </c>
      <c r="I498" s="44">
        <v>0.9</v>
      </c>
      <c r="J498" s="44">
        <v>3.8</v>
      </c>
      <c r="K498" s="44">
        <v>132</v>
      </c>
      <c r="L498" s="44">
        <v>24.45</v>
      </c>
      <c r="M498" s="44">
        <v>781</v>
      </c>
    </row>
    <row r="499" spans="1:13" x14ac:dyDescent="0.25">
      <c r="A499" s="45" t="s">
        <v>1582</v>
      </c>
      <c r="C499" s="47"/>
    </row>
    <row r="500" spans="1:13" x14ac:dyDescent="0.25">
      <c r="A500" s="45" t="s">
        <v>1583</v>
      </c>
      <c r="C500" s="47"/>
    </row>
    <row r="501" spans="1:13" x14ac:dyDescent="0.25">
      <c r="A501" s="45" t="s">
        <v>1584</v>
      </c>
      <c r="B501" s="44" t="s">
        <v>4002</v>
      </c>
      <c r="C501" s="47">
        <v>44250</v>
      </c>
      <c r="D501" s="44">
        <v>202103</v>
      </c>
      <c r="E501" s="44">
        <v>24</v>
      </c>
      <c r="F501" s="44">
        <v>24.75</v>
      </c>
      <c r="G501" s="44">
        <v>23.8</v>
      </c>
      <c r="H501" s="44">
        <v>24.45</v>
      </c>
      <c r="I501" s="44">
        <v>0.8</v>
      </c>
      <c r="J501" s="44">
        <v>3.38</v>
      </c>
      <c r="K501" s="44">
        <v>547</v>
      </c>
      <c r="L501" s="44">
        <v>24.45</v>
      </c>
      <c r="M501" s="44">
        <v>1657</v>
      </c>
    </row>
    <row r="502" spans="1:13" x14ac:dyDescent="0.25">
      <c r="A502" s="45" t="s">
        <v>1585</v>
      </c>
      <c r="B502" s="44" t="s">
        <v>4003</v>
      </c>
      <c r="C502" s="47">
        <v>44250</v>
      </c>
      <c r="D502" s="44">
        <v>202106</v>
      </c>
      <c r="E502" s="44">
        <v>24.45</v>
      </c>
      <c r="F502" s="44">
        <v>24.45</v>
      </c>
      <c r="G502" s="44">
        <v>24.45</v>
      </c>
      <c r="H502" s="44">
        <v>24.45</v>
      </c>
      <c r="I502" s="44">
        <v>0.8</v>
      </c>
      <c r="J502" s="44">
        <v>3.38</v>
      </c>
      <c r="K502" s="44">
        <v>0</v>
      </c>
      <c r="L502" s="44">
        <v>24.45</v>
      </c>
      <c r="M502" s="44">
        <v>49</v>
      </c>
    </row>
    <row r="503" spans="1:13" x14ac:dyDescent="0.25">
      <c r="A503" s="45" t="s">
        <v>1586</v>
      </c>
      <c r="B503" s="44" t="s">
        <v>4004</v>
      </c>
      <c r="C503" s="47">
        <v>44250</v>
      </c>
      <c r="D503" s="44">
        <v>202109</v>
      </c>
      <c r="E503" s="44">
        <v>24.45</v>
      </c>
      <c r="F503" s="44">
        <v>24.45</v>
      </c>
      <c r="G503" s="44">
        <v>24.45</v>
      </c>
      <c r="H503" s="44">
        <v>24.45</v>
      </c>
      <c r="I503" s="44">
        <v>0.8</v>
      </c>
      <c r="J503" s="44">
        <v>3.38</v>
      </c>
      <c r="K503" s="44">
        <v>0</v>
      </c>
      <c r="L503" s="44">
        <v>24.45</v>
      </c>
      <c r="M503" s="44">
        <v>0</v>
      </c>
    </row>
    <row r="504" spans="1:13" x14ac:dyDescent="0.25">
      <c r="A504" s="45" t="s">
        <v>1587</v>
      </c>
      <c r="B504" s="44" t="s">
        <v>4005</v>
      </c>
      <c r="C504" s="47">
        <v>44250</v>
      </c>
      <c r="D504" s="44">
        <v>202112</v>
      </c>
      <c r="E504" s="44">
        <v>24.45</v>
      </c>
      <c r="F504" s="44">
        <v>24.45</v>
      </c>
      <c r="G504" s="44">
        <v>24.45</v>
      </c>
      <c r="H504" s="44">
        <v>24.45</v>
      </c>
      <c r="I504" s="44">
        <v>0.8</v>
      </c>
      <c r="J504" s="44">
        <v>3.38</v>
      </c>
      <c r="K504" s="44">
        <v>0</v>
      </c>
      <c r="L504" s="44">
        <v>24.45</v>
      </c>
      <c r="M504" s="44">
        <v>0</v>
      </c>
    </row>
    <row r="505" spans="1:13" x14ac:dyDescent="0.25">
      <c r="A505" s="45" t="s">
        <v>896</v>
      </c>
      <c r="B505" s="44" t="s">
        <v>4006</v>
      </c>
      <c r="C505" s="47">
        <v>44250</v>
      </c>
      <c r="D505" s="44">
        <v>202103</v>
      </c>
      <c r="E505" s="44">
        <v>10.7</v>
      </c>
      <c r="F505" s="44">
        <v>11.15</v>
      </c>
      <c r="G505" s="44">
        <v>10.65</v>
      </c>
      <c r="H505" s="44">
        <v>11.05</v>
      </c>
      <c r="I505" s="44">
        <v>0.3</v>
      </c>
      <c r="J505" s="44">
        <v>2.79</v>
      </c>
      <c r="K505" s="44">
        <v>1167</v>
      </c>
      <c r="L505" s="44">
        <v>11.05</v>
      </c>
      <c r="M505" s="44">
        <v>2571</v>
      </c>
    </row>
    <row r="506" spans="1:13" x14ac:dyDescent="0.25">
      <c r="A506" s="45" t="s">
        <v>1588</v>
      </c>
      <c r="B506" s="44" t="s">
        <v>4007</v>
      </c>
      <c r="C506" s="47">
        <v>44250</v>
      </c>
      <c r="D506" s="44">
        <v>202103</v>
      </c>
      <c r="E506" s="44">
        <v>10.7</v>
      </c>
      <c r="F506" s="44">
        <v>11.15</v>
      </c>
      <c r="G506" s="44">
        <v>10.65</v>
      </c>
      <c r="H506" s="44">
        <v>11.05</v>
      </c>
      <c r="I506" s="44">
        <v>0.3</v>
      </c>
      <c r="J506" s="44">
        <v>2.79</v>
      </c>
      <c r="K506" s="44">
        <v>1167</v>
      </c>
      <c r="L506" s="44">
        <v>11.05</v>
      </c>
      <c r="M506" s="44">
        <v>2571</v>
      </c>
    </row>
    <row r="507" spans="1:13" x14ac:dyDescent="0.25">
      <c r="A507" s="45" t="s">
        <v>1589</v>
      </c>
      <c r="B507" s="44" t="s">
        <v>4008</v>
      </c>
      <c r="C507" s="47">
        <v>44250</v>
      </c>
      <c r="D507" s="44">
        <v>202104</v>
      </c>
      <c r="E507" s="44">
        <v>10.7</v>
      </c>
      <c r="F507" s="44">
        <v>11.1</v>
      </c>
      <c r="G507" s="44">
        <v>10.7</v>
      </c>
      <c r="H507" s="44">
        <v>11</v>
      </c>
      <c r="I507" s="44">
        <v>0.4</v>
      </c>
      <c r="J507" s="44">
        <v>3.77</v>
      </c>
      <c r="K507" s="44">
        <v>27</v>
      </c>
      <c r="L507" s="44">
        <v>11</v>
      </c>
      <c r="M507" s="44">
        <v>338</v>
      </c>
    </row>
    <row r="508" spans="1:13" x14ac:dyDescent="0.25">
      <c r="A508" s="45" t="s">
        <v>1590</v>
      </c>
      <c r="B508" s="44" t="s">
        <v>4009</v>
      </c>
      <c r="C508" s="47">
        <v>44250</v>
      </c>
      <c r="D508" s="44">
        <v>202104</v>
      </c>
      <c r="E508" s="44">
        <v>10.7</v>
      </c>
      <c r="F508" s="44">
        <v>11.1</v>
      </c>
      <c r="G508" s="44">
        <v>10.7</v>
      </c>
      <c r="H508" s="44">
        <v>11</v>
      </c>
      <c r="I508" s="44">
        <v>0.4</v>
      </c>
      <c r="J508" s="44">
        <v>3.77</v>
      </c>
      <c r="K508" s="44">
        <v>27</v>
      </c>
      <c r="L508" s="44">
        <v>11</v>
      </c>
      <c r="M508" s="44">
        <v>338</v>
      </c>
    </row>
    <row r="509" spans="1:13" x14ac:dyDescent="0.25">
      <c r="A509" s="45" t="s">
        <v>1591</v>
      </c>
      <c r="C509" s="47"/>
    </row>
    <row r="510" spans="1:13" x14ac:dyDescent="0.25">
      <c r="A510" s="45" t="s">
        <v>1592</v>
      </c>
      <c r="C510" s="47"/>
    </row>
    <row r="511" spans="1:13" x14ac:dyDescent="0.25">
      <c r="A511" s="45" t="s">
        <v>1593</v>
      </c>
      <c r="C511" s="47"/>
    </row>
    <row r="512" spans="1:13" x14ac:dyDescent="0.25">
      <c r="A512" s="45" t="s">
        <v>1594</v>
      </c>
      <c r="B512" s="44" t="s">
        <v>4010</v>
      </c>
      <c r="C512" s="47">
        <v>44250</v>
      </c>
      <c r="D512" s="44">
        <v>202103</v>
      </c>
      <c r="E512" s="44">
        <v>10.7</v>
      </c>
      <c r="F512" s="44">
        <v>11.15</v>
      </c>
      <c r="G512" s="44">
        <v>10.65</v>
      </c>
      <c r="H512" s="44">
        <v>11.05</v>
      </c>
      <c r="I512" s="44">
        <v>0.3</v>
      </c>
      <c r="J512" s="44">
        <v>2.79</v>
      </c>
      <c r="K512" s="44">
        <v>1167</v>
      </c>
      <c r="L512" s="44">
        <v>11.05</v>
      </c>
      <c r="M512" s="44">
        <v>2571</v>
      </c>
    </row>
    <row r="513" spans="1:13" x14ac:dyDescent="0.25">
      <c r="A513" s="45" t="s">
        <v>1595</v>
      </c>
      <c r="B513" s="44" t="s">
        <v>4011</v>
      </c>
      <c r="C513" s="47">
        <v>44250</v>
      </c>
      <c r="D513" s="44">
        <v>202106</v>
      </c>
      <c r="E513" s="44">
        <v>10.85</v>
      </c>
      <c r="F513" s="44">
        <v>10.85</v>
      </c>
      <c r="G513" s="44">
        <v>10.85</v>
      </c>
      <c r="H513" s="44">
        <v>10.85</v>
      </c>
      <c r="I513" s="44">
        <v>0.3</v>
      </c>
      <c r="J513" s="44">
        <v>2.84</v>
      </c>
      <c r="K513" s="44">
        <v>0</v>
      </c>
      <c r="L513" s="44">
        <v>10.85</v>
      </c>
      <c r="M513" s="44">
        <v>132</v>
      </c>
    </row>
    <row r="514" spans="1:13" x14ac:dyDescent="0.25">
      <c r="A514" s="45" t="s">
        <v>1596</v>
      </c>
      <c r="C514" s="47"/>
    </row>
    <row r="515" spans="1:13" x14ac:dyDescent="0.25">
      <c r="A515" s="45" t="s">
        <v>1597</v>
      </c>
      <c r="B515" s="44" t="s">
        <v>4012</v>
      </c>
      <c r="C515" s="47">
        <v>44250</v>
      </c>
      <c r="D515" s="44">
        <v>202109</v>
      </c>
      <c r="E515" s="44">
        <v>10.85</v>
      </c>
      <c r="F515" s="44">
        <v>10.85</v>
      </c>
      <c r="G515" s="44">
        <v>10.85</v>
      </c>
      <c r="H515" s="44">
        <v>10.85</v>
      </c>
      <c r="I515" s="44">
        <v>0.3</v>
      </c>
      <c r="J515" s="44">
        <v>2.84</v>
      </c>
      <c r="K515" s="44">
        <v>0</v>
      </c>
      <c r="L515" s="44">
        <v>10.85</v>
      </c>
      <c r="M515" s="44">
        <v>225</v>
      </c>
    </row>
    <row r="516" spans="1:13" x14ac:dyDescent="0.25">
      <c r="A516" s="45" t="s">
        <v>1598</v>
      </c>
      <c r="B516" s="44" t="s">
        <v>4013</v>
      </c>
      <c r="C516" s="47">
        <v>44250</v>
      </c>
      <c r="D516" s="44">
        <v>202112</v>
      </c>
      <c r="E516" s="44">
        <v>11</v>
      </c>
      <c r="F516" s="44">
        <v>11</v>
      </c>
      <c r="G516" s="44">
        <v>11</v>
      </c>
      <c r="H516" s="44">
        <v>11</v>
      </c>
      <c r="I516" s="44">
        <v>0.3</v>
      </c>
      <c r="J516" s="44">
        <v>2.8</v>
      </c>
      <c r="K516" s="44">
        <v>0</v>
      </c>
      <c r="L516" s="44">
        <v>11</v>
      </c>
      <c r="M516" s="44">
        <v>0</v>
      </c>
    </row>
    <row r="517" spans="1:13" x14ac:dyDescent="0.25">
      <c r="A517" s="45" t="s">
        <v>897</v>
      </c>
      <c r="B517" s="44" t="s">
        <v>4014</v>
      </c>
      <c r="C517" s="47">
        <v>44250</v>
      </c>
      <c r="D517" s="44">
        <v>202103</v>
      </c>
      <c r="E517" s="44">
        <v>36.450000000000003</v>
      </c>
      <c r="F517" s="44">
        <v>37.25</v>
      </c>
      <c r="G517" s="44">
        <v>36.450000000000003</v>
      </c>
      <c r="H517" s="44">
        <v>36.799999999999997</v>
      </c>
      <c r="I517" s="44">
        <v>0.45</v>
      </c>
      <c r="J517" s="44">
        <v>1.24</v>
      </c>
      <c r="K517" s="44">
        <v>25</v>
      </c>
      <c r="L517" s="44">
        <v>36.799999999999997</v>
      </c>
      <c r="M517" s="44">
        <v>36</v>
      </c>
    </row>
    <row r="518" spans="1:13" x14ac:dyDescent="0.25">
      <c r="A518" s="45" t="s">
        <v>1599</v>
      </c>
      <c r="B518" s="44" t="s">
        <v>4015</v>
      </c>
      <c r="C518" s="47">
        <v>44250</v>
      </c>
      <c r="D518" s="44">
        <v>202103</v>
      </c>
      <c r="E518" s="44">
        <v>36.450000000000003</v>
      </c>
      <c r="F518" s="44">
        <v>37.25</v>
      </c>
      <c r="G518" s="44">
        <v>36.450000000000003</v>
      </c>
      <c r="H518" s="44">
        <v>36.799999999999997</v>
      </c>
      <c r="I518" s="44">
        <v>0.45</v>
      </c>
      <c r="J518" s="44">
        <v>1.24</v>
      </c>
      <c r="K518" s="44">
        <v>25</v>
      </c>
      <c r="L518" s="44">
        <v>36.799999999999997</v>
      </c>
      <c r="M518" s="44">
        <v>36</v>
      </c>
    </row>
    <row r="519" spans="1:13" x14ac:dyDescent="0.25">
      <c r="A519" s="45" t="s">
        <v>1600</v>
      </c>
      <c r="B519" s="44" t="s">
        <v>4016</v>
      </c>
      <c r="C519" s="47">
        <v>44250</v>
      </c>
      <c r="D519" s="44">
        <v>202104</v>
      </c>
      <c r="E519" s="44">
        <v>36.4</v>
      </c>
      <c r="F519" s="44">
        <v>36.4</v>
      </c>
      <c r="G519" s="44">
        <v>36.4</v>
      </c>
      <c r="H519" s="44">
        <v>36.4</v>
      </c>
      <c r="I519" s="44">
        <v>0</v>
      </c>
      <c r="J519" s="44">
        <v>0</v>
      </c>
      <c r="K519" s="44">
        <v>10</v>
      </c>
      <c r="L519" s="44">
        <v>36.85</v>
      </c>
      <c r="M519" s="44">
        <v>0</v>
      </c>
    </row>
    <row r="520" spans="1:13" x14ac:dyDescent="0.25">
      <c r="A520" s="45" t="s">
        <v>1601</v>
      </c>
      <c r="B520" s="44" t="s">
        <v>4017</v>
      </c>
      <c r="C520" s="47">
        <v>44250</v>
      </c>
      <c r="D520" s="44">
        <v>202104</v>
      </c>
      <c r="E520" s="44">
        <v>36.4</v>
      </c>
      <c r="F520" s="44">
        <v>36.4</v>
      </c>
      <c r="G520" s="44">
        <v>36.4</v>
      </c>
      <c r="H520" s="44">
        <v>36.4</v>
      </c>
      <c r="I520" s="44">
        <v>0</v>
      </c>
      <c r="J520" s="44">
        <v>0</v>
      </c>
      <c r="K520" s="44">
        <v>10</v>
      </c>
      <c r="L520" s="44">
        <v>36.85</v>
      </c>
      <c r="M520" s="44">
        <v>0</v>
      </c>
    </row>
    <row r="521" spans="1:13" x14ac:dyDescent="0.25">
      <c r="A521" s="45" t="s">
        <v>1602</v>
      </c>
      <c r="C521" s="47"/>
    </row>
    <row r="522" spans="1:13" x14ac:dyDescent="0.25">
      <c r="A522" s="45" t="s">
        <v>1603</v>
      </c>
      <c r="B522" s="44" t="s">
        <v>4018</v>
      </c>
      <c r="C522" s="47">
        <v>44250</v>
      </c>
      <c r="D522" s="44">
        <v>202103</v>
      </c>
      <c r="E522" s="44">
        <v>36.450000000000003</v>
      </c>
      <c r="F522" s="44">
        <v>37.25</v>
      </c>
      <c r="G522" s="44">
        <v>36.450000000000003</v>
      </c>
      <c r="H522" s="44">
        <v>36.799999999999997</v>
      </c>
      <c r="I522" s="44">
        <v>0.45</v>
      </c>
      <c r="J522" s="44">
        <v>1.24</v>
      </c>
      <c r="K522" s="44">
        <v>25</v>
      </c>
      <c r="L522" s="44">
        <v>36.799999999999997</v>
      </c>
      <c r="M522" s="44">
        <v>36</v>
      </c>
    </row>
    <row r="523" spans="1:13" x14ac:dyDescent="0.25">
      <c r="A523" s="45" t="s">
        <v>1604</v>
      </c>
      <c r="B523" s="44" t="s">
        <v>4019</v>
      </c>
      <c r="C523" s="47">
        <v>44250</v>
      </c>
      <c r="D523" s="44">
        <v>202106</v>
      </c>
      <c r="E523" s="44">
        <v>37.049999999999997</v>
      </c>
      <c r="F523" s="44">
        <v>37.049999999999997</v>
      </c>
      <c r="G523" s="44">
        <v>37.049999999999997</v>
      </c>
      <c r="H523" s="44">
        <v>37.049999999999997</v>
      </c>
      <c r="I523" s="44">
        <v>0.45</v>
      </c>
      <c r="J523" s="44">
        <v>1.23</v>
      </c>
      <c r="K523" s="44">
        <v>0</v>
      </c>
      <c r="L523" s="44">
        <v>37.049999999999997</v>
      </c>
      <c r="M523" s="44">
        <v>0</v>
      </c>
    </row>
    <row r="524" spans="1:13" x14ac:dyDescent="0.25">
      <c r="A524" s="45" t="s">
        <v>1605</v>
      </c>
      <c r="B524" s="44" t="s">
        <v>4020</v>
      </c>
      <c r="C524" s="47">
        <v>44250</v>
      </c>
      <c r="D524" s="44">
        <v>202109</v>
      </c>
      <c r="E524" s="44">
        <v>37.049999999999997</v>
      </c>
      <c r="F524" s="44">
        <v>37.049999999999997</v>
      </c>
      <c r="G524" s="44">
        <v>37.049999999999997</v>
      </c>
      <c r="H524" s="44">
        <v>37.049999999999997</v>
      </c>
      <c r="I524" s="44">
        <v>0.45</v>
      </c>
      <c r="J524" s="44">
        <v>1.23</v>
      </c>
      <c r="K524" s="44">
        <v>0</v>
      </c>
      <c r="L524" s="44">
        <v>37.049999999999997</v>
      </c>
      <c r="M524" s="44">
        <v>0</v>
      </c>
    </row>
    <row r="525" spans="1:13" x14ac:dyDescent="0.25">
      <c r="A525" s="45" t="s">
        <v>1606</v>
      </c>
      <c r="B525" s="44" t="s">
        <v>4021</v>
      </c>
      <c r="C525" s="47">
        <v>44250</v>
      </c>
      <c r="D525" s="44">
        <v>202112</v>
      </c>
      <c r="E525" s="44">
        <v>37.049999999999997</v>
      </c>
      <c r="F525" s="44">
        <v>37.049999999999997</v>
      </c>
      <c r="G525" s="44">
        <v>37.049999999999997</v>
      </c>
      <c r="H525" s="44">
        <v>37.049999999999997</v>
      </c>
      <c r="I525" s="44">
        <v>0.45</v>
      </c>
      <c r="J525" s="44">
        <v>1.23</v>
      </c>
      <c r="K525" s="44">
        <v>0</v>
      </c>
      <c r="L525" s="44">
        <v>37.049999999999997</v>
      </c>
      <c r="M525" s="44">
        <v>0</v>
      </c>
    </row>
    <row r="526" spans="1:13" x14ac:dyDescent="0.25">
      <c r="A526" s="45" t="s">
        <v>902</v>
      </c>
      <c r="B526" s="44" t="s">
        <v>4022</v>
      </c>
      <c r="C526" s="47">
        <v>44250</v>
      </c>
      <c r="D526" s="44">
        <v>202103</v>
      </c>
      <c r="E526" s="44">
        <v>29.6</v>
      </c>
      <c r="F526" s="44">
        <v>29.9</v>
      </c>
      <c r="G526" s="44">
        <v>29.6</v>
      </c>
      <c r="H526" s="44">
        <v>29.85</v>
      </c>
      <c r="I526" s="44">
        <v>0.4</v>
      </c>
      <c r="J526" s="44">
        <v>1.36</v>
      </c>
      <c r="K526" s="44">
        <v>23</v>
      </c>
      <c r="L526" s="44">
        <v>29.85</v>
      </c>
      <c r="M526" s="44">
        <v>122</v>
      </c>
    </row>
    <row r="527" spans="1:13" x14ac:dyDescent="0.25">
      <c r="A527" s="45" t="s">
        <v>1607</v>
      </c>
      <c r="B527" s="44" t="s">
        <v>4023</v>
      </c>
      <c r="C527" s="47">
        <v>44250</v>
      </c>
      <c r="D527" s="44">
        <v>202103</v>
      </c>
      <c r="E527" s="44">
        <v>29.6</v>
      </c>
      <c r="F527" s="44">
        <v>29.9</v>
      </c>
      <c r="G527" s="44">
        <v>29.6</v>
      </c>
      <c r="H527" s="44">
        <v>29.85</v>
      </c>
      <c r="I527" s="44">
        <v>0.4</v>
      </c>
      <c r="J527" s="44">
        <v>1.36</v>
      </c>
      <c r="K527" s="44">
        <v>23</v>
      </c>
      <c r="L527" s="44">
        <v>29.85</v>
      </c>
      <c r="M527" s="44">
        <v>122</v>
      </c>
    </row>
    <row r="528" spans="1:13" x14ac:dyDescent="0.25">
      <c r="A528" s="45" t="s">
        <v>1608</v>
      </c>
      <c r="B528" s="44" t="s">
        <v>4024</v>
      </c>
      <c r="C528" s="47">
        <v>44250</v>
      </c>
      <c r="D528" s="44">
        <v>202104</v>
      </c>
      <c r="E528" s="44">
        <v>29.9</v>
      </c>
      <c r="F528" s="44">
        <v>29.9</v>
      </c>
      <c r="G528" s="44">
        <v>29.9</v>
      </c>
      <c r="H528" s="44">
        <v>29.9</v>
      </c>
      <c r="I528" s="44">
        <v>0.4</v>
      </c>
      <c r="J528" s="44">
        <v>1.36</v>
      </c>
      <c r="K528" s="44">
        <v>0</v>
      </c>
      <c r="L528" s="44">
        <v>29.9</v>
      </c>
      <c r="M528" s="44">
        <v>12</v>
      </c>
    </row>
    <row r="529" spans="1:13" x14ac:dyDescent="0.25">
      <c r="A529" s="45" t="s">
        <v>1609</v>
      </c>
      <c r="B529" s="44" t="s">
        <v>4025</v>
      </c>
      <c r="C529" s="47">
        <v>44250</v>
      </c>
      <c r="D529" s="44">
        <v>202104</v>
      </c>
      <c r="E529" s="44">
        <v>29.9</v>
      </c>
      <c r="F529" s="44">
        <v>29.9</v>
      </c>
      <c r="G529" s="44">
        <v>29.9</v>
      </c>
      <c r="H529" s="44">
        <v>29.9</v>
      </c>
      <c r="I529" s="44">
        <v>0.4</v>
      </c>
      <c r="J529" s="44">
        <v>1.36</v>
      </c>
      <c r="K529" s="44">
        <v>0</v>
      </c>
      <c r="L529" s="44">
        <v>29.9</v>
      </c>
      <c r="M529" s="44">
        <v>12</v>
      </c>
    </row>
    <row r="530" spans="1:13" x14ac:dyDescent="0.25">
      <c r="A530" s="45" t="s">
        <v>1610</v>
      </c>
      <c r="C530" s="47"/>
    </row>
    <row r="531" spans="1:13" x14ac:dyDescent="0.25">
      <c r="A531" s="45" t="s">
        <v>1611</v>
      </c>
      <c r="C531" s="47"/>
    </row>
    <row r="532" spans="1:13" x14ac:dyDescent="0.25">
      <c r="A532" s="45" t="s">
        <v>1612</v>
      </c>
      <c r="B532" s="44" t="s">
        <v>4026</v>
      </c>
      <c r="C532" s="47">
        <v>44250</v>
      </c>
      <c r="D532" s="44">
        <v>202103</v>
      </c>
      <c r="E532" s="44">
        <v>29.6</v>
      </c>
      <c r="F532" s="44">
        <v>29.9</v>
      </c>
      <c r="G532" s="44">
        <v>29.6</v>
      </c>
      <c r="H532" s="44">
        <v>29.85</v>
      </c>
      <c r="I532" s="44">
        <v>0.4</v>
      </c>
      <c r="J532" s="44">
        <v>1.36</v>
      </c>
      <c r="K532" s="44">
        <v>23</v>
      </c>
      <c r="L532" s="44">
        <v>29.85</v>
      </c>
      <c r="M532" s="44">
        <v>122</v>
      </c>
    </row>
    <row r="533" spans="1:13" x14ac:dyDescent="0.25">
      <c r="A533" s="45" t="s">
        <v>1613</v>
      </c>
      <c r="B533" s="44" t="s">
        <v>4027</v>
      </c>
      <c r="C533" s="47">
        <v>44250</v>
      </c>
      <c r="D533" s="44">
        <v>202106</v>
      </c>
      <c r="E533" s="44">
        <v>29.4</v>
      </c>
      <c r="F533" s="44">
        <v>29.4</v>
      </c>
      <c r="G533" s="44">
        <v>29.4</v>
      </c>
      <c r="H533" s="44">
        <v>29.4</v>
      </c>
      <c r="I533" s="44">
        <v>0</v>
      </c>
      <c r="J533" s="44">
        <v>0</v>
      </c>
      <c r="K533" s="44">
        <v>3</v>
      </c>
      <c r="L533" s="44">
        <v>29.8</v>
      </c>
      <c r="M533" s="44">
        <v>11</v>
      </c>
    </row>
    <row r="534" spans="1:13" x14ac:dyDescent="0.25">
      <c r="A534" s="45" t="s">
        <v>1614</v>
      </c>
      <c r="B534" s="44" t="s">
        <v>4028</v>
      </c>
      <c r="C534" s="47">
        <v>44250</v>
      </c>
      <c r="D534" s="44">
        <v>202109</v>
      </c>
      <c r="E534" s="44">
        <v>30</v>
      </c>
      <c r="F534" s="44">
        <v>30</v>
      </c>
      <c r="G534" s="44">
        <v>30</v>
      </c>
      <c r="H534" s="44">
        <v>30</v>
      </c>
      <c r="I534" s="44">
        <v>0.4</v>
      </c>
      <c r="J534" s="44">
        <v>1.35</v>
      </c>
      <c r="K534" s="44">
        <v>0</v>
      </c>
      <c r="L534" s="44">
        <v>30</v>
      </c>
      <c r="M534" s="44">
        <v>0</v>
      </c>
    </row>
    <row r="535" spans="1:13" x14ac:dyDescent="0.25">
      <c r="A535" s="45" t="s">
        <v>1615</v>
      </c>
      <c r="B535" s="44" t="s">
        <v>4029</v>
      </c>
      <c r="C535" s="47">
        <v>44250</v>
      </c>
      <c r="D535" s="44">
        <v>202112</v>
      </c>
      <c r="E535" s="44">
        <v>29.8</v>
      </c>
      <c r="F535" s="44">
        <v>29.8</v>
      </c>
      <c r="G535" s="44">
        <v>29.8</v>
      </c>
      <c r="H535" s="44">
        <v>29.8</v>
      </c>
      <c r="I535" s="44">
        <v>0.4</v>
      </c>
      <c r="J535" s="44">
        <v>1.36</v>
      </c>
      <c r="K535" s="44">
        <v>0</v>
      </c>
      <c r="L535" s="44">
        <v>29.8</v>
      </c>
      <c r="M535" s="44">
        <v>0</v>
      </c>
    </row>
    <row r="536" spans="1:13" x14ac:dyDescent="0.25">
      <c r="A536" s="45" t="s">
        <v>906</v>
      </c>
      <c r="B536" s="44" t="s">
        <v>4030</v>
      </c>
      <c r="C536" s="47">
        <v>44250</v>
      </c>
      <c r="D536" s="44">
        <v>202103</v>
      </c>
      <c r="E536" s="44">
        <v>1035</v>
      </c>
      <c r="F536" s="44">
        <v>1040</v>
      </c>
      <c r="G536" s="44">
        <v>1035</v>
      </c>
      <c r="H536" s="44">
        <v>1040</v>
      </c>
      <c r="I536" s="44">
        <v>-20</v>
      </c>
      <c r="J536" s="44">
        <v>-1.89</v>
      </c>
      <c r="K536" s="44">
        <v>2</v>
      </c>
      <c r="L536" s="44">
        <v>1040</v>
      </c>
      <c r="M536" s="44">
        <v>13</v>
      </c>
    </row>
    <row r="537" spans="1:13" x14ac:dyDescent="0.25">
      <c r="A537" s="45" t="s">
        <v>1616</v>
      </c>
      <c r="B537" s="44" t="s">
        <v>4031</v>
      </c>
      <c r="C537" s="47">
        <v>44250</v>
      </c>
      <c r="D537" s="44">
        <v>202103</v>
      </c>
      <c r="E537" s="44">
        <v>1035</v>
      </c>
      <c r="F537" s="44">
        <v>1040</v>
      </c>
      <c r="G537" s="44">
        <v>1035</v>
      </c>
      <c r="H537" s="44">
        <v>1040</v>
      </c>
      <c r="I537" s="44">
        <v>-20</v>
      </c>
      <c r="J537" s="44">
        <v>-1.89</v>
      </c>
      <c r="K537" s="44">
        <v>2</v>
      </c>
      <c r="L537" s="44">
        <v>1040</v>
      </c>
      <c r="M537" s="44">
        <v>13</v>
      </c>
    </row>
    <row r="538" spans="1:13" x14ac:dyDescent="0.25">
      <c r="A538" s="45" t="s">
        <v>1617</v>
      </c>
      <c r="B538" s="44" t="s">
        <v>4032</v>
      </c>
      <c r="C538" s="47">
        <v>44250</v>
      </c>
      <c r="D538" s="44">
        <v>202104</v>
      </c>
      <c r="E538" s="44">
        <v>1040</v>
      </c>
      <c r="F538" s="44">
        <v>1040</v>
      </c>
      <c r="G538" s="44">
        <v>1040</v>
      </c>
      <c r="H538" s="44">
        <v>1040</v>
      </c>
      <c r="I538" s="44">
        <v>-20</v>
      </c>
      <c r="J538" s="44">
        <v>-1.89</v>
      </c>
      <c r="K538" s="44">
        <v>0</v>
      </c>
      <c r="L538" s="44">
        <v>1040</v>
      </c>
      <c r="M538" s="44">
        <v>0</v>
      </c>
    </row>
    <row r="539" spans="1:13" x14ac:dyDescent="0.25">
      <c r="A539" s="45" t="s">
        <v>1618</v>
      </c>
      <c r="B539" s="44" t="s">
        <v>4033</v>
      </c>
      <c r="C539" s="47">
        <v>44250</v>
      </c>
      <c r="D539" s="44">
        <v>202104</v>
      </c>
      <c r="E539" s="44">
        <v>1040</v>
      </c>
      <c r="F539" s="44">
        <v>1040</v>
      </c>
      <c r="G539" s="44">
        <v>1040</v>
      </c>
      <c r="H539" s="44">
        <v>1040</v>
      </c>
      <c r="I539" s="44">
        <v>-20</v>
      </c>
      <c r="J539" s="44">
        <v>-1.89</v>
      </c>
      <c r="K539" s="44">
        <v>0</v>
      </c>
      <c r="L539" s="44">
        <v>1040</v>
      </c>
      <c r="M539" s="44">
        <v>0</v>
      </c>
    </row>
    <row r="540" spans="1:13" x14ac:dyDescent="0.25">
      <c r="A540" s="45" t="s">
        <v>1619</v>
      </c>
      <c r="C540" s="47"/>
    </row>
    <row r="541" spans="1:13" x14ac:dyDescent="0.25">
      <c r="A541" s="45" t="s">
        <v>1620</v>
      </c>
      <c r="C541" s="47"/>
    </row>
    <row r="542" spans="1:13" x14ac:dyDescent="0.25">
      <c r="A542" s="45" t="s">
        <v>1621</v>
      </c>
      <c r="B542" s="44" t="s">
        <v>4034</v>
      </c>
      <c r="C542" s="47">
        <v>44250</v>
      </c>
      <c r="D542" s="44">
        <v>202103</v>
      </c>
      <c r="E542" s="44">
        <v>1035</v>
      </c>
      <c r="F542" s="44">
        <v>1040</v>
      </c>
      <c r="G542" s="44">
        <v>1035</v>
      </c>
      <c r="H542" s="44">
        <v>1040</v>
      </c>
      <c r="I542" s="44">
        <v>-20</v>
      </c>
      <c r="J542" s="44">
        <v>-1.89</v>
      </c>
      <c r="K542" s="44">
        <v>2</v>
      </c>
      <c r="L542" s="44">
        <v>1040</v>
      </c>
      <c r="M542" s="44">
        <v>13</v>
      </c>
    </row>
    <row r="543" spans="1:13" x14ac:dyDescent="0.25">
      <c r="A543" s="45" t="s">
        <v>1622</v>
      </c>
      <c r="B543" s="44" t="s">
        <v>4035</v>
      </c>
      <c r="C543" s="47">
        <v>44250</v>
      </c>
      <c r="D543" s="44">
        <v>202106</v>
      </c>
      <c r="E543" s="44">
        <v>1035</v>
      </c>
      <c r="F543" s="44">
        <v>1035</v>
      </c>
      <c r="G543" s="44">
        <v>1035</v>
      </c>
      <c r="H543" s="44">
        <v>1035</v>
      </c>
      <c r="I543" s="44">
        <v>-20</v>
      </c>
      <c r="J543" s="44">
        <v>-1.9</v>
      </c>
      <c r="K543" s="44">
        <v>0</v>
      </c>
      <c r="L543" s="44">
        <v>1035</v>
      </c>
      <c r="M543" s="44">
        <v>0</v>
      </c>
    </row>
    <row r="544" spans="1:13" x14ac:dyDescent="0.25">
      <c r="A544" s="45" t="s">
        <v>1623</v>
      </c>
      <c r="B544" s="44" t="s">
        <v>4036</v>
      </c>
      <c r="C544" s="47">
        <v>44250</v>
      </c>
      <c r="D544" s="44">
        <v>202109</v>
      </c>
      <c r="E544" s="44">
        <v>1035</v>
      </c>
      <c r="F544" s="44">
        <v>1035</v>
      </c>
      <c r="G544" s="44">
        <v>1035</v>
      </c>
      <c r="H544" s="44">
        <v>1035</v>
      </c>
      <c r="I544" s="44">
        <v>-20</v>
      </c>
      <c r="J544" s="44">
        <v>-1.9</v>
      </c>
      <c r="K544" s="44">
        <v>0</v>
      </c>
      <c r="L544" s="44">
        <v>1035</v>
      </c>
      <c r="M544" s="44">
        <v>0</v>
      </c>
    </row>
    <row r="545" spans="1:13" x14ac:dyDescent="0.25">
      <c r="A545" s="45" t="s">
        <v>1624</v>
      </c>
      <c r="B545" s="44" t="s">
        <v>4037</v>
      </c>
      <c r="C545" s="47">
        <v>44250</v>
      </c>
      <c r="D545" s="44">
        <v>202112</v>
      </c>
      <c r="E545" s="44">
        <v>1040</v>
      </c>
      <c r="F545" s="44">
        <v>1040</v>
      </c>
      <c r="G545" s="44">
        <v>1040</v>
      </c>
      <c r="H545" s="44">
        <v>1040</v>
      </c>
      <c r="I545" s="44">
        <v>-20</v>
      </c>
      <c r="J545" s="44">
        <v>-1.89</v>
      </c>
      <c r="K545" s="44">
        <v>0</v>
      </c>
      <c r="L545" s="44">
        <v>1040</v>
      </c>
      <c r="M545" s="44">
        <v>0</v>
      </c>
    </row>
    <row r="546" spans="1:13" x14ac:dyDescent="0.25">
      <c r="A546" s="45" t="s">
        <v>908</v>
      </c>
      <c r="B546" s="44" t="s">
        <v>4038</v>
      </c>
      <c r="C546" s="47">
        <v>44250</v>
      </c>
      <c r="D546" s="44">
        <v>202103</v>
      </c>
      <c r="E546" s="44">
        <v>46.35</v>
      </c>
      <c r="F546" s="44">
        <v>47.1</v>
      </c>
      <c r="G546" s="44">
        <v>46.35</v>
      </c>
      <c r="H546" s="44">
        <v>47.1</v>
      </c>
      <c r="I546" s="44">
        <v>0.85</v>
      </c>
      <c r="J546" s="44">
        <v>1.84</v>
      </c>
      <c r="K546" s="44">
        <v>4</v>
      </c>
      <c r="L546" s="44">
        <v>47.1</v>
      </c>
      <c r="M546" s="44">
        <v>216</v>
      </c>
    </row>
    <row r="547" spans="1:13" x14ac:dyDescent="0.25">
      <c r="A547" s="45" t="s">
        <v>1625</v>
      </c>
      <c r="B547" s="44" t="s">
        <v>4039</v>
      </c>
      <c r="C547" s="47">
        <v>44250</v>
      </c>
      <c r="D547" s="44">
        <v>202103</v>
      </c>
      <c r="E547" s="44">
        <v>46.35</v>
      </c>
      <c r="F547" s="44">
        <v>47.1</v>
      </c>
      <c r="G547" s="44">
        <v>46.35</v>
      </c>
      <c r="H547" s="44">
        <v>47.1</v>
      </c>
      <c r="I547" s="44">
        <v>0.85</v>
      </c>
      <c r="J547" s="44">
        <v>1.84</v>
      </c>
      <c r="K547" s="44">
        <v>4</v>
      </c>
      <c r="L547" s="44">
        <v>47.1</v>
      </c>
      <c r="M547" s="44">
        <v>216</v>
      </c>
    </row>
    <row r="548" spans="1:13" x14ac:dyDescent="0.25">
      <c r="A548" s="45" t="s">
        <v>1626</v>
      </c>
      <c r="B548" s="44" t="s">
        <v>4040</v>
      </c>
      <c r="C548" s="47">
        <v>44250</v>
      </c>
      <c r="D548" s="44">
        <v>202104</v>
      </c>
      <c r="E548" s="44">
        <v>47.1</v>
      </c>
      <c r="F548" s="44">
        <v>47.1</v>
      </c>
      <c r="G548" s="44">
        <v>47.1</v>
      </c>
      <c r="H548" s="44">
        <v>47.1</v>
      </c>
      <c r="I548" s="44">
        <v>0.85</v>
      </c>
      <c r="J548" s="44">
        <v>1.84</v>
      </c>
      <c r="K548" s="44">
        <v>0</v>
      </c>
      <c r="L548" s="44">
        <v>47.1</v>
      </c>
      <c r="M548" s="44">
        <v>0</v>
      </c>
    </row>
    <row r="549" spans="1:13" x14ac:dyDescent="0.25">
      <c r="A549" s="45" t="s">
        <v>1627</v>
      </c>
      <c r="B549" s="44" t="s">
        <v>4041</v>
      </c>
      <c r="C549" s="47">
        <v>44250</v>
      </c>
      <c r="D549" s="44">
        <v>202104</v>
      </c>
      <c r="E549" s="44">
        <v>47.1</v>
      </c>
      <c r="F549" s="44">
        <v>47.1</v>
      </c>
      <c r="G549" s="44">
        <v>47.1</v>
      </c>
      <c r="H549" s="44">
        <v>47.1</v>
      </c>
      <c r="I549" s="44">
        <v>0.85</v>
      </c>
      <c r="J549" s="44">
        <v>1.84</v>
      </c>
      <c r="K549" s="44">
        <v>0</v>
      </c>
      <c r="L549" s="44">
        <v>47.1</v>
      </c>
      <c r="M549" s="44">
        <v>0</v>
      </c>
    </row>
    <row r="550" spans="1:13" x14ac:dyDescent="0.25">
      <c r="A550" s="45" t="s">
        <v>1628</v>
      </c>
      <c r="C550" s="47"/>
    </row>
    <row r="551" spans="1:13" x14ac:dyDescent="0.25">
      <c r="A551" s="45" t="s">
        <v>1629</v>
      </c>
      <c r="B551" s="44" t="s">
        <v>4042</v>
      </c>
      <c r="C551" s="47">
        <v>44250</v>
      </c>
      <c r="D551" s="44">
        <v>202103</v>
      </c>
      <c r="E551" s="44">
        <v>46.35</v>
      </c>
      <c r="F551" s="44">
        <v>47.1</v>
      </c>
      <c r="G551" s="44">
        <v>46.35</v>
      </c>
      <c r="H551" s="44">
        <v>47.1</v>
      </c>
      <c r="I551" s="44">
        <v>0.85</v>
      </c>
      <c r="J551" s="44">
        <v>1.84</v>
      </c>
      <c r="K551" s="44">
        <v>4</v>
      </c>
      <c r="L551" s="44">
        <v>47.1</v>
      </c>
      <c r="M551" s="44">
        <v>216</v>
      </c>
    </row>
    <row r="552" spans="1:13" x14ac:dyDescent="0.25">
      <c r="A552" s="45" t="s">
        <v>1630</v>
      </c>
      <c r="B552" s="44" t="s">
        <v>4043</v>
      </c>
      <c r="C552" s="47">
        <v>44250</v>
      </c>
      <c r="D552" s="44">
        <v>202106</v>
      </c>
      <c r="E552" s="44">
        <v>47</v>
      </c>
      <c r="F552" s="44">
        <v>47</v>
      </c>
      <c r="G552" s="44">
        <v>47</v>
      </c>
      <c r="H552" s="44">
        <v>47</v>
      </c>
      <c r="I552" s="44">
        <v>0.85</v>
      </c>
      <c r="J552" s="44">
        <v>1.84</v>
      </c>
      <c r="K552" s="44">
        <v>0</v>
      </c>
      <c r="L552" s="44">
        <v>47</v>
      </c>
      <c r="M552" s="44">
        <v>0</v>
      </c>
    </row>
    <row r="553" spans="1:13" x14ac:dyDescent="0.25">
      <c r="A553" s="45" t="s">
        <v>1631</v>
      </c>
      <c r="B553" s="44" t="s">
        <v>4044</v>
      </c>
      <c r="C553" s="47">
        <v>44250</v>
      </c>
      <c r="D553" s="44">
        <v>202109</v>
      </c>
      <c r="E553" s="44">
        <v>46.65</v>
      </c>
      <c r="F553" s="44">
        <v>46.65</v>
      </c>
      <c r="G553" s="44">
        <v>46.65</v>
      </c>
      <c r="H553" s="44">
        <v>46.65</v>
      </c>
      <c r="I553" s="44">
        <v>0.85</v>
      </c>
      <c r="J553" s="44">
        <v>1.86</v>
      </c>
      <c r="K553" s="44">
        <v>0</v>
      </c>
      <c r="L553" s="44">
        <v>46.65</v>
      </c>
      <c r="M553" s="44">
        <v>0</v>
      </c>
    </row>
    <row r="554" spans="1:13" x14ac:dyDescent="0.25">
      <c r="A554" s="45" t="s">
        <v>1632</v>
      </c>
      <c r="B554" s="44" t="s">
        <v>4045</v>
      </c>
      <c r="C554" s="47">
        <v>44250</v>
      </c>
      <c r="D554" s="44">
        <v>202112</v>
      </c>
      <c r="E554" s="44">
        <v>47.2</v>
      </c>
      <c r="F554" s="44">
        <v>47.2</v>
      </c>
      <c r="G554" s="44">
        <v>47.2</v>
      </c>
      <c r="H554" s="44">
        <v>47.2</v>
      </c>
      <c r="I554" s="44">
        <v>0.85</v>
      </c>
      <c r="J554" s="44">
        <v>1.83</v>
      </c>
      <c r="K554" s="44">
        <v>0</v>
      </c>
      <c r="L554" s="44">
        <v>47.2</v>
      </c>
      <c r="M554" s="44">
        <v>0</v>
      </c>
    </row>
    <row r="555" spans="1:13" x14ac:dyDescent="0.25">
      <c r="A555" s="45" t="s">
        <v>910</v>
      </c>
      <c r="B555" s="44" t="s">
        <v>4046</v>
      </c>
      <c r="C555" s="47">
        <v>44250</v>
      </c>
      <c r="D555" s="44">
        <v>202103</v>
      </c>
      <c r="E555" s="44">
        <v>9.4700000000000006</v>
      </c>
      <c r="F555" s="44">
        <v>10.15</v>
      </c>
      <c r="G555" s="44">
        <v>9.4700000000000006</v>
      </c>
      <c r="H555" s="44">
        <v>10.1</v>
      </c>
      <c r="I555" s="44">
        <v>0.66</v>
      </c>
      <c r="J555" s="44">
        <v>6.99</v>
      </c>
      <c r="K555" s="44">
        <v>366</v>
      </c>
      <c r="L555" s="44">
        <v>10.1</v>
      </c>
      <c r="M555" s="44">
        <v>1777</v>
      </c>
    </row>
    <row r="556" spans="1:13" x14ac:dyDescent="0.25">
      <c r="A556" s="45" t="s">
        <v>1633</v>
      </c>
      <c r="B556" s="44" t="s">
        <v>4047</v>
      </c>
      <c r="C556" s="47">
        <v>44250</v>
      </c>
      <c r="D556" s="44">
        <v>202103</v>
      </c>
      <c r="E556" s="44">
        <v>9.4700000000000006</v>
      </c>
      <c r="F556" s="44">
        <v>10.15</v>
      </c>
      <c r="G556" s="44">
        <v>9.4700000000000006</v>
      </c>
      <c r="H556" s="44">
        <v>10.1</v>
      </c>
      <c r="I556" s="44">
        <v>0.66</v>
      </c>
      <c r="J556" s="44">
        <v>6.99</v>
      </c>
      <c r="K556" s="44">
        <v>366</v>
      </c>
      <c r="L556" s="44">
        <v>10.1</v>
      </c>
      <c r="M556" s="44">
        <v>1777</v>
      </c>
    </row>
    <row r="557" spans="1:13" x14ac:dyDescent="0.25">
      <c r="A557" s="45" t="s">
        <v>1634</v>
      </c>
      <c r="B557" s="44" t="s">
        <v>4048</v>
      </c>
      <c r="C557" s="47">
        <v>44250</v>
      </c>
      <c r="D557" s="44">
        <v>202104</v>
      </c>
      <c r="E557" s="44">
        <v>10</v>
      </c>
      <c r="F557" s="44">
        <v>10.15</v>
      </c>
      <c r="G557" s="44">
        <v>10</v>
      </c>
      <c r="H557" s="44">
        <v>10.15</v>
      </c>
      <c r="I557" s="44">
        <v>0.72</v>
      </c>
      <c r="J557" s="44">
        <v>7.64</v>
      </c>
      <c r="K557" s="44">
        <v>12</v>
      </c>
      <c r="L557" s="44">
        <v>10.15</v>
      </c>
      <c r="M557" s="44">
        <v>11</v>
      </c>
    </row>
    <row r="558" spans="1:13" x14ac:dyDescent="0.25">
      <c r="A558" s="45" t="s">
        <v>1635</v>
      </c>
      <c r="B558" s="44" t="s">
        <v>4049</v>
      </c>
      <c r="C558" s="47">
        <v>44250</v>
      </c>
      <c r="D558" s="44">
        <v>202104</v>
      </c>
      <c r="E558" s="44">
        <v>10</v>
      </c>
      <c r="F558" s="44">
        <v>10.15</v>
      </c>
      <c r="G558" s="44">
        <v>10</v>
      </c>
      <c r="H558" s="44">
        <v>10.15</v>
      </c>
      <c r="I558" s="44">
        <v>0.72</v>
      </c>
      <c r="J558" s="44">
        <v>7.64</v>
      </c>
      <c r="K558" s="44">
        <v>12</v>
      </c>
      <c r="L558" s="44">
        <v>10.15</v>
      </c>
      <c r="M558" s="44">
        <v>11</v>
      </c>
    </row>
    <row r="559" spans="1:13" x14ac:dyDescent="0.25">
      <c r="A559" s="45" t="s">
        <v>1636</v>
      </c>
      <c r="C559" s="47"/>
    </row>
    <row r="560" spans="1:13" x14ac:dyDescent="0.25">
      <c r="A560" s="45" t="s">
        <v>1637</v>
      </c>
      <c r="C560" s="47"/>
    </row>
    <row r="561" spans="1:13" x14ac:dyDescent="0.25">
      <c r="A561" s="45" t="s">
        <v>1638</v>
      </c>
      <c r="B561" s="44" t="s">
        <v>4050</v>
      </c>
      <c r="C561" s="47">
        <v>44250</v>
      </c>
      <c r="D561" s="44">
        <v>202103</v>
      </c>
      <c r="E561" s="44">
        <v>9.4700000000000006</v>
      </c>
      <c r="F561" s="44">
        <v>10.15</v>
      </c>
      <c r="G561" s="44">
        <v>9.4700000000000006</v>
      </c>
      <c r="H561" s="44">
        <v>10.1</v>
      </c>
      <c r="I561" s="44">
        <v>0.66</v>
      </c>
      <c r="J561" s="44">
        <v>6.99</v>
      </c>
      <c r="K561" s="44">
        <v>366</v>
      </c>
      <c r="L561" s="44">
        <v>10.1</v>
      </c>
      <c r="M561" s="44">
        <v>1777</v>
      </c>
    </row>
    <row r="562" spans="1:13" x14ac:dyDescent="0.25">
      <c r="A562" s="45" t="s">
        <v>1639</v>
      </c>
      <c r="B562" s="44" t="s">
        <v>4051</v>
      </c>
      <c r="C562" s="47">
        <v>44250</v>
      </c>
      <c r="D562" s="44">
        <v>202106</v>
      </c>
      <c r="E562" s="44">
        <v>10.15</v>
      </c>
      <c r="F562" s="44">
        <v>10.15</v>
      </c>
      <c r="G562" s="44">
        <v>10.15</v>
      </c>
      <c r="H562" s="44">
        <v>10.15</v>
      </c>
      <c r="I562" s="44">
        <v>0.65</v>
      </c>
      <c r="J562" s="44">
        <v>6.84</v>
      </c>
      <c r="K562" s="44">
        <v>0</v>
      </c>
      <c r="L562" s="44">
        <v>10.15</v>
      </c>
      <c r="M562" s="44">
        <v>174</v>
      </c>
    </row>
    <row r="563" spans="1:13" x14ac:dyDescent="0.25">
      <c r="A563" s="45" t="s">
        <v>1640</v>
      </c>
      <c r="B563" s="44" t="s">
        <v>4052</v>
      </c>
      <c r="C563" s="47">
        <v>44250</v>
      </c>
      <c r="D563" s="44">
        <v>202109</v>
      </c>
      <c r="E563" s="44">
        <v>10.15</v>
      </c>
      <c r="F563" s="44">
        <v>10.15</v>
      </c>
      <c r="G563" s="44">
        <v>10.15</v>
      </c>
      <c r="H563" s="44">
        <v>10.15</v>
      </c>
      <c r="I563" s="44">
        <v>0.65</v>
      </c>
      <c r="J563" s="44">
        <v>6.84</v>
      </c>
      <c r="K563" s="44">
        <v>0</v>
      </c>
      <c r="L563" s="44">
        <v>10.15</v>
      </c>
      <c r="M563" s="44">
        <v>0</v>
      </c>
    </row>
    <row r="564" spans="1:13" x14ac:dyDescent="0.25">
      <c r="A564" s="45" t="s">
        <v>1641</v>
      </c>
      <c r="B564" s="44" t="s">
        <v>4053</v>
      </c>
      <c r="C564" s="47">
        <v>44250</v>
      </c>
      <c r="D564" s="44">
        <v>202112</v>
      </c>
      <c r="E564" s="44">
        <v>10.15</v>
      </c>
      <c r="F564" s="44">
        <v>10.15</v>
      </c>
      <c r="G564" s="44">
        <v>10.15</v>
      </c>
      <c r="H564" s="44">
        <v>10.15</v>
      </c>
      <c r="I564" s="44">
        <v>0.67</v>
      </c>
      <c r="J564" s="44">
        <v>7.07</v>
      </c>
      <c r="K564" s="44">
        <v>0</v>
      </c>
      <c r="L564" s="44">
        <v>10.15</v>
      </c>
      <c r="M564" s="44">
        <v>0</v>
      </c>
    </row>
    <row r="565" spans="1:13" x14ac:dyDescent="0.25">
      <c r="A565" s="45" t="s">
        <v>912</v>
      </c>
      <c r="B565" s="44" t="s">
        <v>4054</v>
      </c>
      <c r="C565" s="47">
        <v>44250</v>
      </c>
      <c r="D565" s="44">
        <v>202103</v>
      </c>
      <c r="E565" s="44">
        <v>53.8</v>
      </c>
      <c r="F565" s="44">
        <v>54.2</v>
      </c>
      <c r="G565" s="44">
        <v>53.8</v>
      </c>
      <c r="H565" s="44">
        <v>54</v>
      </c>
      <c r="I565" s="44">
        <v>1</v>
      </c>
      <c r="J565" s="44">
        <v>1.89</v>
      </c>
      <c r="K565" s="44">
        <v>5</v>
      </c>
      <c r="L565" s="44">
        <v>54</v>
      </c>
      <c r="M565" s="44">
        <v>52</v>
      </c>
    </row>
    <row r="566" spans="1:13" x14ac:dyDescent="0.25">
      <c r="A566" s="45" t="s">
        <v>1642</v>
      </c>
      <c r="B566" s="44" t="s">
        <v>4055</v>
      </c>
      <c r="C566" s="47">
        <v>44250</v>
      </c>
      <c r="D566" s="44">
        <v>202103</v>
      </c>
      <c r="E566" s="44">
        <v>53.8</v>
      </c>
      <c r="F566" s="44">
        <v>54.2</v>
      </c>
      <c r="G566" s="44">
        <v>53.8</v>
      </c>
      <c r="H566" s="44">
        <v>54</v>
      </c>
      <c r="I566" s="44">
        <v>1</v>
      </c>
      <c r="J566" s="44">
        <v>1.89</v>
      </c>
      <c r="K566" s="44">
        <v>5</v>
      </c>
      <c r="L566" s="44">
        <v>54</v>
      </c>
      <c r="M566" s="44">
        <v>52</v>
      </c>
    </row>
    <row r="567" spans="1:13" x14ac:dyDescent="0.25">
      <c r="A567" s="45" t="s">
        <v>1643</v>
      </c>
      <c r="B567" s="44" t="s">
        <v>4056</v>
      </c>
      <c r="C567" s="47">
        <v>44250</v>
      </c>
      <c r="D567" s="44">
        <v>202104</v>
      </c>
      <c r="E567" s="44">
        <v>54</v>
      </c>
      <c r="F567" s="44">
        <v>54</v>
      </c>
      <c r="G567" s="44">
        <v>54</v>
      </c>
      <c r="H567" s="44">
        <v>54</v>
      </c>
      <c r="I567" s="44">
        <v>1.3</v>
      </c>
      <c r="J567" s="44">
        <v>2.4700000000000002</v>
      </c>
      <c r="K567" s="44">
        <v>1</v>
      </c>
      <c r="L567" s="44">
        <v>54</v>
      </c>
      <c r="M567" s="44">
        <v>10</v>
      </c>
    </row>
    <row r="568" spans="1:13" x14ac:dyDescent="0.25">
      <c r="A568" s="45" t="s">
        <v>1644</v>
      </c>
      <c r="B568" s="44" t="s">
        <v>4057</v>
      </c>
      <c r="C568" s="47">
        <v>44250</v>
      </c>
      <c r="D568" s="44">
        <v>202104</v>
      </c>
      <c r="E568" s="44">
        <v>54</v>
      </c>
      <c r="F568" s="44">
        <v>54</v>
      </c>
      <c r="G568" s="44">
        <v>54</v>
      </c>
      <c r="H568" s="44">
        <v>54</v>
      </c>
      <c r="I568" s="44">
        <v>1.3</v>
      </c>
      <c r="J568" s="44">
        <v>2.4700000000000002</v>
      </c>
      <c r="K568" s="44">
        <v>1</v>
      </c>
      <c r="L568" s="44">
        <v>54</v>
      </c>
      <c r="M568" s="44">
        <v>10</v>
      </c>
    </row>
    <row r="569" spans="1:13" x14ac:dyDescent="0.25">
      <c r="A569" s="45" t="s">
        <v>1645</v>
      </c>
      <c r="C569" s="47"/>
    </row>
    <row r="570" spans="1:13" x14ac:dyDescent="0.25">
      <c r="A570" s="45" t="s">
        <v>1646</v>
      </c>
      <c r="C570" s="47"/>
    </row>
    <row r="571" spans="1:13" x14ac:dyDescent="0.25">
      <c r="A571" s="45" t="s">
        <v>1647</v>
      </c>
      <c r="B571" s="44" t="s">
        <v>4058</v>
      </c>
      <c r="C571" s="47">
        <v>44250</v>
      </c>
      <c r="D571" s="44">
        <v>202103</v>
      </c>
      <c r="E571" s="44">
        <v>53.8</v>
      </c>
      <c r="F571" s="44">
        <v>54.2</v>
      </c>
      <c r="G571" s="44">
        <v>53.8</v>
      </c>
      <c r="H571" s="44">
        <v>54</v>
      </c>
      <c r="I571" s="44">
        <v>1</v>
      </c>
      <c r="J571" s="44">
        <v>1.89</v>
      </c>
      <c r="K571" s="44">
        <v>5</v>
      </c>
      <c r="L571" s="44">
        <v>54</v>
      </c>
      <c r="M571" s="44">
        <v>52</v>
      </c>
    </row>
    <row r="572" spans="1:13" x14ac:dyDescent="0.25">
      <c r="A572" s="45" t="s">
        <v>1648</v>
      </c>
      <c r="B572" s="44" t="s">
        <v>4059</v>
      </c>
      <c r="C572" s="47">
        <v>44250</v>
      </c>
      <c r="D572" s="44">
        <v>202106</v>
      </c>
      <c r="E572" s="44">
        <v>54.1</v>
      </c>
      <c r="F572" s="44">
        <v>54.1</v>
      </c>
      <c r="G572" s="44">
        <v>54.1</v>
      </c>
      <c r="H572" s="44">
        <v>54.1</v>
      </c>
      <c r="I572" s="44">
        <v>1</v>
      </c>
      <c r="J572" s="44">
        <v>1.88</v>
      </c>
      <c r="K572" s="44">
        <v>0</v>
      </c>
      <c r="L572" s="44">
        <v>54.1</v>
      </c>
      <c r="M572" s="44">
        <v>1</v>
      </c>
    </row>
    <row r="573" spans="1:13" x14ac:dyDescent="0.25">
      <c r="A573" s="45" t="s">
        <v>1649</v>
      </c>
      <c r="B573" s="44" t="s">
        <v>4060</v>
      </c>
      <c r="C573" s="47">
        <v>44250</v>
      </c>
      <c r="D573" s="44">
        <v>202109</v>
      </c>
      <c r="E573" s="44">
        <v>54.1</v>
      </c>
      <c r="F573" s="44">
        <v>54.1</v>
      </c>
      <c r="G573" s="44">
        <v>54.1</v>
      </c>
      <c r="H573" s="44">
        <v>54.1</v>
      </c>
      <c r="I573" s="44">
        <v>1</v>
      </c>
      <c r="J573" s="44">
        <v>1.88</v>
      </c>
      <c r="K573" s="44">
        <v>0</v>
      </c>
      <c r="L573" s="44">
        <v>54.1</v>
      </c>
      <c r="M573" s="44">
        <v>0</v>
      </c>
    </row>
    <row r="574" spans="1:13" x14ac:dyDescent="0.25">
      <c r="A574" s="45" t="s">
        <v>1650</v>
      </c>
      <c r="B574" s="44" t="s">
        <v>4061</v>
      </c>
      <c r="C574" s="47">
        <v>44250</v>
      </c>
      <c r="D574" s="44">
        <v>202112</v>
      </c>
      <c r="E574" s="44">
        <v>54.2</v>
      </c>
      <c r="F574" s="44">
        <v>54.2</v>
      </c>
      <c r="G574" s="44">
        <v>54.2</v>
      </c>
      <c r="H574" s="44">
        <v>54.2</v>
      </c>
      <c r="I574" s="44">
        <v>1</v>
      </c>
      <c r="J574" s="44">
        <v>1.88</v>
      </c>
      <c r="K574" s="44">
        <v>0</v>
      </c>
      <c r="L574" s="44">
        <v>54.2</v>
      </c>
      <c r="M574" s="44">
        <v>0</v>
      </c>
    </row>
    <row r="575" spans="1:13" x14ac:dyDescent="0.25">
      <c r="A575" s="45" t="s">
        <v>1651</v>
      </c>
      <c r="B575" s="44" t="s">
        <v>4062</v>
      </c>
      <c r="C575" s="47">
        <v>44250</v>
      </c>
      <c r="D575" s="44">
        <v>202103</v>
      </c>
      <c r="E575" s="44">
        <v>6558</v>
      </c>
      <c r="F575" s="44">
        <v>6608</v>
      </c>
      <c r="G575" s="44">
        <v>6553</v>
      </c>
      <c r="H575" s="44">
        <v>6602</v>
      </c>
      <c r="I575" s="44">
        <v>44</v>
      </c>
      <c r="J575" s="44">
        <v>0.67</v>
      </c>
      <c r="K575" s="44">
        <v>336</v>
      </c>
      <c r="L575" s="44">
        <v>6602</v>
      </c>
      <c r="M575" s="44">
        <v>67</v>
      </c>
    </row>
    <row r="576" spans="1:13" x14ac:dyDescent="0.25">
      <c r="A576" s="45" t="s">
        <v>1652</v>
      </c>
      <c r="B576" s="44" t="s">
        <v>4063</v>
      </c>
      <c r="C576" s="47">
        <v>44250</v>
      </c>
      <c r="D576" s="44">
        <v>202103</v>
      </c>
      <c r="E576" s="44">
        <v>6558</v>
      </c>
      <c r="F576" s="44">
        <v>6608</v>
      </c>
      <c r="G576" s="44">
        <v>6553</v>
      </c>
      <c r="H576" s="44">
        <v>6602</v>
      </c>
      <c r="I576" s="44">
        <v>44</v>
      </c>
      <c r="J576" s="44">
        <v>0.67</v>
      </c>
      <c r="K576" s="44">
        <v>336</v>
      </c>
      <c r="L576" s="44">
        <v>6602</v>
      </c>
      <c r="M576" s="44">
        <v>67</v>
      </c>
    </row>
    <row r="577" spans="1:13" x14ac:dyDescent="0.25">
      <c r="A577" s="45" t="s">
        <v>1653</v>
      </c>
      <c r="B577" s="44" t="s">
        <v>4064</v>
      </c>
      <c r="C577" s="47"/>
    </row>
    <row r="578" spans="1:13" x14ac:dyDescent="0.25">
      <c r="A578" s="45" t="s">
        <v>1654</v>
      </c>
      <c r="B578" s="44" t="s">
        <v>4065</v>
      </c>
      <c r="C578" s="47">
        <v>44250</v>
      </c>
      <c r="D578" s="44">
        <v>202106</v>
      </c>
      <c r="E578" s="44">
        <v>6525</v>
      </c>
      <c r="F578" s="44">
        <v>6549</v>
      </c>
      <c r="G578" s="44">
        <v>6525</v>
      </c>
      <c r="H578" s="44">
        <v>6549</v>
      </c>
      <c r="I578" s="44">
        <v>57</v>
      </c>
      <c r="J578" s="44">
        <v>0.88</v>
      </c>
      <c r="K578" s="44">
        <v>103</v>
      </c>
      <c r="L578" s="44">
        <v>6540</v>
      </c>
      <c r="M578" s="44">
        <v>147</v>
      </c>
    </row>
    <row r="579" spans="1:13" x14ac:dyDescent="0.25">
      <c r="A579" s="45" t="s">
        <v>1655</v>
      </c>
      <c r="B579" s="44" t="s">
        <v>4066</v>
      </c>
      <c r="C579" s="47">
        <v>44250</v>
      </c>
      <c r="D579" s="44">
        <v>202106</v>
      </c>
      <c r="E579" s="44">
        <v>6525</v>
      </c>
      <c r="F579" s="44">
        <v>6549</v>
      </c>
      <c r="G579" s="44">
        <v>6525</v>
      </c>
      <c r="H579" s="44">
        <v>6549</v>
      </c>
      <c r="I579" s="44">
        <v>57</v>
      </c>
      <c r="J579" s="44">
        <v>0.88</v>
      </c>
      <c r="K579" s="44">
        <v>103</v>
      </c>
      <c r="L579" s="44">
        <v>6540</v>
      </c>
      <c r="M579" s="44">
        <v>147</v>
      </c>
    </row>
    <row r="580" spans="1:13" x14ac:dyDescent="0.25">
      <c r="A580" s="45" t="s">
        <v>1656</v>
      </c>
      <c r="B580" s="44" t="s">
        <v>4067</v>
      </c>
      <c r="C580" s="47">
        <v>44250</v>
      </c>
      <c r="D580" s="44">
        <v>202103</v>
      </c>
      <c r="E580" s="44">
        <v>6558</v>
      </c>
      <c r="F580" s="44">
        <v>6608</v>
      </c>
      <c r="G580" s="44">
        <v>6553</v>
      </c>
      <c r="H580" s="44">
        <v>6602</v>
      </c>
      <c r="I580" s="44">
        <v>44</v>
      </c>
      <c r="J580" s="44">
        <v>0.67</v>
      </c>
      <c r="K580" s="44">
        <v>336</v>
      </c>
      <c r="L580" s="44">
        <v>6602</v>
      </c>
      <c r="M580" s="44">
        <v>67</v>
      </c>
    </row>
    <row r="581" spans="1:13" x14ac:dyDescent="0.25">
      <c r="A581" s="45" t="s">
        <v>1657</v>
      </c>
      <c r="C581" s="47"/>
    </row>
    <row r="582" spans="1:13" x14ac:dyDescent="0.25">
      <c r="A582" s="45" t="s">
        <v>1658</v>
      </c>
      <c r="B582" s="44" t="s">
        <v>4068</v>
      </c>
      <c r="C582" s="47"/>
    </row>
    <row r="583" spans="1:13" x14ac:dyDescent="0.25">
      <c r="A583" s="45" t="s">
        <v>1659</v>
      </c>
      <c r="B583" s="44" t="s">
        <v>4069</v>
      </c>
      <c r="C583" s="47">
        <v>44250</v>
      </c>
      <c r="D583" s="44">
        <v>202106</v>
      </c>
      <c r="E583" s="44">
        <v>6525</v>
      </c>
      <c r="F583" s="44">
        <v>6549</v>
      </c>
      <c r="G583" s="44">
        <v>6525</v>
      </c>
      <c r="H583" s="44">
        <v>6549</v>
      </c>
      <c r="I583" s="44">
        <v>57</v>
      </c>
      <c r="J583" s="44">
        <v>0.88</v>
      </c>
      <c r="K583" s="44">
        <v>103</v>
      </c>
      <c r="L583" s="44">
        <v>6540</v>
      </c>
      <c r="M583" s="44">
        <v>147</v>
      </c>
    </row>
    <row r="584" spans="1:13" x14ac:dyDescent="0.25">
      <c r="A584" s="45" t="s">
        <v>1660</v>
      </c>
      <c r="B584" s="44" t="s">
        <v>4070</v>
      </c>
      <c r="C584" s="47"/>
    </row>
    <row r="585" spans="1:13" x14ac:dyDescent="0.25">
      <c r="A585" s="45" t="s">
        <v>1661</v>
      </c>
      <c r="B585" s="44" t="s">
        <v>4071</v>
      </c>
      <c r="C585" s="47">
        <v>44250</v>
      </c>
      <c r="D585" s="44">
        <v>202109</v>
      </c>
      <c r="E585" s="44">
        <v>6530</v>
      </c>
      <c r="F585" s="44">
        <v>6530</v>
      </c>
      <c r="G585" s="44">
        <v>6530</v>
      </c>
      <c r="H585" s="44">
        <v>6530</v>
      </c>
      <c r="I585" s="44">
        <v>44</v>
      </c>
      <c r="J585" s="44">
        <v>0.68</v>
      </c>
      <c r="K585" s="44">
        <v>0</v>
      </c>
      <c r="L585" s="44">
        <v>6530</v>
      </c>
      <c r="M585" s="44">
        <v>0</v>
      </c>
    </row>
    <row r="586" spans="1:13" x14ac:dyDescent="0.25">
      <c r="A586" s="45" t="s">
        <v>1662</v>
      </c>
      <c r="B586" s="44" t="s">
        <v>4072</v>
      </c>
      <c r="C586" s="47"/>
    </row>
    <row r="587" spans="1:13" x14ac:dyDescent="0.25">
      <c r="A587" s="45" t="s">
        <v>1663</v>
      </c>
      <c r="B587" s="44" t="s">
        <v>4073</v>
      </c>
      <c r="C587" s="47">
        <v>44250</v>
      </c>
      <c r="D587" s="44">
        <v>202112</v>
      </c>
      <c r="E587" s="44">
        <v>6441</v>
      </c>
      <c r="F587" s="44">
        <v>6441</v>
      </c>
      <c r="G587" s="44">
        <v>6441</v>
      </c>
      <c r="H587" s="44">
        <v>6441</v>
      </c>
      <c r="I587" s="44">
        <v>44</v>
      </c>
      <c r="J587" s="44">
        <v>0.69</v>
      </c>
      <c r="K587" s="44">
        <v>0</v>
      </c>
      <c r="L587" s="44">
        <v>6441</v>
      </c>
      <c r="M587" s="44">
        <v>0</v>
      </c>
    </row>
    <row r="588" spans="1:13" x14ac:dyDescent="0.25">
      <c r="A588" s="45" t="s">
        <v>1664</v>
      </c>
      <c r="B588" s="44" t="s">
        <v>4074</v>
      </c>
      <c r="C588" s="47"/>
    </row>
    <row r="589" spans="1:13" x14ac:dyDescent="0.25">
      <c r="A589" s="45" t="s">
        <v>1665</v>
      </c>
      <c r="B589" s="44" t="s">
        <v>4075</v>
      </c>
      <c r="C589" s="47"/>
    </row>
    <row r="590" spans="1:13" x14ac:dyDescent="0.25">
      <c r="A590" s="45" t="s">
        <v>1666</v>
      </c>
      <c r="B590" s="44" t="s">
        <v>4076</v>
      </c>
      <c r="C590" s="47"/>
    </row>
    <row r="591" spans="1:13" x14ac:dyDescent="0.25">
      <c r="A591" s="45" t="s">
        <v>1667</v>
      </c>
      <c r="B591" s="44" t="s">
        <v>4077</v>
      </c>
      <c r="C591" s="47">
        <v>44250</v>
      </c>
      <c r="D591" s="44">
        <v>202106</v>
      </c>
      <c r="E591" s="44">
        <v>31.55</v>
      </c>
      <c r="F591" s="44">
        <v>31.55</v>
      </c>
      <c r="G591" s="44">
        <v>31.55</v>
      </c>
      <c r="H591" s="44">
        <v>31.55</v>
      </c>
      <c r="I591" s="44">
        <v>1.45</v>
      </c>
      <c r="J591" s="44">
        <v>4.82</v>
      </c>
      <c r="K591" s="44">
        <v>0</v>
      </c>
      <c r="L591" s="44">
        <v>31.55</v>
      </c>
      <c r="M591" s="44">
        <v>3</v>
      </c>
    </row>
    <row r="592" spans="1:13" x14ac:dyDescent="0.25">
      <c r="A592" s="45" t="s">
        <v>1668</v>
      </c>
      <c r="B592" s="44" t="s">
        <v>4078</v>
      </c>
      <c r="C592" s="47">
        <v>44250</v>
      </c>
      <c r="D592" s="44">
        <v>202106</v>
      </c>
      <c r="E592" s="44">
        <v>31.55</v>
      </c>
      <c r="F592" s="44">
        <v>31.55</v>
      </c>
      <c r="G592" s="44">
        <v>31.55</v>
      </c>
      <c r="H592" s="44">
        <v>31.55</v>
      </c>
      <c r="I592" s="44">
        <v>1.45</v>
      </c>
      <c r="J592" s="44">
        <v>4.82</v>
      </c>
      <c r="K592" s="44">
        <v>0</v>
      </c>
      <c r="L592" s="44">
        <v>31.55</v>
      </c>
      <c r="M592" s="44">
        <v>3</v>
      </c>
    </row>
    <row r="593" spans="1:13" x14ac:dyDescent="0.25">
      <c r="A593" s="45" t="s">
        <v>1669</v>
      </c>
      <c r="B593" s="44" t="s">
        <v>4079</v>
      </c>
      <c r="C593" s="47">
        <v>44250</v>
      </c>
      <c r="D593" s="44">
        <v>202106</v>
      </c>
      <c r="E593" s="44">
        <v>31.55</v>
      </c>
      <c r="F593" s="44">
        <v>31.55</v>
      </c>
      <c r="G593" s="44">
        <v>31.55</v>
      </c>
      <c r="H593" s="44">
        <v>31.55</v>
      </c>
      <c r="I593" s="44">
        <v>1.45</v>
      </c>
      <c r="J593" s="44">
        <v>4.82</v>
      </c>
      <c r="K593" s="44">
        <v>0</v>
      </c>
      <c r="L593" s="44">
        <v>31.55</v>
      </c>
      <c r="M593" s="44">
        <v>3</v>
      </c>
    </row>
    <row r="594" spans="1:13" x14ac:dyDescent="0.25">
      <c r="A594" s="45" t="s">
        <v>915</v>
      </c>
      <c r="B594" s="44" t="s">
        <v>4080</v>
      </c>
      <c r="C594" s="47">
        <v>44250</v>
      </c>
      <c r="D594" s="44">
        <v>202103</v>
      </c>
      <c r="E594" s="44">
        <v>29.85</v>
      </c>
      <c r="F594" s="44">
        <v>31.4</v>
      </c>
      <c r="G594" s="44">
        <v>29.85</v>
      </c>
      <c r="H594" s="44">
        <v>31.1</v>
      </c>
      <c r="I594" s="44">
        <v>1.45</v>
      </c>
      <c r="J594" s="44">
        <v>4.8899999999999997</v>
      </c>
      <c r="K594" s="44">
        <v>1173</v>
      </c>
      <c r="L594" s="44">
        <v>31.1</v>
      </c>
      <c r="M594" s="44">
        <v>800</v>
      </c>
    </row>
    <row r="595" spans="1:13" x14ac:dyDescent="0.25">
      <c r="A595" s="45" t="s">
        <v>1670</v>
      </c>
      <c r="B595" s="44" t="s">
        <v>4081</v>
      </c>
      <c r="C595" s="47">
        <v>44250</v>
      </c>
      <c r="D595" s="44">
        <v>202103</v>
      </c>
      <c r="E595" s="44">
        <v>29.85</v>
      </c>
      <c r="F595" s="44">
        <v>31.4</v>
      </c>
      <c r="G595" s="44">
        <v>29.85</v>
      </c>
      <c r="H595" s="44">
        <v>31.1</v>
      </c>
      <c r="I595" s="44">
        <v>1.45</v>
      </c>
      <c r="J595" s="44">
        <v>4.8899999999999997</v>
      </c>
      <c r="K595" s="44">
        <v>1173</v>
      </c>
      <c r="L595" s="44">
        <v>31.1</v>
      </c>
      <c r="M595" s="44">
        <v>800</v>
      </c>
    </row>
    <row r="596" spans="1:13" x14ac:dyDescent="0.25">
      <c r="A596" s="45" t="s">
        <v>1671</v>
      </c>
      <c r="B596" s="44" t="s">
        <v>4082</v>
      </c>
      <c r="C596" s="47">
        <v>44250</v>
      </c>
      <c r="D596" s="44">
        <v>202104</v>
      </c>
      <c r="E596" s="44">
        <v>30.95</v>
      </c>
      <c r="F596" s="44">
        <v>31.35</v>
      </c>
      <c r="G596" s="44">
        <v>30.55</v>
      </c>
      <c r="H596" s="44">
        <v>30.85</v>
      </c>
      <c r="I596" s="44">
        <v>1.25</v>
      </c>
      <c r="J596" s="44">
        <v>4.22</v>
      </c>
      <c r="K596" s="44">
        <v>30</v>
      </c>
      <c r="L596" s="44">
        <v>30.85</v>
      </c>
      <c r="M596" s="44">
        <v>38</v>
      </c>
    </row>
    <row r="597" spans="1:13" x14ac:dyDescent="0.25">
      <c r="A597" s="45" t="s">
        <v>1672</v>
      </c>
      <c r="B597" s="44" t="s">
        <v>4083</v>
      </c>
      <c r="C597" s="47">
        <v>44250</v>
      </c>
      <c r="D597" s="44">
        <v>202104</v>
      </c>
      <c r="E597" s="44">
        <v>30.95</v>
      </c>
      <c r="F597" s="44">
        <v>31.35</v>
      </c>
      <c r="G597" s="44">
        <v>30.55</v>
      </c>
      <c r="H597" s="44">
        <v>30.85</v>
      </c>
      <c r="I597" s="44">
        <v>1.25</v>
      </c>
      <c r="J597" s="44">
        <v>4.22</v>
      </c>
      <c r="K597" s="44">
        <v>30</v>
      </c>
      <c r="L597" s="44">
        <v>30.85</v>
      </c>
      <c r="M597" s="44">
        <v>38</v>
      </c>
    </row>
    <row r="598" spans="1:13" x14ac:dyDescent="0.25">
      <c r="A598" s="45" t="s">
        <v>1673</v>
      </c>
      <c r="C598" s="47"/>
    </row>
    <row r="599" spans="1:13" x14ac:dyDescent="0.25">
      <c r="A599" s="45" t="s">
        <v>1674</v>
      </c>
      <c r="C599" s="47"/>
    </row>
    <row r="600" spans="1:13" x14ac:dyDescent="0.25">
      <c r="A600" s="45" t="s">
        <v>1675</v>
      </c>
      <c r="B600" s="44" t="s">
        <v>4084</v>
      </c>
      <c r="C600" s="47">
        <v>44250</v>
      </c>
      <c r="D600" s="44">
        <v>202103</v>
      </c>
      <c r="E600" s="44">
        <v>29.85</v>
      </c>
      <c r="F600" s="44">
        <v>31.4</v>
      </c>
      <c r="G600" s="44">
        <v>29.85</v>
      </c>
      <c r="H600" s="44">
        <v>31.1</v>
      </c>
      <c r="I600" s="44">
        <v>1.45</v>
      </c>
      <c r="J600" s="44">
        <v>4.8899999999999997</v>
      </c>
      <c r="K600" s="44">
        <v>1173</v>
      </c>
      <c r="L600" s="44">
        <v>31.1</v>
      </c>
      <c r="M600" s="44">
        <v>800</v>
      </c>
    </row>
    <row r="601" spans="1:13" x14ac:dyDescent="0.25">
      <c r="A601" s="45" t="s">
        <v>1676</v>
      </c>
      <c r="B601" s="44" t="s">
        <v>4085</v>
      </c>
      <c r="C601" s="47">
        <v>44250</v>
      </c>
      <c r="D601" s="44">
        <v>202106</v>
      </c>
      <c r="E601" s="44">
        <v>30.95</v>
      </c>
      <c r="F601" s="44">
        <v>30.95</v>
      </c>
      <c r="G601" s="44">
        <v>30.95</v>
      </c>
      <c r="H601" s="44">
        <v>30.95</v>
      </c>
      <c r="I601" s="44">
        <v>1.45</v>
      </c>
      <c r="J601" s="44">
        <v>4.92</v>
      </c>
      <c r="K601" s="44">
        <v>0</v>
      </c>
      <c r="L601" s="44">
        <v>30.95</v>
      </c>
      <c r="M601" s="44">
        <v>7</v>
      </c>
    </row>
    <row r="602" spans="1:13" x14ac:dyDescent="0.25">
      <c r="A602" s="45" t="s">
        <v>1677</v>
      </c>
      <c r="B602" s="44" t="s">
        <v>4086</v>
      </c>
      <c r="C602" s="47">
        <v>44250</v>
      </c>
      <c r="D602" s="44">
        <v>202109</v>
      </c>
      <c r="E602" s="44">
        <v>30.8</v>
      </c>
      <c r="F602" s="44">
        <v>30.8</v>
      </c>
      <c r="G602" s="44">
        <v>30.8</v>
      </c>
      <c r="H602" s="44">
        <v>30.8</v>
      </c>
      <c r="I602" s="44">
        <v>1.45</v>
      </c>
      <c r="J602" s="44">
        <v>4.9400000000000004</v>
      </c>
      <c r="K602" s="44">
        <v>0</v>
      </c>
      <c r="L602" s="44">
        <v>30.8</v>
      </c>
      <c r="M602" s="44">
        <v>0</v>
      </c>
    </row>
    <row r="603" spans="1:13" x14ac:dyDescent="0.25">
      <c r="A603" s="45" t="s">
        <v>1678</v>
      </c>
      <c r="B603" s="44" t="s">
        <v>4087</v>
      </c>
      <c r="C603" s="47">
        <v>44250</v>
      </c>
      <c r="D603" s="44">
        <v>202112</v>
      </c>
      <c r="E603" s="44">
        <v>31.3</v>
      </c>
      <c r="F603" s="44">
        <v>31.3</v>
      </c>
      <c r="G603" s="44">
        <v>31.3</v>
      </c>
      <c r="H603" s="44">
        <v>31.3</v>
      </c>
      <c r="I603" s="44">
        <v>1.45</v>
      </c>
      <c r="J603" s="44">
        <v>4.8600000000000003</v>
      </c>
      <c r="K603" s="44">
        <v>0</v>
      </c>
      <c r="L603" s="44">
        <v>31.3</v>
      </c>
      <c r="M603" s="44">
        <v>0</v>
      </c>
    </row>
    <row r="604" spans="1:13" x14ac:dyDescent="0.25">
      <c r="A604" s="45" t="s">
        <v>1679</v>
      </c>
      <c r="B604" s="44" t="s">
        <v>4088</v>
      </c>
      <c r="C604" s="47">
        <v>44250</v>
      </c>
      <c r="D604" s="44">
        <v>202103</v>
      </c>
      <c r="E604" s="44">
        <v>413.5</v>
      </c>
      <c r="F604" s="44">
        <v>413.5</v>
      </c>
      <c r="G604" s="44">
        <v>409</v>
      </c>
      <c r="H604" s="44">
        <v>409</v>
      </c>
      <c r="I604" s="44">
        <v>-7</v>
      </c>
      <c r="J604" s="44">
        <v>-1.68</v>
      </c>
      <c r="K604" s="44">
        <v>2</v>
      </c>
      <c r="L604" s="44">
        <v>411</v>
      </c>
      <c r="M604" s="44">
        <v>58</v>
      </c>
    </row>
    <row r="605" spans="1:13" x14ac:dyDescent="0.25">
      <c r="A605" s="45" t="s">
        <v>1680</v>
      </c>
      <c r="B605" s="44" t="s">
        <v>4089</v>
      </c>
      <c r="C605" s="47">
        <v>44250</v>
      </c>
      <c r="D605" s="44">
        <v>202103</v>
      </c>
      <c r="E605" s="44">
        <v>413.5</v>
      </c>
      <c r="F605" s="44">
        <v>413.5</v>
      </c>
      <c r="G605" s="44">
        <v>409</v>
      </c>
      <c r="H605" s="44">
        <v>409</v>
      </c>
      <c r="I605" s="44">
        <v>-7</v>
      </c>
      <c r="J605" s="44">
        <v>-1.68</v>
      </c>
      <c r="K605" s="44">
        <v>2</v>
      </c>
      <c r="L605" s="44">
        <v>411</v>
      </c>
      <c r="M605" s="44">
        <v>58</v>
      </c>
    </row>
    <row r="606" spans="1:13" x14ac:dyDescent="0.25">
      <c r="A606" s="45" t="s">
        <v>1681</v>
      </c>
      <c r="B606" s="44" t="s">
        <v>4090</v>
      </c>
      <c r="C606" s="47">
        <v>44250</v>
      </c>
      <c r="D606" s="44">
        <v>202103</v>
      </c>
      <c r="E606" s="44">
        <v>413.5</v>
      </c>
      <c r="F606" s="44">
        <v>413.5</v>
      </c>
      <c r="G606" s="44">
        <v>409</v>
      </c>
      <c r="H606" s="44">
        <v>409</v>
      </c>
      <c r="I606" s="44">
        <v>-7</v>
      </c>
      <c r="J606" s="44">
        <v>-1.68</v>
      </c>
      <c r="K606" s="44">
        <v>2</v>
      </c>
      <c r="L606" s="44">
        <v>411</v>
      </c>
      <c r="M606" s="44">
        <v>58</v>
      </c>
    </row>
    <row r="607" spans="1:13" x14ac:dyDescent="0.25">
      <c r="A607" s="45" t="s">
        <v>916</v>
      </c>
      <c r="B607" s="44" t="s">
        <v>4091</v>
      </c>
      <c r="C607" s="47">
        <v>44250</v>
      </c>
      <c r="D607" s="44">
        <v>202103</v>
      </c>
      <c r="E607" s="44">
        <v>410.5</v>
      </c>
      <c r="F607" s="44">
        <v>410.5</v>
      </c>
      <c r="G607" s="44">
        <v>402.5</v>
      </c>
      <c r="H607" s="44">
        <v>407</v>
      </c>
      <c r="I607" s="44">
        <v>-5</v>
      </c>
      <c r="J607" s="44">
        <v>-1.21</v>
      </c>
      <c r="K607" s="44">
        <v>112</v>
      </c>
      <c r="L607" s="44">
        <v>407</v>
      </c>
      <c r="M607" s="44">
        <v>348</v>
      </c>
    </row>
    <row r="608" spans="1:13" x14ac:dyDescent="0.25">
      <c r="A608" s="45" t="s">
        <v>1682</v>
      </c>
      <c r="B608" s="44" t="s">
        <v>4092</v>
      </c>
      <c r="C608" s="47">
        <v>44250</v>
      </c>
      <c r="D608" s="44">
        <v>202103</v>
      </c>
      <c r="E608" s="44">
        <v>410.5</v>
      </c>
      <c r="F608" s="44">
        <v>410.5</v>
      </c>
      <c r="G608" s="44">
        <v>402.5</v>
      </c>
      <c r="H608" s="44">
        <v>407</v>
      </c>
      <c r="I608" s="44">
        <v>-5</v>
      </c>
      <c r="J608" s="44">
        <v>-1.21</v>
      </c>
      <c r="K608" s="44">
        <v>112</v>
      </c>
      <c r="L608" s="44">
        <v>407</v>
      </c>
      <c r="M608" s="44">
        <v>348</v>
      </c>
    </row>
    <row r="609" spans="1:13" x14ac:dyDescent="0.25">
      <c r="A609" s="45" t="s">
        <v>1683</v>
      </c>
      <c r="B609" s="44" t="s">
        <v>4093</v>
      </c>
      <c r="C609" s="47">
        <v>44250</v>
      </c>
      <c r="D609" s="44">
        <v>202104</v>
      </c>
      <c r="E609" s="44">
        <v>405.5</v>
      </c>
      <c r="F609" s="44">
        <v>405.5</v>
      </c>
      <c r="G609" s="44">
        <v>405.5</v>
      </c>
      <c r="H609" s="44">
        <v>405.5</v>
      </c>
      <c r="I609" s="44">
        <v>-5</v>
      </c>
      <c r="J609" s="44">
        <v>-1.22</v>
      </c>
      <c r="K609" s="44">
        <v>0</v>
      </c>
      <c r="L609" s="44">
        <v>405.5</v>
      </c>
      <c r="M609" s="44">
        <v>2</v>
      </c>
    </row>
    <row r="610" spans="1:13" x14ac:dyDescent="0.25">
      <c r="A610" s="45" t="s">
        <v>1684</v>
      </c>
      <c r="B610" s="44" t="s">
        <v>4094</v>
      </c>
      <c r="C610" s="47">
        <v>44250</v>
      </c>
      <c r="D610" s="44">
        <v>202104</v>
      </c>
      <c r="E610" s="44">
        <v>405.5</v>
      </c>
      <c r="F610" s="44">
        <v>405.5</v>
      </c>
      <c r="G610" s="44">
        <v>405.5</v>
      </c>
      <c r="H610" s="44">
        <v>405.5</v>
      </c>
      <c r="I610" s="44">
        <v>-5</v>
      </c>
      <c r="J610" s="44">
        <v>-1.22</v>
      </c>
      <c r="K610" s="44">
        <v>0</v>
      </c>
      <c r="L610" s="44">
        <v>405.5</v>
      </c>
      <c r="M610" s="44">
        <v>2</v>
      </c>
    </row>
    <row r="611" spans="1:13" x14ac:dyDescent="0.25">
      <c r="A611" s="45" t="s">
        <v>1685</v>
      </c>
      <c r="C611" s="47"/>
    </row>
    <row r="612" spans="1:13" x14ac:dyDescent="0.25">
      <c r="A612" s="45" t="s">
        <v>1686</v>
      </c>
      <c r="C612" s="47"/>
    </row>
    <row r="613" spans="1:13" x14ac:dyDescent="0.25">
      <c r="A613" s="45" t="s">
        <v>1687</v>
      </c>
      <c r="B613" s="44" t="s">
        <v>4095</v>
      </c>
      <c r="C613" s="47">
        <v>44250</v>
      </c>
      <c r="D613" s="44">
        <v>202103</v>
      </c>
      <c r="E613" s="44">
        <v>410.5</v>
      </c>
      <c r="F613" s="44">
        <v>410.5</v>
      </c>
      <c r="G613" s="44">
        <v>402.5</v>
      </c>
      <c r="H613" s="44">
        <v>407</v>
      </c>
      <c r="I613" s="44">
        <v>-5</v>
      </c>
      <c r="J613" s="44">
        <v>-1.21</v>
      </c>
      <c r="K613" s="44">
        <v>112</v>
      </c>
      <c r="L613" s="44">
        <v>407</v>
      </c>
      <c r="M613" s="44">
        <v>348</v>
      </c>
    </row>
    <row r="614" spans="1:13" x14ac:dyDescent="0.25">
      <c r="A614" s="45" t="s">
        <v>1688</v>
      </c>
      <c r="B614" s="44" t="s">
        <v>4096</v>
      </c>
      <c r="C614" s="47">
        <v>44250</v>
      </c>
      <c r="D614" s="44">
        <v>202106</v>
      </c>
      <c r="E614" s="44">
        <v>406.5</v>
      </c>
      <c r="F614" s="44">
        <v>406.5</v>
      </c>
      <c r="G614" s="44">
        <v>406.5</v>
      </c>
      <c r="H614" s="44">
        <v>406.5</v>
      </c>
      <c r="I614" s="44">
        <v>-5</v>
      </c>
      <c r="J614" s="44">
        <v>-1.22</v>
      </c>
      <c r="K614" s="44">
        <v>0</v>
      </c>
      <c r="L614" s="44">
        <v>406.5</v>
      </c>
      <c r="M614" s="44">
        <v>1</v>
      </c>
    </row>
    <row r="615" spans="1:13" x14ac:dyDescent="0.25">
      <c r="A615" s="45" t="s">
        <v>1689</v>
      </c>
      <c r="B615" s="44" t="s">
        <v>4097</v>
      </c>
      <c r="C615" s="47">
        <v>44250</v>
      </c>
      <c r="D615" s="44">
        <v>202109</v>
      </c>
      <c r="E615" s="44">
        <v>406.5</v>
      </c>
      <c r="F615" s="44">
        <v>406.5</v>
      </c>
      <c r="G615" s="44">
        <v>406.5</v>
      </c>
      <c r="H615" s="44">
        <v>406.5</v>
      </c>
      <c r="I615" s="44">
        <v>-5</v>
      </c>
      <c r="J615" s="44">
        <v>-1.22</v>
      </c>
      <c r="K615" s="44">
        <v>0</v>
      </c>
      <c r="L615" s="44">
        <v>406.5</v>
      </c>
      <c r="M615" s="44">
        <v>0</v>
      </c>
    </row>
    <row r="616" spans="1:13" x14ac:dyDescent="0.25">
      <c r="A616" s="45" t="s">
        <v>1690</v>
      </c>
      <c r="B616" s="44" t="s">
        <v>4098</v>
      </c>
      <c r="C616" s="47">
        <v>44250</v>
      </c>
      <c r="D616" s="44">
        <v>202112</v>
      </c>
      <c r="E616" s="44">
        <v>403</v>
      </c>
      <c r="F616" s="44">
        <v>403</v>
      </c>
      <c r="G616" s="44">
        <v>403</v>
      </c>
      <c r="H616" s="44">
        <v>403</v>
      </c>
      <c r="I616" s="44">
        <v>-5</v>
      </c>
      <c r="J616" s="44">
        <v>-1.23</v>
      </c>
      <c r="K616" s="44">
        <v>0</v>
      </c>
      <c r="L616" s="44">
        <v>403</v>
      </c>
      <c r="M616" s="44">
        <v>0</v>
      </c>
    </row>
    <row r="617" spans="1:13" x14ac:dyDescent="0.25">
      <c r="A617" s="45" t="s">
        <v>917</v>
      </c>
      <c r="B617" s="44" t="s">
        <v>4099</v>
      </c>
      <c r="C617" s="47">
        <v>44250</v>
      </c>
      <c r="D617" s="44">
        <v>202103</v>
      </c>
      <c r="E617" s="44">
        <v>314.5</v>
      </c>
      <c r="F617" s="44">
        <v>317</v>
      </c>
      <c r="G617" s="44">
        <v>314</v>
      </c>
      <c r="H617" s="44">
        <v>317</v>
      </c>
      <c r="I617" s="44">
        <v>-1</v>
      </c>
      <c r="J617" s="44">
        <v>-0.31</v>
      </c>
      <c r="K617" s="44">
        <v>4</v>
      </c>
      <c r="L617" s="44">
        <v>317</v>
      </c>
      <c r="M617" s="44">
        <v>8</v>
      </c>
    </row>
    <row r="618" spans="1:13" x14ac:dyDescent="0.25">
      <c r="A618" s="45" t="s">
        <v>1691</v>
      </c>
      <c r="B618" s="44" t="s">
        <v>4100</v>
      </c>
      <c r="C618" s="47">
        <v>44250</v>
      </c>
      <c r="D618" s="44">
        <v>202103</v>
      </c>
      <c r="E618" s="44">
        <v>314.5</v>
      </c>
      <c r="F618" s="44">
        <v>317</v>
      </c>
      <c r="G618" s="44">
        <v>314</v>
      </c>
      <c r="H618" s="44">
        <v>317</v>
      </c>
      <c r="I618" s="44">
        <v>-1</v>
      </c>
      <c r="J618" s="44">
        <v>-0.31</v>
      </c>
      <c r="K618" s="44">
        <v>4</v>
      </c>
      <c r="L618" s="44">
        <v>317</v>
      </c>
      <c r="M618" s="44">
        <v>8</v>
      </c>
    </row>
    <row r="619" spans="1:13" x14ac:dyDescent="0.25">
      <c r="A619" s="45" t="s">
        <v>1692</v>
      </c>
      <c r="B619" s="44" t="s">
        <v>4101</v>
      </c>
      <c r="C619" s="47">
        <v>44250</v>
      </c>
      <c r="D619" s="44">
        <v>202104</v>
      </c>
      <c r="E619" s="44">
        <v>320.5</v>
      </c>
      <c r="F619" s="44">
        <v>320.5</v>
      </c>
      <c r="G619" s="44">
        <v>320.5</v>
      </c>
      <c r="H619" s="44">
        <v>320.5</v>
      </c>
      <c r="I619" s="44">
        <v>-1</v>
      </c>
      <c r="J619" s="44">
        <v>-0.31</v>
      </c>
      <c r="K619" s="44">
        <v>0</v>
      </c>
      <c r="L619" s="44">
        <v>320.5</v>
      </c>
      <c r="M619" s="44">
        <v>0</v>
      </c>
    </row>
    <row r="620" spans="1:13" x14ac:dyDescent="0.25">
      <c r="A620" s="45" t="s">
        <v>1693</v>
      </c>
      <c r="B620" s="44" t="s">
        <v>4102</v>
      </c>
      <c r="C620" s="47">
        <v>44250</v>
      </c>
      <c r="D620" s="44">
        <v>202104</v>
      </c>
      <c r="E620" s="44">
        <v>320.5</v>
      </c>
      <c r="F620" s="44">
        <v>320.5</v>
      </c>
      <c r="G620" s="44">
        <v>320.5</v>
      </c>
      <c r="H620" s="44">
        <v>320.5</v>
      </c>
      <c r="I620" s="44">
        <v>-1</v>
      </c>
      <c r="J620" s="44">
        <v>-0.31</v>
      </c>
      <c r="K620" s="44">
        <v>0</v>
      </c>
      <c r="L620" s="44">
        <v>320.5</v>
      </c>
      <c r="M620" s="44">
        <v>0</v>
      </c>
    </row>
    <row r="621" spans="1:13" x14ac:dyDescent="0.25">
      <c r="A621" s="45" t="s">
        <v>1694</v>
      </c>
      <c r="C621" s="47"/>
    </row>
    <row r="622" spans="1:13" x14ac:dyDescent="0.25">
      <c r="A622" s="45" t="s">
        <v>1695</v>
      </c>
      <c r="B622" s="44" t="s">
        <v>4103</v>
      </c>
      <c r="C622" s="47">
        <v>44250</v>
      </c>
      <c r="D622" s="44">
        <v>202103</v>
      </c>
      <c r="E622" s="44">
        <v>314.5</v>
      </c>
      <c r="F622" s="44">
        <v>317</v>
      </c>
      <c r="G622" s="44">
        <v>314</v>
      </c>
      <c r="H622" s="44">
        <v>317</v>
      </c>
      <c r="I622" s="44">
        <v>-1</v>
      </c>
      <c r="J622" s="44">
        <v>-0.31</v>
      </c>
      <c r="K622" s="44">
        <v>4</v>
      </c>
      <c r="L622" s="44">
        <v>317</v>
      </c>
      <c r="M622" s="44">
        <v>8</v>
      </c>
    </row>
    <row r="623" spans="1:13" x14ac:dyDescent="0.25">
      <c r="A623" s="45" t="s">
        <v>1696</v>
      </c>
      <c r="B623" s="44" t="s">
        <v>4104</v>
      </c>
      <c r="C623" s="47">
        <v>44250</v>
      </c>
      <c r="D623" s="44">
        <v>202106</v>
      </c>
      <c r="E623" s="44">
        <v>317</v>
      </c>
      <c r="F623" s="44">
        <v>317</v>
      </c>
      <c r="G623" s="44">
        <v>317</v>
      </c>
      <c r="H623" s="44">
        <v>317</v>
      </c>
      <c r="I623" s="44">
        <v>-1</v>
      </c>
      <c r="J623" s="44">
        <v>-0.31</v>
      </c>
      <c r="K623" s="44">
        <v>0</v>
      </c>
      <c r="L623" s="44">
        <v>317</v>
      </c>
      <c r="M623" s="44">
        <v>0</v>
      </c>
    </row>
    <row r="624" spans="1:13" x14ac:dyDescent="0.25">
      <c r="A624" s="45" t="s">
        <v>1697</v>
      </c>
      <c r="B624" s="44" t="s">
        <v>4105</v>
      </c>
      <c r="C624" s="47">
        <v>44250</v>
      </c>
      <c r="D624" s="44">
        <v>202109</v>
      </c>
      <c r="E624" s="44">
        <v>318.5</v>
      </c>
      <c r="F624" s="44">
        <v>318.5</v>
      </c>
      <c r="G624" s="44">
        <v>318.5</v>
      </c>
      <c r="H624" s="44">
        <v>318.5</v>
      </c>
      <c r="I624" s="44">
        <v>-1</v>
      </c>
      <c r="J624" s="44">
        <v>-0.31</v>
      </c>
      <c r="K624" s="44">
        <v>0</v>
      </c>
      <c r="L624" s="44">
        <v>318.5</v>
      </c>
      <c r="M624" s="44">
        <v>0</v>
      </c>
    </row>
    <row r="625" spans="1:13" x14ac:dyDescent="0.25">
      <c r="A625" s="45" t="s">
        <v>1698</v>
      </c>
      <c r="B625" s="44" t="s">
        <v>4106</v>
      </c>
      <c r="C625" s="47">
        <v>44250</v>
      </c>
      <c r="D625" s="44">
        <v>202112</v>
      </c>
      <c r="E625" s="44">
        <v>320</v>
      </c>
      <c r="F625" s="44">
        <v>320</v>
      </c>
      <c r="G625" s="44">
        <v>320</v>
      </c>
      <c r="H625" s="44">
        <v>320</v>
      </c>
      <c r="I625" s="44">
        <v>-1</v>
      </c>
      <c r="J625" s="44">
        <v>-0.31</v>
      </c>
      <c r="K625" s="44">
        <v>0</v>
      </c>
      <c r="L625" s="44">
        <v>320</v>
      </c>
      <c r="M625" s="44">
        <v>0</v>
      </c>
    </row>
    <row r="626" spans="1:13" x14ac:dyDescent="0.25">
      <c r="A626" s="45" t="s">
        <v>918</v>
      </c>
      <c r="B626" s="44" t="s">
        <v>4107</v>
      </c>
      <c r="C626" s="47">
        <v>44250</v>
      </c>
      <c r="D626" s="44">
        <v>202103</v>
      </c>
      <c r="E626" s="44">
        <v>43.7</v>
      </c>
      <c r="F626" s="44">
        <v>45.05</v>
      </c>
      <c r="G626" s="44">
        <v>43.25</v>
      </c>
      <c r="H626" s="44">
        <v>45</v>
      </c>
      <c r="I626" s="44">
        <v>1.3</v>
      </c>
      <c r="J626" s="44">
        <v>2.97</v>
      </c>
      <c r="K626" s="44">
        <v>115</v>
      </c>
      <c r="L626" s="44">
        <v>45</v>
      </c>
      <c r="M626" s="44">
        <v>508</v>
      </c>
    </row>
    <row r="627" spans="1:13" x14ac:dyDescent="0.25">
      <c r="A627" s="45" t="s">
        <v>1699</v>
      </c>
      <c r="B627" s="44" t="s">
        <v>4108</v>
      </c>
      <c r="C627" s="47">
        <v>44250</v>
      </c>
      <c r="D627" s="44">
        <v>202103</v>
      </c>
      <c r="E627" s="44">
        <v>43.7</v>
      </c>
      <c r="F627" s="44">
        <v>45.05</v>
      </c>
      <c r="G627" s="44">
        <v>43.25</v>
      </c>
      <c r="H627" s="44">
        <v>45</v>
      </c>
      <c r="I627" s="44">
        <v>1.3</v>
      </c>
      <c r="J627" s="44">
        <v>2.97</v>
      </c>
      <c r="K627" s="44">
        <v>115</v>
      </c>
      <c r="L627" s="44">
        <v>45</v>
      </c>
      <c r="M627" s="44">
        <v>508</v>
      </c>
    </row>
    <row r="628" spans="1:13" x14ac:dyDescent="0.25">
      <c r="A628" s="45" t="s">
        <v>1700</v>
      </c>
      <c r="B628" s="44" t="s">
        <v>4109</v>
      </c>
      <c r="C628" s="47">
        <v>44250</v>
      </c>
      <c r="D628" s="44">
        <v>202104</v>
      </c>
      <c r="E628" s="44">
        <v>43.25</v>
      </c>
      <c r="F628" s="44">
        <v>44.8</v>
      </c>
      <c r="G628" s="44">
        <v>43.25</v>
      </c>
      <c r="H628" s="44">
        <v>44.8</v>
      </c>
      <c r="I628" s="44">
        <v>1.1499999999999999</v>
      </c>
      <c r="J628" s="44">
        <v>2.63</v>
      </c>
      <c r="K628" s="44">
        <v>52</v>
      </c>
      <c r="L628" s="44">
        <v>44.8</v>
      </c>
      <c r="M628" s="44">
        <v>637</v>
      </c>
    </row>
    <row r="629" spans="1:13" x14ac:dyDescent="0.25">
      <c r="A629" s="45" t="s">
        <v>1701</v>
      </c>
      <c r="B629" s="44" t="s">
        <v>4110</v>
      </c>
      <c r="C629" s="47">
        <v>44250</v>
      </c>
      <c r="D629" s="44">
        <v>202104</v>
      </c>
      <c r="E629" s="44">
        <v>43.25</v>
      </c>
      <c r="F629" s="44">
        <v>44.8</v>
      </c>
      <c r="G629" s="44">
        <v>43.25</v>
      </c>
      <c r="H629" s="44">
        <v>44.8</v>
      </c>
      <c r="I629" s="44">
        <v>1.1499999999999999</v>
      </c>
      <c r="J629" s="44">
        <v>2.63</v>
      </c>
      <c r="K629" s="44">
        <v>52</v>
      </c>
      <c r="L629" s="44">
        <v>44.8</v>
      </c>
      <c r="M629" s="44">
        <v>637</v>
      </c>
    </row>
    <row r="630" spans="1:13" x14ac:dyDescent="0.25">
      <c r="A630" s="45" t="s">
        <v>1702</v>
      </c>
      <c r="C630" s="47"/>
    </row>
    <row r="631" spans="1:13" x14ac:dyDescent="0.25">
      <c r="A631" s="45" t="s">
        <v>1703</v>
      </c>
      <c r="C631" s="47"/>
    </row>
    <row r="632" spans="1:13" x14ac:dyDescent="0.25">
      <c r="A632" s="45" t="s">
        <v>1704</v>
      </c>
      <c r="B632" s="44" t="s">
        <v>4111</v>
      </c>
      <c r="C632" s="47">
        <v>44250</v>
      </c>
      <c r="D632" s="44">
        <v>202103</v>
      </c>
      <c r="E632" s="44">
        <v>43.7</v>
      </c>
      <c r="F632" s="44">
        <v>45.05</v>
      </c>
      <c r="G632" s="44">
        <v>43.25</v>
      </c>
      <c r="H632" s="44">
        <v>45</v>
      </c>
      <c r="I632" s="44">
        <v>1.3</v>
      </c>
      <c r="J632" s="44">
        <v>2.97</v>
      </c>
      <c r="K632" s="44">
        <v>115</v>
      </c>
      <c r="L632" s="44">
        <v>45</v>
      </c>
      <c r="M632" s="44">
        <v>508</v>
      </c>
    </row>
    <row r="633" spans="1:13" x14ac:dyDescent="0.25">
      <c r="A633" s="45" t="s">
        <v>1705</v>
      </c>
      <c r="B633" s="44" t="s">
        <v>4112</v>
      </c>
      <c r="C633" s="47">
        <v>44250</v>
      </c>
      <c r="D633" s="44">
        <v>202106</v>
      </c>
      <c r="E633" s="44">
        <v>44.95</v>
      </c>
      <c r="F633" s="44">
        <v>44.95</v>
      </c>
      <c r="G633" s="44">
        <v>44.95</v>
      </c>
      <c r="H633" s="44">
        <v>44.95</v>
      </c>
      <c r="I633" s="44">
        <v>1.3</v>
      </c>
      <c r="J633" s="44">
        <v>2.98</v>
      </c>
      <c r="K633" s="44">
        <v>0</v>
      </c>
      <c r="L633" s="44">
        <v>44.95</v>
      </c>
      <c r="M633" s="44">
        <v>2</v>
      </c>
    </row>
    <row r="634" spans="1:13" x14ac:dyDescent="0.25">
      <c r="A634" s="45" t="s">
        <v>1706</v>
      </c>
      <c r="B634" s="44" t="s">
        <v>4113</v>
      </c>
      <c r="C634" s="47">
        <v>44250</v>
      </c>
      <c r="D634" s="44">
        <v>202109</v>
      </c>
      <c r="E634" s="44">
        <v>45.45</v>
      </c>
      <c r="F634" s="44">
        <v>45.45</v>
      </c>
      <c r="G634" s="44">
        <v>45.45</v>
      </c>
      <c r="H634" s="44">
        <v>45.45</v>
      </c>
      <c r="I634" s="44">
        <v>1.3</v>
      </c>
      <c r="J634" s="44">
        <v>2.94</v>
      </c>
      <c r="K634" s="44">
        <v>0</v>
      </c>
      <c r="L634" s="44">
        <v>45.45</v>
      </c>
      <c r="M634" s="44">
        <v>0</v>
      </c>
    </row>
    <row r="635" spans="1:13" x14ac:dyDescent="0.25">
      <c r="A635" s="45" t="s">
        <v>1707</v>
      </c>
      <c r="B635" s="44" t="s">
        <v>4114</v>
      </c>
      <c r="C635" s="47">
        <v>44250</v>
      </c>
      <c r="D635" s="44">
        <v>202112</v>
      </c>
      <c r="E635" s="44">
        <v>45.4</v>
      </c>
      <c r="F635" s="44">
        <v>45.4</v>
      </c>
      <c r="G635" s="44">
        <v>45.4</v>
      </c>
      <c r="H635" s="44">
        <v>45.4</v>
      </c>
      <c r="I635" s="44">
        <v>1.3</v>
      </c>
      <c r="J635" s="44">
        <v>2.95</v>
      </c>
      <c r="K635" s="44">
        <v>0</v>
      </c>
      <c r="L635" s="44">
        <v>45.4</v>
      </c>
      <c r="M635" s="44">
        <v>0</v>
      </c>
    </row>
    <row r="636" spans="1:13" x14ac:dyDescent="0.25">
      <c r="A636" s="45" t="s">
        <v>920</v>
      </c>
      <c r="B636" s="44" t="s">
        <v>4115</v>
      </c>
      <c r="C636" s="47">
        <v>44250</v>
      </c>
      <c r="D636" s="44">
        <v>202103</v>
      </c>
      <c r="E636" s="44">
        <v>42.7</v>
      </c>
      <c r="F636" s="44">
        <v>43.9</v>
      </c>
      <c r="G636" s="44">
        <v>42.25</v>
      </c>
      <c r="H636" s="44">
        <v>43.9</v>
      </c>
      <c r="I636" s="44">
        <v>0.85</v>
      </c>
      <c r="J636" s="44">
        <v>1.97</v>
      </c>
      <c r="K636" s="44">
        <v>302</v>
      </c>
      <c r="L636" s="44">
        <v>43.85</v>
      </c>
      <c r="M636" s="44">
        <v>500</v>
      </c>
    </row>
    <row r="637" spans="1:13" x14ac:dyDescent="0.25">
      <c r="A637" s="45" t="s">
        <v>1708</v>
      </c>
      <c r="B637" s="44" t="s">
        <v>4116</v>
      </c>
      <c r="C637" s="47">
        <v>44250</v>
      </c>
      <c r="D637" s="44">
        <v>202103</v>
      </c>
      <c r="E637" s="44">
        <v>42.7</v>
      </c>
      <c r="F637" s="44">
        <v>43.9</v>
      </c>
      <c r="G637" s="44">
        <v>42.25</v>
      </c>
      <c r="H637" s="44">
        <v>43.9</v>
      </c>
      <c r="I637" s="44">
        <v>0.85</v>
      </c>
      <c r="J637" s="44">
        <v>1.97</v>
      </c>
      <c r="K637" s="44">
        <v>302</v>
      </c>
      <c r="L637" s="44">
        <v>43.85</v>
      </c>
      <c r="M637" s="44">
        <v>500</v>
      </c>
    </row>
    <row r="638" spans="1:13" x14ac:dyDescent="0.25">
      <c r="A638" s="45" t="s">
        <v>1709</v>
      </c>
      <c r="B638" s="44" t="s">
        <v>4117</v>
      </c>
      <c r="C638" s="47">
        <v>44250</v>
      </c>
      <c r="D638" s="44">
        <v>202104</v>
      </c>
      <c r="E638" s="44">
        <v>42.65</v>
      </c>
      <c r="F638" s="44">
        <v>43.8</v>
      </c>
      <c r="G638" s="44">
        <v>42.65</v>
      </c>
      <c r="H638" s="44">
        <v>43.7</v>
      </c>
      <c r="I638" s="44">
        <v>0.7</v>
      </c>
      <c r="J638" s="44">
        <v>1.63</v>
      </c>
      <c r="K638" s="44">
        <v>28</v>
      </c>
      <c r="L638" s="44">
        <v>43.7</v>
      </c>
      <c r="M638" s="44">
        <v>22</v>
      </c>
    </row>
    <row r="639" spans="1:13" x14ac:dyDescent="0.25">
      <c r="A639" s="45" t="s">
        <v>1710</v>
      </c>
      <c r="B639" s="44" t="s">
        <v>4118</v>
      </c>
      <c r="C639" s="47">
        <v>44250</v>
      </c>
      <c r="D639" s="44">
        <v>202104</v>
      </c>
      <c r="E639" s="44">
        <v>42.65</v>
      </c>
      <c r="F639" s="44">
        <v>43.8</v>
      </c>
      <c r="G639" s="44">
        <v>42.65</v>
      </c>
      <c r="H639" s="44">
        <v>43.7</v>
      </c>
      <c r="I639" s="44">
        <v>0.7</v>
      </c>
      <c r="J639" s="44">
        <v>1.63</v>
      </c>
      <c r="K639" s="44">
        <v>28</v>
      </c>
      <c r="L639" s="44">
        <v>43.7</v>
      </c>
      <c r="M639" s="44">
        <v>22</v>
      </c>
    </row>
    <row r="640" spans="1:13" x14ac:dyDescent="0.25">
      <c r="A640" s="45" t="s">
        <v>1711</v>
      </c>
      <c r="C640" s="47"/>
    </row>
    <row r="641" spans="1:13" x14ac:dyDescent="0.25">
      <c r="A641" s="45" t="s">
        <v>1712</v>
      </c>
      <c r="C641" s="47"/>
    </row>
    <row r="642" spans="1:13" x14ac:dyDescent="0.25">
      <c r="A642" s="45" t="s">
        <v>1713</v>
      </c>
      <c r="B642" s="44" t="s">
        <v>4119</v>
      </c>
      <c r="C642" s="47">
        <v>44250</v>
      </c>
      <c r="D642" s="44">
        <v>202103</v>
      </c>
      <c r="E642" s="44">
        <v>42.7</v>
      </c>
      <c r="F642" s="44">
        <v>43.9</v>
      </c>
      <c r="G642" s="44">
        <v>42.25</v>
      </c>
      <c r="H642" s="44">
        <v>43.9</v>
      </c>
      <c r="I642" s="44">
        <v>0.85</v>
      </c>
      <c r="J642" s="44">
        <v>1.97</v>
      </c>
      <c r="K642" s="44">
        <v>302</v>
      </c>
      <c r="L642" s="44">
        <v>43.85</v>
      </c>
      <c r="M642" s="44">
        <v>500</v>
      </c>
    </row>
    <row r="643" spans="1:13" x14ac:dyDescent="0.25">
      <c r="A643" s="45" t="s">
        <v>1714</v>
      </c>
      <c r="B643" s="44" t="s">
        <v>4120</v>
      </c>
      <c r="C643" s="47">
        <v>44250</v>
      </c>
      <c r="D643" s="44">
        <v>202106</v>
      </c>
      <c r="E643" s="44">
        <v>43.75</v>
      </c>
      <c r="F643" s="44">
        <v>43.75</v>
      </c>
      <c r="G643" s="44">
        <v>43.75</v>
      </c>
      <c r="H643" s="44">
        <v>43.75</v>
      </c>
      <c r="I643" s="44">
        <v>0.8</v>
      </c>
      <c r="J643" s="44">
        <v>1.86</v>
      </c>
      <c r="K643" s="44">
        <v>0</v>
      </c>
      <c r="L643" s="44">
        <v>43.75</v>
      </c>
      <c r="M643" s="44">
        <v>0</v>
      </c>
    </row>
    <row r="644" spans="1:13" x14ac:dyDescent="0.25">
      <c r="A644" s="45" t="s">
        <v>1715</v>
      </c>
      <c r="B644" s="44" t="s">
        <v>4121</v>
      </c>
      <c r="C644" s="47">
        <v>44250</v>
      </c>
      <c r="D644" s="44">
        <v>202109</v>
      </c>
      <c r="E644" s="44">
        <v>43.75</v>
      </c>
      <c r="F644" s="44">
        <v>43.75</v>
      </c>
      <c r="G644" s="44">
        <v>43.75</v>
      </c>
      <c r="H644" s="44">
        <v>43.75</v>
      </c>
      <c r="I644" s="44">
        <v>0.8</v>
      </c>
      <c r="J644" s="44">
        <v>1.86</v>
      </c>
      <c r="K644" s="44">
        <v>0</v>
      </c>
      <c r="L644" s="44">
        <v>43.75</v>
      </c>
      <c r="M644" s="44">
        <v>0</v>
      </c>
    </row>
    <row r="645" spans="1:13" x14ac:dyDescent="0.25">
      <c r="A645" s="45" t="s">
        <v>1716</v>
      </c>
      <c r="B645" s="44" t="s">
        <v>4122</v>
      </c>
      <c r="C645" s="47">
        <v>44250</v>
      </c>
      <c r="D645" s="44">
        <v>202112</v>
      </c>
      <c r="E645" s="44">
        <v>43.95</v>
      </c>
      <c r="F645" s="44">
        <v>43.95</v>
      </c>
      <c r="G645" s="44">
        <v>43.95</v>
      </c>
      <c r="H645" s="44">
        <v>43.95</v>
      </c>
      <c r="I645" s="44">
        <v>0.8</v>
      </c>
      <c r="J645" s="44">
        <v>1.85</v>
      </c>
      <c r="K645" s="44">
        <v>0</v>
      </c>
      <c r="L645" s="44">
        <v>43.95</v>
      </c>
      <c r="M645" s="44">
        <v>0</v>
      </c>
    </row>
    <row r="646" spans="1:13" x14ac:dyDescent="0.25">
      <c r="A646" s="45" t="s">
        <v>922</v>
      </c>
      <c r="B646" s="44" t="s">
        <v>4123</v>
      </c>
      <c r="C646" s="47">
        <v>44250</v>
      </c>
      <c r="D646" s="44">
        <v>202103</v>
      </c>
      <c r="E646" s="44">
        <v>60.5</v>
      </c>
      <c r="F646" s="44">
        <v>61.1</v>
      </c>
      <c r="G646" s="44">
        <v>59.4</v>
      </c>
      <c r="H646" s="44">
        <v>60.7</v>
      </c>
      <c r="I646" s="44">
        <v>-0.5</v>
      </c>
      <c r="J646" s="44">
        <v>-0.82</v>
      </c>
      <c r="K646" s="44">
        <v>45</v>
      </c>
      <c r="L646" s="44">
        <v>60.7</v>
      </c>
      <c r="M646" s="44">
        <v>165</v>
      </c>
    </row>
    <row r="647" spans="1:13" x14ac:dyDescent="0.25">
      <c r="A647" s="45" t="s">
        <v>1717</v>
      </c>
      <c r="B647" s="44" t="s">
        <v>4124</v>
      </c>
      <c r="C647" s="47">
        <v>44250</v>
      </c>
      <c r="D647" s="44">
        <v>202103</v>
      </c>
      <c r="E647" s="44">
        <v>60.5</v>
      </c>
      <c r="F647" s="44">
        <v>61.1</v>
      </c>
      <c r="G647" s="44">
        <v>59.4</v>
      </c>
      <c r="H647" s="44">
        <v>60.7</v>
      </c>
      <c r="I647" s="44">
        <v>-0.5</v>
      </c>
      <c r="J647" s="44">
        <v>-0.82</v>
      </c>
      <c r="K647" s="44">
        <v>45</v>
      </c>
      <c r="L647" s="44">
        <v>60.7</v>
      </c>
      <c r="M647" s="44">
        <v>165</v>
      </c>
    </row>
    <row r="648" spans="1:13" x14ac:dyDescent="0.25">
      <c r="A648" s="45" t="s">
        <v>1718</v>
      </c>
      <c r="B648" s="44" t="s">
        <v>4125</v>
      </c>
      <c r="C648" s="47">
        <v>44250</v>
      </c>
      <c r="D648" s="44">
        <v>202104</v>
      </c>
      <c r="E648" s="44">
        <v>60.8</v>
      </c>
      <c r="F648" s="44">
        <v>60.8</v>
      </c>
      <c r="G648" s="44">
        <v>60.8</v>
      </c>
      <c r="H648" s="44">
        <v>60.8</v>
      </c>
      <c r="I648" s="44">
        <v>-0.1</v>
      </c>
      <c r="J648" s="44">
        <v>-0.16</v>
      </c>
      <c r="K648" s="44">
        <v>1</v>
      </c>
      <c r="L648" s="44">
        <v>60.8</v>
      </c>
      <c r="M648" s="44">
        <v>61</v>
      </c>
    </row>
    <row r="649" spans="1:13" x14ac:dyDescent="0.25">
      <c r="A649" s="45" t="s">
        <v>1719</v>
      </c>
      <c r="B649" s="44" t="s">
        <v>4126</v>
      </c>
      <c r="C649" s="47">
        <v>44250</v>
      </c>
      <c r="D649" s="44">
        <v>202104</v>
      </c>
      <c r="E649" s="44">
        <v>60.8</v>
      </c>
      <c r="F649" s="44">
        <v>60.8</v>
      </c>
      <c r="G649" s="44">
        <v>60.8</v>
      </c>
      <c r="H649" s="44">
        <v>60.8</v>
      </c>
      <c r="I649" s="44">
        <v>-0.1</v>
      </c>
      <c r="J649" s="44">
        <v>-0.16</v>
      </c>
      <c r="K649" s="44">
        <v>1</v>
      </c>
      <c r="L649" s="44">
        <v>60.8</v>
      </c>
      <c r="M649" s="44">
        <v>61</v>
      </c>
    </row>
    <row r="650" spans="1:13" x14ac:dyDescent="0.25">
      <c r="A650" s="45" t="s">
        <v>1720</v>
      </c>
      <c r="C650" s="47"/>
    </row>
    <row r="651" spans="1:13" x14ac:dyDescent="0.25">
      <c r="A651" s="45" t="s">
        <v>1721</v>
      </c>
      <c r="C651" s="47"/>
    </row>
    <row r="652" spans="1:13" x14ac:dyDescent="0.25">
      <c r="A652" s="45" t="s">
        <v>1722</v>
      </c>
      <c r="B652" s="44" t="s">
        <v>4127</v>
      </c>
      <c r="C652" s="47">
        <v>44250</v>
      </c>
      <c r="D652" s="44">
        <v>202103</v>
      </c>
      <c r="E652" s="44">
        <v>60.5</v>
      </c>
      <c r="F652" s="44">
        <v>61.1</v>
      </c>
      <c r="G652" s="44">
        <v>59.4</v>
      </c>
      <c r="H652" s="44">
        <v>60.7</v>
      </c>
      <c r="I652" s="44">
        <v>-0.5</v>
      </c>
      <c r="J652" s="44">
        <v>-0.82</v>
      </c>
      <c r="K652" s="44">
        <v>45</v>
      </c>
      <c r="L652" s="44">
        <v>60.7</v>
      </c>
      <c r="M652" s="44">
        <v>165</v>
      </c>
    </row>
    <row r="653" spans="1:13" x14ac:dyDescent="0.25">
      <c r="A653" s="45" t="s">
        <v>1723</v>
      </c>
      <c r="B653" s="44" t="s">
        <v>4128</v>
      </c>
      <c r="C653" s="47">
        <v>44250</v>
      </c>
      <c r="D653" s="44">
        <v>202106</v>
      </c>
      <c r="E653" s="44">
        <v>60.3</v>
      </c>
      <c r="F653" s="44">
        <v>60.3</v>
      </c>
      <c r="G653" s="44">
        <v>60.3</v>
      </c>
      <c r="H653" s="44">
        <v>60.3</v>
      </c>
      <c r="I653" s="44">
        <v>-0.5</v>
      </c>
      <c r="J653" s="44">
        <v>-0.82</v>
      </c>
      <c r="K653" s="44">
        <v>0</v>
      </c>
      <c r="L653" s="44">
        <v>60.3</v>
      </c>
      <c r="M653" s="44">
        <v>0</v>
      </c>
    </row>
    <row r="654" spans="1:13" x14ac:dyDescent="0.25">
      <c r="A654" s="45" t="s">
        <v>1724</v>
      </c>
      <c r="B654" s="44" t="s">
        <v>4129</v>
      </c>
      <c r="C654" s="47">
        <v>44250</v>
      </c>
      <c r="D654" s="44">
        <v>202109</v>
      </c>
      <c r="E654" s="44">
        <v>61</v>
      </c>
      <c r="F654" s="44">
        <v>61</v>
      </c>
      <c r="G654" s="44">
        <v>61</v>
      </c>
      <c r="H654" s="44">
        <v>61</v>
      </c>
      <c r="I654" s="44">
        <v>-0.5</v>
      </c>
      <c r="J654" s="44">
        <v>-0.81</v>
      </c>
      <c r="K654" s="44">
        <v>0</v>
      </c>
      <c r="L654" s="44">
        <v>61</v>
      </c>
      <c r="M654" s="44">
        <v>0</v>
      </c>
    </row>
    <row r="655" spans="1:13" x14ac:dyDescent="0.25">
      <c r="A655" s="45" t="s">
        <v>1725</v>
      </c>
      <c r="B655" s="44" t="s">
        <v>4130</v>
      </c>
      <c r="C655" s="47">
        <v>44250</v>
      </c>
      <c r="D655" s="44">
        <v>202112</v>
      </c>
      <c r="E655" s="44">
        <v>61.4</v>
      </c>
      <c r="F655" s="44">
        <v>61.4</v>
      </c>
      <c r="G655" s="44">
        <v>61.4</v>
      </c>
      <c r="H655" s="44">
        <v>61.4</v>
      </c>
      <c r="I655" s="44">
        <v>-0.5</v>
      </c>
      <c r="J655" s="44">
        <v>-0.81</v>
      </c>
      <c r="K655" s="44">
        <v>0</v>
      </c>
      <c r="L655" s="44">
        <v>61.4</v>
      </c>
      <c r="M655" s="44">
        <v>0</v>
      </c>
    </row>
    <row r="656" spans="1:13" x14ac:dyDescent="0.25">
      <c r="A656" s="45" t="s">
        <v>924</v>
      </c>
      <c r="B656" s="44" t="s">
        <v>4131</v>
      </c>
      <c r="C656" s="47">
        <v>44250</v>
      </c>
      <c r="D656" s="44">
        <v>202103</v>
      </c>
      <c r="E656" s="44">
        <v>299</v>
      </c>
      <c r="F656" s="44">
        <v>304</v>
      </c>
      <c r="G656" s="44">
        <v>295</v>
      </c>
      <c r="H656" s="44">
        <v>303.5</v>
      </c>
      <c r="I656" s="44">
        <v>2</v>
      </c>
      <c r="J656" s="44">
        <v>0.66</v>
      </c>
      <c r="K656" s="44">
        <v>371</v>
      </c>
      <c r="L656" s="44">
        <v>303.5</v>
      </c>
      <c r="M656" s="44">
        <v>2096</v>
      </c>
    </row>
    <row r="657" spans="1:13" x14ac:dyDescent="0.25">
      <c r="A657" s="45" t="s">
        <v>1726</v>
      </c>
      <c r="B657" s="44" t="s">
        <v>4132</v>
      </c>
      <c r="C657" s="47">
        <v>44250</v>
      </c>
      <c r="D657" s="44">
        <v>202103</v>
      </c>
      <c r="E657" s="44">
        <v>299</v>
      </c>
      <c r="F657" s="44">
        <v>304</v>
      </c>
      <c r="G657" s="44">
        <v>295</v>
      </c>
      <c r="H657" s="44">
        <v>303.5</v>
      </c>
      <c r="I657" s="44">
        <v>2</v>
      </c>
      <c r="J657" s="44">
        <v>0.66</v>
      </c>
      <c r="K657" s="44">
        <v>371</v>
      </c>
      <c r="L657" s="44">
        <v>303.5</v>
      </c>
      <c r="M657" s="44">
        <v>2096</v>
      </c>
    </row>
    <row r="658" spans="1:13" x14ac:dyDescent="0.25">
      <c r="A658" s="45" t="s">
        <v>1727</v>
      </c>
      <c r="B658" s="44" t="s">
        <v>4133</v>
      </c>
      <c r="C658" s="47">
        <v>44250</v>
      </c>
      <c r="D658" s="44">
        <v>202104</v>
      </c>
      <c r="E658" s="44">
        <v>300</v>
      </c>
      <c r="F658" s="44">
        <v>303</v>
      </c>
      <c r="G658" s="44">
        <v>299.5</v>
      </c>
      <c r="H658" s="44">
        <v>303</v>
      </c>
      <c r="I658" s="44">
        <v>2.5</v>
      </c>
      <c r="J658" s="44">
        <v>0.83</v>
      </c>
      <c r="K658" s="44">
        <v>65</v>
      </c>
      <c r="L658" s="44">
        <v>303</v>
      </c>
      <c r="M658" s="44">
        <v>138</v>
      </c>
    </row>
    <row r="659" spans="1:13" x14ac:dyDescent="0.25">
      <c r="A659" s="45" t="s">
        <v>1728</v>
      </c>
      <c r="B659" s="44" t="s">
        <v>4134</v>
      </c>
      <c r="C659" s="47">
        <v>44250</v>
      </c>
      <c r="D659" s="44">
        <v>202104</v>
      </c>
      <c r="E659" s="44">
        <v>300</v>
      </c>
      <c r="F659" s="44">
        <v>303</v>
      </c>
      <c r="G659" s="44">
        <v>299.5</v>
      </c>
      <c r="H659" s="44">
        <v>303</v>
      </c>
      <c r="I659" s="44">
        <v>2.5</v>
      </c>
      <c r="J659" s="44">
        <v>0.83</v>
      </c>
      <c r="K659" s="44">
        <v>65</v>
      </c>
      <c r="L659" s="44">
        <v>303</v>
      </c>
      <c r="M659" s="44">
        <v>138</v>
      </c>
    </row>
    <row r="660" spans="1:13" x14ac:dyDescent="0.25">
      <c r="A660" s="45" t="s">
        <v>1729</v>
      </c>
      <c r="C660" s="47"/>
    </row>
    <row r="661" spans="1:13" x14ac:dyDescent="0.25">
      <c r="A661" s="45" t="s">
        <v>1730</v>
      </c>
      <c r="C661" s="47"/>
    </row>
    <row r="662" spans="1:13" x14ac:dyDescent="0.25">
      <c r="A662" s="45" t="s">
        <v>1731</v>
      </c>
      <c r="B662" s="44" t="s">
        <v>4135</v>
      </c>
      <c r="C662" s="47">
        <v>44250</v>
      </c>
      <c r="D662" s="44">
        <v>202103</v>
      </c>
      <c r="E662" s="44">
        <v>299</v>
      </c>
      <c r="F662" s="44">
        <v>304</v>
      </c>
      <c r="G662" s="44">
        <v>295</v>
      </c>
      <c r="H662" s="44">
        <v>303.5</v>
      </c>
      <c r="I662" s="44">
        <v>2</v>
      </c>
      <c r="J662" s="44">
        <v>0.66</v>
      </c>
      <c r="K662" s="44">
        <v>371</v>
      </c>
      <c r="L662" s="44">
        <v>303.5</v>
      </c>
      <c r="M662" s="44">
        <v>2096</v>
      </c>
    </row>
    <row r="663" spans="1:13" x14ac:dyDescent="0.25">
      <c r="A663" s="45" t="s">
        <v>1732</v>
      </c>
      <c r="B663" s="44" t="s">
        <v>4136</v>
      </c>
      <c r="C663" s="47">
        <v>44250</v>
      </c>
      <c r="D663" s="44">
        <v>202106</v>
      </c>
      <c r="E663" s="44">
        <v>301.5</v>
      </c>
      <c r="F663" s="44">
        <v>301.5</v>
      </c>
      <c r="G663" s="44">
        <v>301.5</v>
      </c>
      <c r="H663" s="44">
        <v>301.5</v>
      </c>
      <c r="I663" s="44">
        <v>2</v>
      </c>
      <c r="J663" s="44">
        <v>0.67</v>
      </c>
      <c r="K663" s="44">
        <v>0</v>
      </c>
      <c r="L663" s="44">
        <v>301.5</v>
      </c>
      <c r="M663" s="44">
        <v>5</v>
      </c>
    </row>
    <row r="664" spans="1:13" x14ac:dyDescent="0.25">
      <c r="A664" s="45" t="s">
        <v>1733</v>
      </c>
      <c r="B664" s="44" t="s">
        <v>4137</v>
      </c>
      <c r="C664" s="47">
        <v>44250</v>
      </c>
      <c r="D664" s="44">
        <v>202109</v>
      </c>
      <c r="E664" s="44">
        <v>301.5</v>
      </c>
      <c r="F664" s="44">
        <v>301.5</v>
      </c>
      <c r="G664" s="44">
        <v>301.5</v>
      </c>
      <c r="H664" s="44">
        <v>301.5</v>
      </c>
      <c r="I664" s="44">
        <v>2</v>
      </c>
      <c r="J664" s="44">
        <v>0.67</v>
      </c>
      <c r="K664" s="44">
        <v>0</v>
      </c>
      <c r="L664" s="44">
        <v>301.5</v>
      </c>
      <c r="M664" s="44">
        <v>10</v>
      </c>
    </row>
    <row r="665" spans="1:13" x14ac:dyDescent="0.25">
      <c r="A665" s="45" t="s">
        <v>1734</v>
      </c>
      <c r="B665" s="44" t="s">
        <v>4138</v>
      </c>
      <c r="C665" s="47">
        <v>44250</v>
      </c>
      <c r="D665" s="44">
        <v>202112</v>
      </c>
      <c r="E665" s="44">
        <v>299</v>
      </c>
      <c r="F665" s="44">
        <v>299</v>
      </c>
      <c r="G665" s="44">
        <v>299</v>
      </c>
      <c r="H665" s="44">
        <v>299</v>
      </c>
      <c r="I665" s="44">
        <v>2</v>
      </c>
      <c r="J665" s="44">
        <v>0.67</v>
      </c>
      <c r="K665" s="44">
        <v>0</v>
      </c>
      <c r="L665" s="44">
        <v>299</v>
      </c>
      <c r="M665" s="44">
        <v>0</v>
      </c>
    </row>
    <row r="666" spans="1:13" x14ac:dyDescent="0.25">
      <c r="A666" s="45" t="s">
        <v>925</v>
      </c>
      <c r="B666" s="44" t="s">
        <v>4139</v>
      </c>
      <c r="C666" s="47">
        <v>44250</v>
      </c>
      <c r="D666" s="44">
        <v>202103</v>
      </c>
      <c r="E666" s="44">
        <v>45.1</v>
      </c>
      <c r="F666" s="44">
        <v>45.25</v>
      </c>
      <c r="G666" s="44">
        <v>44.8</v>
      </c>
      <c r="H666" s="44">
        <v>44.85</v>
      </c>
      <c r="I666" s="44">
        <v>-0.45</v>
      </c>
      <c r="J666" s="44">
        <v>-0.99</v>
      </c>
      <c r="K666" s="44">
        <v>339</v>
      </c>
      <c r="L666" s="44">
        <v>44.85</v>
      </c>
      <c r="M666" s="44">
        <v>1009</v>
      </c>
    </row>
    <row r="667" spans="1:13" x14ac:dyDescent="0.25">
      <c r="A667" s="45" t="s">
        <v>1735</v>
      </c>
      <c r="B667" s="44" t="s">
        <v>4140</v>
      </c>
      <c r="C667" s="47">
        <v>44250</v>
      </c>
      <c r="D667" s="44">
        <v>202103</v>
      </c>
      <c r="E667" s="44">
        <v>45.1</v>
      </c>
      <c r="F667" s="44">
        <v>45.25</v>
      </c>
      <c r="G667" s="44">
        <v>44.8</v>
      </c>
      <c r="H667" s="44">
        <v>44.85</v>
      </c>
      <c r="I667" s="44">
        <v>-0.45</v>
      </c>
      <c r="J667" s="44">
        <v>-0.99</v>
      </c>
      <c r="K667" s="44">
        <v>339</v>
      </c>
      <c r="L667" s="44">
        <v>44.85</v>
      </c>
      <c r="M667" s="44">
        <v>1009</v>
      </c>
    </row>
    <row r="668" spans="1:13" x14ac:dyDescent="0.25">
      <c r="A668" s="45" t="s">
        <v>1736</v>
      </c>
      <c r="B668" s="44" t="s">
        <v>4141</v>
      </c>
      <c r="C668" s="47">
        <v>44250</v>
      </c>
      <c r="D668" s="44">
        <v>202104</v>
      </c>
      <c r="E668" s="44">
        <v>45</v>
      </c>
      <c r="F668" s="44">
        <v>45.1</v>
      </c>
      <c r="G668" s="44">
        <v>44.75</v>
      </c>
      <c r="H668" s="44">
        <v>44.85</v>
      </c>
      <c r="I668" s="44">
        <v>-0.3</v>
      </c>
      <c r="J668" s="44">
        <v>-0.66</v>
      </c>
      <c r="K668" s="44">
        <v>18</v>
      </c>
      <c r="L668" s="44">
        <v>44.85</v>
      </c>
      <c r="M668" s="44">
        <v>236</v>
      </c>
    </row>
    <row r="669" spans="1:13" x14ac:dyDescent="0.25">
      <c r="A669" s="45" t="s">
        <v>1737</v>
      </c>
      <c r="B669" s="44" t="s">
        <v>4142</v>
      </c>
      <c r="C669" s="47">
        <v>44250</v>
      </c>
      <c r="D669" s="44">
        <v>202104</v>
      </c>
      <c r="E669" s="44">
        <v>45</v>
      </c>
      <c r="F669" s="44">
        <v>45.1</v>
      </c>
      <c r="G669" s="44">
        <v>44.75</v>
      </c>
      <c r="H669" s="44">
        <v>44.85</v>
      </c>
      <c r="I669" s="44">
        <v>-0.3</v>
      </c>
      <c r="J669" s="44">
        <v>-0.66</v>
      </c>
      <c r="K669" s="44">
        <v>18</v>
      </c>
      <c r="L669" s="44">
        <v>44.85</v>
      </c>
      <c r="M669" s="44">
        <v>236</v>
      </c>
    </row>
    <row r="670" spans="1:13" x14ac:dyDescent="0.25">
      <c r="A670" s="45" t="s">
        <v>1738</v>
      </c>
      <c r="C670" s="47"/>
    </row>
    <row r="671" spans="1:13" x14ac:dyDescent="0.25">
      <c r="A671" s="45" t="s">
        <v>1739</v>
      </c>
      <c r="C671" s="47"/>
    </row>
    <row r="672" spans="1:13" x14ac:dyDescent="0.25">
      <c r="A672" s="45" t="s">
        <v>1740</v>
      </c>
      <c r="B672" s="44" t="s">
        <v>4143</v>
      </c>
      <c r="C672" s="47">
        <v>44250</v>
      </c>
      <c r="D672" s="44">
        <v>202103</v>
      </c>
      <c r="E672" s="44">
        <v>45.1</v>
      </c>
      <c r="F672" s="44">
        <v>45.25</v>
      </c>
      <c r="G672" s="44">
        <v>44.8</v>
      </c>
      <c r="H672" s="44">
        <v>44.85</v>
      </c>
      <c r="I672" s="44">
        <v>-0.45</v>
      </c>
      <c r="J672" s="44">
        <v>-0.99</v>
      </c>
      <c r="K672" s="44">
        <v>339</v>
      </c>
      <c r="L672" s="44">
        <v>44.85</v>
      </c>
      <c r="M672" s="44">
        <v>1009</v>
      </c>
    </row>
    <row r="673" spans="1:13" x14ac:dyDescent="0.25">
      <c r="A673" s="45" t="s">
        <v>1741</v>
      </c>
      <c r="B673" s="44" t="s">
        <v>4144</v>
      </c>
      <c r="C673" s="47">
        <v>44250</v>
      </c>
      <c r="D673" s="44">
        <v>202106</v>
      </c>
      <c r="E673" s="44">
        <v>44.75</v>
      </c>
      <c r="F673" s="44">
        <v>44.75</v>
      </c>
      <c r="G673" s="44">
        <v>44.75</v>
      </c>
      <c r="H673" s="44">
        <v>44.75</v>
      </c>
      <c r="I673" s="44">
        <v>-0.45</v>
      </c>
      <c r="J673" s="44">
        <v>-1</v>
      </c>
      <c r="K673" s="44">
        <v>0</v>
      </c>
      <c r="L673" s="44">
        <v>44.75</v>
      </c>
      <c r="M673" s="44">
        <v>0</v>
      </c>
    </row>
    <row r="674" spans="1:13" x14ac:dyDescent="0.25">
      <c r="A674" s="45" t="s">
        <v>1742</v>
      </c>
      <c r="B674" s="44" t="s">
        <v>4145</v>
      </c>
      <c r="C674" s="47">
        <v>44250</v>
      </c>
      <c r="D674" s="44">
        <v>202109</v>
      </c>
      <c r="E674" s="44">
        <v>44.75</v>
      </c>
      <c r="F674" s="44">
        <v>44.75</v>
      </c>
      <c r="G674" s="44">
        <v>44.75</v>
      </c>
      <c r="H674" s="44">
        <v>44.75</v>
      </c>
      <c r="I674" s="44">
        <v>-0.45</v>
      </c>
      <c r="J674" s="44">
        <v>-1</v>
      </c>
      <c r="K674" s="44">
        <v>0</v>
      </c>
      <c r="L674" s="44">
        <v>44.75</v>
      </c>
      <c r="M674" s="44">
        <v>0</v>
      </c>
    </row>
    <row r="675" spans="1:13" x14ac:dyDescent="0.25">
      <c r="A675" s="45" t="s">
        <v>1743</v>
      </c>
      <c r="B675" s="44" t="s">
        <v>4146</v>
      </c>
      <c r="C675" s="47">
        <v>44250</v>
      </c>
      <c r="D675" s="44">
        <v>202112</v>
      </c>
      <c r="E675" s="44">
        <v>44.85</v>
      </c>
      <c r="F675" s="44">
        <v>44.85</v>
      </c>
      <c r="G675" s="44">
        <v>44.85</v>
      </c>
      <c r="H675" s="44">
        <v>44.85</v>
      </c>
      <c r="I675" s="44">
        <v>-0.45</v>
      </c>
      <c r="J675" s="44">
        <v>-0.99</v>
      </c>
      <c r="K675" s="44">
        <v>0</v>
      </c>
      <c r="L675" s="44">
        <v>44.85</v>
      </c>
      <c r="M675" s="44">
        <v>0</v>
      </c>
    </row>
    <row r="676" spans="1:13" x14ac:dyDescent="0.25">
      <c r="A676" s="45" t="s">
        <v>934</v>
      </c>
      <c r="B676" s="44" t="s">
        <v>4147</v>
      </c>
      <c r="C676" s="47">
        <v>44250</v>
      </c>
      <c r="D676" s="44">
        <v>202103</v>
      </c>
      <c r="E676" s="44">
        <v>28</v>
      </c>
      <c r="F676" s="44">
        <v>29.7</v>
      </c>
      <c r="G676" s="44">
        <v>27.55</v>
      </c>
      <c r="H676" s="44">
        <v>29.5</v>
      </c>
      <c r="I676" s="44">
        <v>1.2</v>
      </c>
      <c r="J676" s="44">
        <v>4.24</v>
      </c>
      <c r="K676" s="44">
        <v>1497</v>
      </c>
      <c r="L676" s="44">
        <v>29.45</v>
      </c>
      <c r="M676" s="44">
        <v>1251</v>
      </c>
    </row>
    <row r="677" spans="1:13" x14ac:dyDescent="0.25">
      <c r="A677" s="45" t="s">
        <v>1744</v>
      </c>
      <c r="B677" s="44" t="s">
        <v>4148</v>
      </c>
      <c r="C677" s="47">
        <v>44250</v>
      </c>
      <c r="D677" s="44">
        <v>202103</v>
      </c>
      <c r="E677" s="44">
        <v>28</v>
      </c>
      <c r="F677" s="44">
        <v>29.7</v>
      </c>
      <c r="G677" s="44">
        <v>27.55</v>
      </c>
      <c r="H677" s="44">
        <v>29.5</v>
      </c>
      <c r="I677" s="44">
        <v>1.2</v>
      </c>
      <c r="J677" s="44">
        <v>4.24</v>
      </c>
      <c r="K677" s="44">
        <v>1497</v>
      </c>
      <c r="L677" s="44">
        <v>29.45</v>
      </c>
      <c r="M677" s="44">
        <v>1251</v>
      </c>
    </row>
    <row r="678" spans="1:13" x14ac:dyDescent="0.25">
      <c r="A678" s="45" t="s">
        <v>1745</v>
      </c>
      <c r="B678" s="44" t="s">
        <v>4149</v>
      </c>
      <c r="C678" s="47">
        <v>44250</v>
      </c>
      <c r="D678" s="44">
        <v>202104</v>
      </c>
      <c r="E678" s="44">
        <v>27.7</v>
      </c>
      <c r="F678" s="44">
        <v>29.45</v>
      </c>
      <c r="G678" s="44">
        <v>27.7</v>
      </c>
      <c r="H678" s="44">
        <v>29.4</v>
      </c>
      <c r="I678" s="44">
        <v>1</v>
      </c>
      <c r="J678" s="44">
        <v>3.52</v>
      </c>
      <c r="K678" s="44">
        <v>40</v>
      </c>
      <c r="L678" s="44">
        <v>29.4</v>
      </c>
      <c r="M678" s="44">
        <v>75</v>
      </c>
    </row>
    <row r="679" spans="1:13" x14ac:dyDescent="0.25">
      <c r="A679" s="45" t="s">
        <v>1746</v>
      </c>
      <c r="B679" s="44" t="s">
        <v>4150</v>
      </c>
      <c r="C679" s="47">
        <v>44250</v>
      </c>
      <c r="D679" s="44">
        <v>202104</v>
      </c>
      <c r="E679" s="44">
        <v>27.7</v>
      </c>
      <c r="F679" s="44">
        <v>29.45</v>
      </c>
      <c r="G679" s="44">
        <v>27.7</v>
      </c>
      <c r="H679" s="44">
        <v>29.4</v>
      </c>
      <c r="I679" s="44">
        <v>1</v>
      </c>
      <c r="J679" s="44">
        <v>3.52</v>
      </c>
      <c r="K679" s="44">
        <v>40</v>
      </c>
      <c r="L679" s="44">
        <v>29.4</v>
      </c>
      <c r="M679" s="44">
        <v>75</v>
      </c>
    </row>
    <row r="680" spans="1:13" x14ac:dyDescent="0.25">
      <c r="A680" s="45" t="s">
        <v>1747</v>
      </c>
      <c r="C680" s="47"/>
    </row>
    <row r="681" spans="1:13" x14ac:dyDescent="0.25">
      <c r="A681" s="45" t="s">
        <v>1748</v>
      </c>
      <c r="C681" s="47"/>
    </row>
    <row r="682" spans="1:13" x14ac:dyDescent="0.25">
      <c r="A682" s="45" t="s">
        <v>1749</v>
      </c>
      <c r="B682" s="44" t="s">
        <v>4151</v>
      </c>
      <c r="C682" s="47">
        <v>44250</v>
      </c>
      <c r="D682" s="44">
        <v>202103</v>
      </c>
      <c r="E682" s="44">
        <v>28</v>
      </c>
      <c r="F682" s="44">
        <v>29.7</v>
      </c>
      <c r="G682" s="44">
        <v>27.55</v>
      </c>
      <c r="H682" s="44">
        <v>29.5</v>
      </c>
      <c r="I682" s="44">
        <v>1.2</v>
      </c>
      <c r="J682" s="44">
        <v>4.24</v>
      </c>
      <c r="K682" s="44">
        <v>1497</v>
      </c>
      <c r="L682" s="44">
        <v>29.45</v>
      </c>
      <c r="M682" s="44">
        <v>1251</v>
      </c>
    </row>
    <row r="683" spans="1:13" x14ac:dyDescent="0.25">
      <c r="A683" s="45" t="s">
        <v>1750</v>
      </c>
      <c r="B683" s="44" t="s">
        <v>4152</v>
      </c>
      <c r="C683" s="47">
        <v>44250</v>
      </c>
      <c r="D683" s="44">
        <v>202106</v>
      </c>
      <c r="E683" s="44">
        <v>29.4</v>
      </c>
      <c r="F683" s="44">
        <v>29.4</v>
      </c>
      <c r="G683" s="44">
        <v>29.4</v>
      </c>
      <c r="H683" s="44">
        <v>29.4</v>
      </c>
      <c r="I683" s="44">
        <v>1.1499999999999999</v>
      </c>
      <c r="J683" s="44">
        <v>4.07</v>
      </c>
      <c r="K683" s="44">
        <v>0</v>
      </c>
      <c r="L683" s="44">
        <v>29.4</v>
      </c>
      <c r="M683" s="44">
        <v>0</v>
      </c>
    </row>
    <row r="684" spans="1:13" x14ac:dyDescent="0.25">
      <c r="A684" s="45" t="s">
        <v>1751</v>
      </c>
      <c r="B684" s="44" t="s">
        <v>4153</v>
      </c>
      <c r="C684" s="47">
        <v>44250</v>
      </c>
      <c r="D684" s="44">
        <v>202109</v>
      </c>
      <c r="E684" s="44">
        <v>29.45</v>
      </c>
      <c r="F684" s="44">
        <v>29.45</v>
      </c>
      <c r="G684" s="44">
        <v>29.45</v>
      </c>
      <c r="H684" s="44">
        <v>29.45</v>
      </c>
      <c r="I684" s="44">
        <v>1.1499999999999999</v>
      </c>
      <c r="J684" s="44">
        <v>4.0599999999999996</v>
      </c>
      <c r="K684" s="44">
        <v>0</v>
      </c>
      <c r="L684" s="44">
        <v>29.45</v>
      </c>
      <c r="M684" s="44">
        <v>0</v>
      </c>
    </row>
    <row r="685" spans="1:13" x14ac:dyDescent="0.25">
      <c r="A685" s="45" t="s">
        <v>1752</v>
      </c>
      <c r="B685" s="44" t="s">
        <v>4154</v>
      </c>
      <c r="C685" s="47">
        <v>44250</v>
      </c>
      <c r="D685" s="44">
        <v>202112</v>
      </c>
      <c r="E685" s="44">
        <v>29.25</v>
      </c>
      <c r="F685" s="44">
        <v>29.25</v>
      </c>
      <c r="G685" s="44">
        <v>29.25</v>
      </c>
      <c r="H685" s="44">
        <v>29.25</v>
      </c>
      <c r="I685" s="44">
        <v>1.1499999999999999</v>
      </c>
      <c r="J685" s="44">
        <v>4.09</v>
      </c>
      <c r="K685" s="44">
        <v>0</v>
      </c>
      <c r="L685" s="44">
        <v>29.25</v>
      </c>
      <c r="M685" s="44">
        <v>0</v>
      </c>
    </row>
    <row r="686" spans="1:13" x14ac:dyDescent="0.25">
      <c r="A686" s="45" t="s">
        <v>935</v>
      </c>
      <c r="B686" s="44" t="s">
        <v>4155</v>
      </c>
      <c r="C686" s="47">
        <v>44250</v>
      </c>
      <c r="D686" s="44">
        <v>202103</v>
      </c>
      <c r="E686" s="44">
        <v>25.3</v>
      </c>
      <c r="F686" s="44">
        <v>25.7</v>
      </c>
      <c r="G686" s="44">
        <v>25.05</v>
      </c>
      <c r="H686" s="44">
        <v>25.45</v>
      </c>
      <c r="I686" s="44">
        <v>-0.05</v>
      </c>
      <c r="J686" s="44">
        <v>-0.2</v>
      </c>
      <c r="K686" s="44">
        <v>102</v>
      </c>
      <c r="L686" s="44">
        <v>25.45</v>
      </c>
      <c r="M686" s="44">
        <v>604</v>
      </c>
    </row>
    <row r="687" spans="1:13" x14ac:dyDescent="0.25">
      <c r="A687" s="45" t="s">
        <v>1753</v>
      </c>
      <c r="B687" s="44" t="s">
        <v>4156</v>
      </c>
      <c r="C687" s="47">
        <v>44250</v>
      </c>
      <c r="D687" s="44">
        <v>202103</v>
      </c>
      <c r="E687" s="44">
        <v>25.3</v>
      </c>
      <c r="F687" s="44">
        <v>25.7</v>
      </c>
      <c r="G687" s="44">
        <v>25.05</v>
      </c>
      <c r="H687" s="44">
        <v>25.45</v>
      </c>
      <c r="I687" s="44">
        <v>-0.05</v>
      </c>
      <c r="J687" s="44">
        <v>-0.2</v>
      </c>
      <c r="K687" s="44">
        <v>102</v>
      </c>
      <c r="L687" s="44">
        <v>25.45</v>
      </c>
      <c r="M687" s="44">
        <v>604</v>
      </c>
    </row>
    <row r="688" spans="1:13" x14ac:dyDescent="0.25">
      <c r="A688" s="45" t="s">
        <v>1754</v>
      </c>
      <c r="B688" s="44" t="s">
        <v>4157</v>
      </c>
      <c r="C688" s="47">
        <v>44250</v>
      </c>
      <c r="D688" s="44">
        <v>202104</v>
      </c>
      <c r="E688" s="44">
        <v>25.3</v>
      </c>
      <c r="F688" s="44">
        <v>25.35</v>
      </c>
      <c r="G688" s="44">
        <v>25.3</v>
      </c>
      <c r="H688" s="44">
        <v>25.35</v>
      </c>
      <c r="I688" s="44">
        <v>-0.05</v>
      </c>
      <c r="J688" s="44">
        <v>-0.2</v>
      </c>
      <c r="K688" s="44">
        <v>2</v>
      </c>
      <c r="L688" s="44">
        <v>25.35</v>
      </c>
      <c r="M688" s="44">
        <v>94</v>
      </c>
    </row>
    <row r="689" spans="1:13" x14ac:dyDescent="0.25">
      <c r="A689" s="45" t="s">
        <v>1755</v>
      </c>
      <c r="B689" s="44" t="s">
        <v>4158</v>
      </c>
      <c r="C689" s="47">
        <v>44250</v>
      </c>
      <c r="D689" s="44">
        <v>202104</v>
      </c>
      <c r="E689" s="44">
        <v>25.3</v>
      </c>
      <c r="F689" s="44">
        <v>25.35</v>
      </c>
      <c r="G689" s="44">
        <v>25.3</v>
      </c>
      <c r="H689" s="44">
        <v>25.35</v>
      </c>
      <c r="I689" s="44">
        <v>-0.05</v>
      </c>
      <c r="J689" s="44">
        <v>-0.2</v>
      </c>
      <c r="K689" s="44">
        <v>2</v>
      </c>
      <c r="L689" s="44">
        <v>25.35</v>
      </c>
      <c r="M689" s="44">
        <v>94</v>
      </c>
    </row>
    <row r="690" spans="1:13" x14ac:dyDescent="0.25">
      <c r="A690" s="45" t="s">
        <v>1756</v>
      </c>
      <c r="C690" s="47"/>
    </row>
    <row r="691" spans="1:13" x14ac:dyDescent="0.25">
      <c r="A691" s="45" t="s">
        <v>1757</v>
      </c>
      <c r="C691" s="47"/>
    </row>
    <row r="692" spans="1:13" x14ac:dyDescent="0.25">
      <c r="A692" s="45" t="s">
        <v>1758</v>
      </c>
      <c r="B692" s="44" t="s">
        <v>4159</v>
      </c>
      <c r="C692" s="47">
        <v>44250</v>
      </c>
      <c r="D692" s="44">
        <v>202103</v>
      </c>
      <c r="E692" s="44">
        <v>25.3</v>
      </c>
      <c r="F692" s="44">
        <v>25.7</v>
      </c>
      <c r="G692" s="44">
        <v>25.05</v>
      </c>
      <c r="H692" s="44">
        <v>25.45</v>
      </c>
      <c r="I692" s="44">
        <v>-0.05</v>
      </c>
      <c r="J692" s="44">
        <v>-0.2</v>
      </c>
      <c r="K692" s="44">
        <v>102</v>
      </c>
      <c r="L692" s="44">
        <v>25.45</v>
      </c>
      <c r="M692" s="44">
        <v>604</v>
      </c>
    </row>
    <row r="693" spans="1:13" x14ac:dyDescent="0.25">
      <c r="A693" s="45" t="s">
        <v>1759</v>
      </c>
      <c r="B693" s="44" t="s">
        <v>4160</v>
      </c>
      <c r="C693" s="47">
        <v>44250</v>
      </c>
      <c r="D693" s="44">
        <v>202106</v>
      </c>
      <c r="E693" s="44">
        <v>25.4</v>
      </c>
      <c r="F693" s="44">
        <v>25.4</v>
      </c>
      <c r="G693" s="44">
        <v>25.4</v>
      </c>
      <c r="H693" s="44">
        <v>25.4</v>
      </c>
      <c r="I693" s="44">
        <v>-0.05</v>
      </c>
      <c r="J693" s="44">
        <v>-0.2</v>
      </c>
      <c r="K693" s="44">
        <v>0</v>
      </c>
      <c r="L693" s="44">
        <v>25.4</v>
      </c>
      <c r="M693" s="44">
        <v>74</v>
      </c>
    </row>
    <row r="694" spans="1:13" x14ac:dyDescent="0.25">
      <c r="A694" s="45" t="s">
        <v>1760</v>
      </c>
      <c r="B694" s="44" t="s">
        <v>4161</v>
      </c>
      <c r="C694" s="47">
        <v>44250</v>
      </c>
      <c r="D694" s="44">
        <v>202109</v>
      </c>
      <c r="E694" s="44">
        <v>25.2</v>
      </c>
      <c r="F694" s="44">
        <v>25.2</v>
      </c>
      <c r="G694" s="44">
        <v>25.2</v>
      </c>
      <c r="H694" s="44">
        <v>25.2</v>
      </c>
      <c r="I694" s="44">
        <v>-0.05</v>
      </c>
      <c r="J694" s="44">
        <v>-0.2</v>
      </c>
      <c r="K694" s="44">
        <v>0</v>
      </c>
      <c r="L694" s="44">
        <v>25.2</v>
      </c>
      <c r="M694" s="44">
        <v>122</v>
      </c>
    </row>
    <row r="695" spans="1:13" x14ac:dyDescent="0.25">
      <c r="A695" s="45" t="s">
        <v>1761</v>
      </c>
      <c r="B695" s="44" t="s">
        <v>4162</v>
      </c>
      <c r="C695" s="47">
        <v>44250</v>
      </c>
      <c r="D695" s="44">
        <v>202112</v>
      </c>
      <c r="E695" s="44">
        <v>25.1</v>
      </c>
      <c r="F695" s="44">
        <v>25.1</v>
      </c>
      <c r="G695" s="44">
        <v>25.1</v>
      </c>
      <c r="H695" s="44">
        <v>25.1</v>
      </c>
      <c r="I695" s="44">
        <v>-0.05</v>
      </c>
      <c r="J695" s="44">
        <v>-0.2</v>
      </c>
      <c r="K695" s="44">
        <v>0</v>
      </c>
      <c r="L695" s="44">
        <v>25.1</v>
      </c>
      <c r="M695" s="44">
        <v>17</v>
      </c>
    </row>
    <row r="696" spans="1:13" x14ac:dyDescent="0.25">
      <c r="A696" s="45" t="s">
        <v>937</v>
      </c>
      <c r="B696" s="44" t="s">
        <v>4163</v>
      </c>
      <c r="C696" s="47">
        <v>44250</v>
      </c>
      <c r="D696" s="44">
        <v>202103</v>
      </c>
      <c r="E696" s="44">
        <v>26.15</v>
      </c>
      <c r="F696" s="44">
        <v>26.55</v>
      </c>
      <c r="G696" s="44">
        <v>25.8</v>
      </c>
      <c r="H696" s="44">
        <v>26.55</v>
      </c>
      <c r="I696" s="44">
        <v>0.15</v>
      </c>
      <c r="J696" s="44">
        <v>0.56999999999999995</v>
      </c>
      <c r="K696" s="44">
        <v>130</v>
      </c>
      <c r="L696" s="44">
        <v>26.55</v>
      </c>
      <c r="M696" s="44">
        <v>292</v>
      </c>
    </row>
    <row r="697" spans="1:13" x14ac:dyDescent="0.25">
      <c r="A697" s="45" t="s">
        <v>1762</v>
      </c>
      <c r="B697" s="44" t="s">
        <v>4164</v>
      </c>
      <c r="C697" s="47">
        <v>44250</v>
      </c>
      <c r="D697" s="44">
        <v>202103</v>
      </c>
      <c r="E697" s="44">
        <v>26.15</v>
      </c>
      <c r="F697" s="44">
        <v>26.55</v>
      </c>
      <c r="G697" s="44">
        <v>25.8</v>
      </c>
      <c r="H697" s="44">
        <v>26.55</v>
      </c>
      <c r="I697" s="44">
        <v>0.15</v>
      </c>
      <c r="J697" s="44">
        <v>0.56999999999999995</v>
      </c>
      <c r="K697" s="44">
        <v>130</v>
      </c>
      <c r="L697" s="44">
        <v>26.55</v>
      </c>
      <c r="M697" s="44">
        <v>292</v>
      </c>
    </row>
    <row r="698" spans="1:13" x14ac:dyDescent="0.25">
      <c r="A698" s="45" t="s">
        <v>1763</v>
      </c>
      <c r="B698" s="44" t="s">
        <v>4165</v>
      </c>
      <c r="C698" s="47">
        <v>44250</v>
      </c>
      <c r="D698" s="44">
        <v>202104</v>
      </c>
      <c r="E698" s="44">
        <v>26.15</v>
      </c>
      <c r="F698" s="44">
        <v>26.4</v>
      </c>
      <c r="G698" s="44">
        <v>26.15</v>
      </c>
      <c r="H698" s="44">
        <v>26.4</v>
      </c>
      <c r="I698" s="44">
        <v>0.2</v>
      </c>
      <c r="J698" s="44">
        <v>0.76</v>
      </c>
      <c r="K698" s="44">
        <v>18</v>
      </c>
      <c r="L698" s="44">
        <v>26.4</v>
      </c>
      <c r="M698" s="44">
        <v>23</v>
      </c>
    </row>
    <row r="699" spans="1:13" x14ac:dyDescent="0.25">
      <c r="A699" s="45" t="s">
        <v>1764</v>
      </c>
      <c r="B699" s="44" t="s">
        <v>4166</v>
      </c>
      <c r="C699" s="47">
        <v>44250</v>
      </c>
      <c r="D699" s="44">
        <v>202104</v>
      </c>
      <c r="E699" s="44">
        <v>26.15</v>
      </c>
      <c r="F699" s="44">
        <v>26.4</v>
      </c>
      <c r="G699" s="44">
        <v>26.15</v>
      </c>
      <c r="H699" s="44">
        <v>26.4</v>
      </c>
      <c r="I699" s="44">
        <v>0.2</v>
      </c>
      <c r="J699" s="44">
        <v>0.76</v>
      </c>
      <c r="K699" s="44">
        <v>18</v>
      </c>
      <c r="L699" s="44">
        <v>26.4</v>
      </c>
      <c r="M699" s="44">
        <v>23</v>
      </c>
    </row>
    <row r="700" spans="1:13" x14ac:dyDescent="0.25">
      <c r="A700" s="45" t="s">
        <v>1765</v>
      </c>
      <c r="C700" s="47"/>
    </row>
    <row r="701" spans="1:13" x14ac:dyDescent="0.25">
      <c r="A701" s="45" t="s">
        <v>1766</v>
      </c>
      <c r="C701" s="47"/>
    </row>
    <row r="702" spans="1:13" x14ac:dyDescent="0.25">
      <c r="A702" s="45" t="s">
        <v>1767</v>
      </c>
      <c r="B702" s="44" t="s">
        <v>4167</v>
      </c>
      <c r="C702" s="47">
        <v>44250</v>
      </c>
      <c r="D702" s="44">
        <v>202103</v>
      </c>
      <c r="E702" s="44">
        <v>26.15</v>
      </c>
      <c r="F702" s="44">
        <v>26.55</v>
      </c>
      <c r="G702" s="44">
        <v>25.8</v>
      </c>
      <c r="H702" s="44">
        <v>26.55</v>
      </c>
      <c r="I702" s="44">
        <v>0.15</v>
      </c>
      <c r="J702" s="44">
        <v>0.56999999999999995</v>
      </c>
      <c r="K702" s="44">
        <v>130</v>
      </c>
      <c r="L702" s="44">
        <v>26.55</v>
      </c>
      <c r="M702" s="44">
        <v>292</v>
      </c>
    </row>
    <row r="703" spans="1:13" x14ac:dyDescent="0.25">
      <c r="A703" s="45" t="s">
        <v>1768</v>
      </c>
      <c r="B703" s="44" t="s">
        <v>4168</v>
      </c>
      <c r="C703" s="47">
        <v>44250</v>
      </c>
      <c r="D703" s="44">
        <v>202106</v>
      </c>
      <c r="E703" s="44">
        <v>26.5</v>
      </c>
      <c r="F703" s="44">
        <v>26.5</v>
      </c>
      <c r="G703" s="44">
        <v>26.5</v>
      </c>
      <c r="H703" s="44">
        <v>26.5</v>
      </c>
      <c r="I703" s="44">
        <v>0.15</v>
      </c>
      <c r="J703" s="44">
        <v>0.56999999999999995</v>
      </c>
      <c r="K703" s="44">
        <v>0</v>
      </c>
      <c r="L703" s="44">
        <v>26.5</v>
      </c>
      <c r="M703" s="44">
        <v>29</v>
      </c>
    </row>
    <row r="704" spans="1:13" x14ac:dyDescent="0.25">
      <c r="A704" s="45" t="s">
        <v>1769</v>
      </c>
      <c r="B704" s="44" t="s">
        <v>4169</v>
      </c>
      <c r="C704" s="47">
        <v>44250</v>
      </c>
      <c r="D704" s="44">
        <v>202109</v>
      </c>
      <c r="E704" s="44">
        <v>26.5</v>
      </c>
      <c r="F704" s="44">
        <v>26.5</v>
      </c>
      <c r="G704" s="44">
        <v>26.5</v>
      </c>
      <c r="H704" s="44">
        <v>26.5</v>
      </c>
      <c r="I704" s="44">
        <v>0.15</v>
      </c>
      <c r="J704" s="44">
        <v>0.56999999999999995</v>
      </c>
      <c r="K704" s="44">
        <v>0</v>
      </c>
      <c r="L704" s="44">
        <v>26.5</v>
      </c>
      <c r="M704" s="44">
        <v>25</v>
      </c>
    </row>
    <row r="705" spans="1:13" x14ac:dyDescent="0.25">
      <c r="A705" s="45" t="s">
        <v>1770</v>
      </c>
      <c r="B705" s="44" t="s">
        <v>4170</v>
      </c>
      <c r="C705" s="47">
        <v>44250</v>
      </c>
      <c r="D705" s="44">
        <v>202112</v>
      </c>
      <c r="E705" s="44">
        <v>26.45</v>
      </c>
      <c r="F705" s="44">
        <v>26.45</v>
      </c>
      <c r="G705" s="44">
        <v>26.45</v>
      </c>
      <c r="H705" s="44">
        <v>26.45</v>
      </c>
      <c r="I705" s="44">
        <v>0.15</v>
      </c>
      <c r="J705" s="44">
        <v>0.56999999999999995</v>
      </c>
      <c r="K705" s="44">
        <v>0</v>
      </c>
      <c r="L705" s="44">
        <v>26.45</v>
      </c>
      <c r="M705" s="44">
        <v>0</v>
      </c>
    </row>
    <row r="706" spans="1:13" x14ac:dyDescent="0.25">
      <c r="A706" s="45" t="s">
        <v>938</v>
      </c>
      <c r="B706" s="44" t="s">
        <v>4171</v>
      </c>
      <c r="C706" s="47">
        <v>44250</v>
      </c>
      <c r="D706" s="44">
        <v>202103</v>
      </c>
      <c r="E706" s="44">
        <v>30.3</v>
      </c>
      <c r="F706" s="44">
        <v>31.95</v>
      </c>
      <c r="G706" s="44">
        <v>29.75</v>
      </c>
      <c r="H706" s="44">
        <v>31.8</v>
      </c>
      <c r="I706" s="44">
        <v>0.95</v>
      </c>
      <c r="J706" s="44">
        <v>3.08</v>
      </c>
      <c r="K706" s="44">
        <v>10597</v>
      </c>
      <c r="L706" s="44">
        <v>31.8</v>
      </c>
      <c r="M706" s="44">
        <v>8148</v>
      </c>
    </row>
    <row r="707" spans="1:13" x14ac:dyDescent="0.25">
      <c r="A707" s="45" t="s">
        <v>1771</v>
      </c>
      <c r="B707" s="44" t="s">
        <v>4172</v>
      </c>
      <c r="C707" s="47">
        <v>44250</v>
      </c>
      <c r="D707" s="44">
        <v>202103</v>
      </c>
      <c r="E707" s="44">
        <v>30.3</v>
      </c>
      <c r="F707" s="44">
        <v>31.95</v>
      </c>
      <c r="G707" s="44">
        <v>29.75</v>
      </c>
      <c r="H707" s="44">
        <v>31.8</v>
      </c>
      <c r="I707" s="44">
        <v>0.95</v>
      </c>
      <c r="J707" s="44">
        <v>3.08</v>
      </c>
      <c r="K707" s="44">
        <v>10597</v>
      </c>
      <c r="L707" s="44">
        <v>31.8</v>
      </c>
      <c r="M707" s="44">
        <v>8148</v>
      </c>
    </row>
    <row r="708" spans="1:13" x14ac:dyDescent="0.25">
      <c r="A708" s="45" t="s">
        <v>1772</v>
      </c>
      <c r="B708" s="44" t="s">
        <v>4173</v>
      </c>
      <c r="C708" s="47">
        <v>44250</v>
      </c>
      <c r="D708" s="44">
        <v>202104</v>
      </c>
      <c r="E708" s="44">
        <v>30.1</v>
      </c>
      <c r="F708" s="44">
        <v>31.85</v>
      </c>
      <c r="G708" s="44">
        <v>30.1</v>
      </c>
      <c r="H708" s="44">
        <v>31.8</v>
      </c>
      <c r="I708" s="44">
        <v>0.95</v>
      </c>
      <c r="J708" s="44">
        <v>3.08</v>
      </c>
      <c r="K708" s="44">
        <v>228</v>
      </c>
      <c r="L708" s="44">
        <v>31.8</v>
      </c>
      <c r="M708" s="44">
        <v>209</v>
      </c>
    </row>
    <row r="709" spans="1:13" x14ac:dyDescent="0.25">
      <c r="A709" s="45" t="s">
        <v>1773</v>
      </c>
      <c r="B709" s="44" t="s">
        <v>4174</v>
      </c>
      <c r="C709" s="47">
        <v>44250</v>
      </c>
      <c r="D709" s="44">
        <v>202104</v>
      </c>
      <c r="E709" s="44">
        <v>30.1</v>
      </c>
      <c r="F709" s="44">
        <v>31.85</v>
      </c>
      <c r="G709" s="44">
        <v>30.1</v>
      </c>
      <c r="H709" s="44">
        <v>31.8</v>
      </c>
      <c r="I709" s="44">
        <v>0.95</v>
      </c>
      <c r="J709" s="44">
        <v>3.08</v>
      </c>
      <c r="K709" s="44">
        <v>228</v>
      </c>
      <c r="L709" s="44">
        <v>31.8</v>
      </c>
      <c r="M709" s="44">
        <v>209</v>
      </c>
    </row>
    <row r="710" spans="1:13" x14ac:dyDescent="0.25">
      <c r="A710" s="45" t="s">
        <v>1774</v>
      </c>
      <c r="C710" s="47"/>
    </row>
    <row r="711" spans="1:13" x14ac:dyDescent="0.25">
      <c r="A711" s="45" t="s">
        <v>1775</v>
      </c>
      <c r="C711" s="47"/>
    </row>
    <row r="712" spans="1:13" x14ac:dyDescent="0.25">
      <c r="A712" s="45" t="s">
        <v>1776</v>
      </c>
      <c r="B712" s="44" t="s">
        <v>4175</v>
      </c>
      <c r="C712" s="47">
        <v>44250</v>
      </c>
      <c r="D712" s="44">
        <v>202103</v>
      </c>
      <c r="E712" s="44">
        <v>30.3</v>
      </c>
      <c r="F712" s="44">
        <v>31.95</v>
      </c>
      <c r="G712" s="44">
        <v>29.75</v>
      </c>
      <c r="H712" s="44">
        <v>31.8</v>
      </c>
      <c r="I712" s="44">
        <v>0.95</v>
      </c>
      <c r="J712" s="44">
        <v>3.08</v>
      </c>
      <c r="K712" s="44">
        <v>10597</v>
      </c>
      <c r="L712" s="44">
        <v>31.8</v>
      </c>
      <c r="M712" s="44">
        <v>8148</v>
      </c>
    </row>
    <row r="713" spans="1:13" x14ac:dyDescent="0.25">
      <c r="A713" s="45" t="s">
        <v>1777</v>
      </c>
      <c r="B713" s="44" t="s">
        <v>4176</v>
      </c>
      <c r="C713" s="47">
        <v>44250</v>
      </c>
      <c r="D713" s="44">
        <v>202106</v>
      </c>
      <c r="E713" s="44">
        <v>31.6</v>
      </c>
      <c r="F713" s="44">
        <v>31.6</v>
      </c>
      <c r="G713" s="44">
        <v>31.6</v>
      </c>
      <c r="H713" s="44">
        <v>31.6</v>
      </c>
      <c r="I713" s="44">
        <v>0.95</v>
      </c>
      <c r="J713" s="44">
        <v>3.1</v>
      </c>
      <c r="K713" s="44">
        <v>0</v>
      </c>
      <c r="L713" s="44">
        <v>31.6</v>
      </c>
      <c r="M713" s="44">
        <v>18</v>
      </c>
    </row>
    <row r="714" spans="1:13" x14ac:dyDescent="0.25">
      <c r="A714" s="45" t="s">
        <v>1778</v>
      </c>
      <c r="B714" s="44" t="s">
        <v>4177</v>
      </c>
      <c r="C714" s="47">
        <v>44250</v>
      </c>
      <c r="D714" s="44">
        <v>202109</v>
      </c>
      <c r="E714" s="44">
        <v>31.9</v>
      </c>
      <c r="F714" s="44">
        <v>31.9</v>
      </c>
      <c r="G714" s="44">
        <v>31.9</v>
      </c>
      <c r="H714" s="44">
        <v>31.9</v>
      </c>
      <c r="I714" s="44">
        <v>0.95</v>
      </c>
      <c r="J714" s="44">
        <v>3.07</v>
      </c>
      <c r="K714" s="44">
        <v>0</v>
      </c>
      <c r="L714" s="44">
        <v>31.9</v>
      </c>
      <c r="M714" s="44">
        <v>2</v>
      </c>
    </row>
    <row r="715" spans="1:13" x14ac:dyDescent="0.25">
      <c r="A715" s="45" t="s">
        <v>1779</v>
      </c>
      <c r="B715" s="44" t="s">
        <v>4178</v>
      </c>
      <c r="C715" s="47">
        <v>44250</v>
      </c>
      <c r="D715" s="44">
        <v>202112</v>
      </c>
      <c r="E715" s="44">
        <v>31.95</v>
      </c>
      <c r="F715" s="44">
        <v>31.95</v>
      </c>
      <c r="G715" s="44">
        <v>31.95</v>
      </c>
      <c r="H715" s="44">
        <v>31.95</v>
      </c>
      <c r="I715" s="44">
        <v>0.95</v>
      </c>
      <c r="J715" s="44">
        <v>3.06</v>
      </c>
      <c r="K715" s="44">
        <v>0</v>
      </c>
      <c r="L715" s="44">
        <v>31.95</v>
      </c>
      <c r="M715" s="44">
        <v>2</v>
      </c>
    </row>
    <row r="716" spans="1:13" x14ac:dyDescent="0.25">
      <c r="A716" s="45" t="s">
        <v>1780</v>
      </c>
      <c r="B716" s="44" t="s">
        <v>4179</v>
      </c>
      <c r="C716" s="47">
        <v>44250</v>
      </c>
      <c r="D716" s="44">
        <v>202103</v>
      </c>
      <c r="E716" s="44">
        <v>8663</v>
      </c>
      <c r="F716" s="44">
        <v>8663</v>
      </c>
      <c r="G716" s="44">
        <v>8558</v>
      </c>
      <c r="H716" s="44">
        <v>8631</v>
      </c>
      <c r="I716" s="44">
        <v>-59</v>
      </c>
      <c r="J716" s="44">
        <v>-0.68</v>
      </c>
      <c r="K716" s="44">
        <v>723</v>
      </c>
      <c r="L716" s="44">
        <v>8631</v>
      </c>
      <c r="M716" s="44">
        <v>490</v>
      </c>
    </row>
    <row r="717" spans="1:13" x14ac:dyDescent="0.25">
      <c r="A717" s="45" t="s">
        <v>1781</v>
      </c>
      <c r="B717" s="44" t="s">
        <v>4180</v>
      </c>
      <c r="C717" s="47">
        <v>44250</v>
      </c>
      <c r="D717" s="44">
        <v>202103</v>
      </c>
      <c r="E717" s="44">
        <v>8663</v>
      </c>
      <c r="F717" s="44">
        <v>8663</v>
      </c>
      <c r="G717" s="44">
        <v>8558</v>
      </c>
      <c r="H717" s="44">
        <v>8631</v>
      </c>
      <c r="I717" s="44">
        <v>-59</v>
      </c>
      <c r="J717" s="44">
        <v>-0.68</v>
      </c>
      <c r="K717" s="44">
        <v>723</v>
      </c>
      <c r="L717" s="44">
        <v>8631</v>
      </c>
      <c r="M717" s="44">
        <v>490</v>
      </c>
    </row>
    <row r="718" spans="1:13" x14ac:dyDescent="0.25">
      <c r="A718" s="45" t="s">
        <v>1782</v>
      </c>
      <c r="B718" s="44" t="s">
        <v>4181</v>
      </c>
      <c r="C718" s="47">
        <v>44250</v>
      </c>
      <c r="D718" s="44">
        <v>202104</v>
      </c>
      <c r="E718" s="44">
        <v>8550</v>
      </c>
      <c r="F718" s="44">
        <v>8629</v>
      </c>
      <c r="G718" s="44">
        <v>8550</v>
      </c>
      <c r="H718" s="44">
        <v>8629</v>
      </c>
      <c r="I718" s="44">
        <v>-21</v>
      </c>
      <c r="J718" s="44">
        <v>-0.24</v>
      </c>
      <c r="K718" s="44">
        <v>195</v>
      </c>
      <c r="L718" s="44">
        <v>8629</v>
      </c>
      <c r="M718" s="44">
        <v>52</v>
      </c>
    </row>
    <row r="719" spans="1:13" x14ac:dyDescent="0.25">
      <c r="A719" s="45" t="s">
        <v>1783</v>
      </c>
      <c r="B719" s="44" t="s">
        <v>4182</v>
      </c>
      <c r="C719" s="47">
        <v>44250</v>
      </c>
      <c r="D719" s="44">
        <v>202104</v>
      </c>
      <c r="E719" s="44">
        <v>8550</v>
      </c>
      <c r="F719" s="44">
        <v>8629</v>
      </c>
      <c r="G719" s="44">
        <v>8550</v>
      </c>
      <c r="H719" s="44">
        <v>8629</v>
      </c>
      <c r="I719" s="44">
        <v>-21</v>
      </c>
      <c r="J719" s="44">
        <v>-0.24</v>
      </c>
      <c r="K719" s="44">
        <v>195</v>
      </c>
      <c r="L719" s="44">
        <v>8629</v>
      </c>
      <c r="M719" s="44">
        <v>52</v>
      </c>
    </row>
    <row r="720" spans="1:13" x14ac:dyDescent="0.25">
      <c r="A720" s="45" t="s">
        <v>1784</v>
      </c>
      <c r="C720" s="47"/>
    </row>
    <row r="721" spans="1:13" x14ac:dyDescent="0.25">
      <c r="A721" s="45" t="s">
        <v>1785</v>
      </c>
      <c r="C721" s="47"/>
    </row>
    <row r="722" spans="1:13" x14ac:dyDescent="0.25">
      <c r="A722" s="45" t="s">
        <v>1786</v>
      </c>
      <c r="B722" s="44" t="s">
        <v>4183</v>
      </c>
      <c r="C722" s="47">
        <v>44250</v>
      </c>
      <c r="D722" s="44">
        <v>202103</v>
      </c>
      <c r="E722" s="44">
        <v>8663</v>
      </c>
      <c r="F722" s="44">
        <v>8663</v>
      </c>
      <c r="G722" s="44">
        <v>8558</v>
      </c>
      <c r="H722" s="44">
        <v>8631</v>
      </c>
      <c r="I722" s="44">
        <v>-59</v>
      </c>
      <c r="J722" s="44">
        <v>-0.68</v>
      </c>
      <c r="K722" s="44">
        <v>723</v>
      </c>
      <c r="L722" s="44">
        <v>8631</v>
      </c>
      <c r="M722" s="44">
        <v>490</v>
      </c>
    </row>
    <row r="723" spans="1:13" x14ac:dyDescent="0.25">
      <c r="A723" s="45" t="s">
        <v>1787</v>
      </c>
      <c r="B723" s="44" t="s">
        <v>4184</v>
      </c>
      <c r="C723" s="47">
        <v>44250</v>
      </c>
      <c r="D723" s="44">
        <v>202104</v>
      </c>
      <c r="E723" s="44">
        <v>8550</v>
      </c>
      <c r="F723" s="44">
        <v>8629</v>
      </c>
      <c r="G723" s="44">
        <v>8550</v>
      </c>
      <c r="H723" s="44">
        <v>8629</v>
      </c>
      <c r="I723" s="44">
        <v>-21</v>
      </c>
      <c r="J723" s="44">
        <v>-0.24</v>
      </c>
      <c r="K723" s="44">
        <v>195</v>
      </c>
      <c r="L723" s="44">
        <v>8629</v>
      </c>
      <c r="M723" s="44">
        <v>52</v>
      </c>
    </row>
    <row r="724" spans="1:13" x14ac:dyDescent="0.25">
      <c r="A724" s="45" t="s">
        <v>1788</v>
      </c>
      <c r="B724" s="44" t="s">
        <v>4185</v>
      </c>
      <c r="C724" s="47">
        <v>44250</v>
      </c>
      <c r="D724" s="44">
        <v>202106</v>
      </c>
      <c r="E724" s="44">
        <v>8782</v>
      </c>
      <c r="F724" s="44">
        <v>8782</v>
      </c>
      <c r="G724" s="44">
        <v>8782</v>
      </c>
      <c r="H724" s="44">
        <v>8782</v>
      </c>
      <c r="I724" s="44">
        <v>-59</v>
      </c>
      <c r="J724" s="44">
        <v>-0.67</v>
      </c>
      <c r="K724" s="44">
        <v>0</v>
      </c>
      <c r="L724" s="44">
        <v>8782</v>
      </c>
      <c r="M724" s="44">
        <v>0</v>
      </c>
    </row>
    <row r="725" spans="1:13" x14ac:dyDescent="0.25">
      <c r="A725" s="45" t="s">
        <v>1789</v>
      </c>
      <c r="B725" s="44" t="s">
        <v>4186</v>
      </c>
      <c r="C725" s="47">
        <v>44250</v>
      </c>
      <c r="D725" s="44">
        <v>202109</v>
      </c>
      <c r="E725" s="44">
        <v>8632</v>
      </c>
      <c r="F725" s="44">
        <v>8632</v>
      </c>
      <c r="G725" s="44">
        <v>8632</v>
      </c>
      <c r="H725" s="44">
        <v>8632</v>
      </c>
      <c r="I725" s="44">
        <v>-59</v>
      </c>
      <c r="J725" s="44">
        <v>-0.68</v>
      </c>
      <c r="K725" s="44">
        <v>0</v>
      </c>
      <c r="L725" s="44">
        <v>8632</v>
      </c>
      <c r="M725" s="44">
        <v>0</v>
      </c>
    </row>
    <row r="726" spans="1:13" x14ac:dyDescent="0.25">
      <c r="A726" s="45" t="s">
        <v>1790</v>
      </c>
      <c r="B726" s="44" t="s">
        <v>4187</v>
      </c>
      <c r="C726" s="47">
        <v>44250</v>
      </c>
      <c r="D726" s="44">
        <v>202112</v>
      </c>
      <c r="E726" s="44">
        <v>8472</v>
      </c>
      <c r="F726" s="44">
        <v>8472</v>
      </c>
      <c r="G726" s="44">
        <v>8472</v>
      </c>
      <c r="H726" s="44">
        <v>8472</v>
      </c>
      <c r="I726" s="44">
        <v>-59</v>
      </c>
      <c r="J726" s="44">
        <v>-0.69</v>
      </c>
      <c r="K726" s="44">
        <v>0</v>
      </c>
      <c r="L726" s="44">
        <v>8472</v>
      </c>
      <c r="M726" s="44">
        <v>0</v>
      </c>
    </row>
    <row r="727" spans="1:13" x14ac:dyDescent="0.25">
      <c r="A727" s="45" t="s">
        <v>1791</v>
      </c>
      <c r="B727" s="44" t="s">
        <v>4188</v>
      </c>
      <c r="C727" s="47">
        <v>44250</v>
      </c>
      <c r="D727" s="44">
        <v>202105</v>
      </c>
      <c r="E727" s="44">
        <v>8582</v>
      </c>
      <c r="F727" s="44">
        <v>8582</v>
      </c>
      <c r="G727" s="44">
        <v>8582</v>
      </c>
      <c r="H727" s="44">
        <v>8582</v>
      </c>
      <c r="I727" s="44">
        <v>-59</v>
      </c>
      <c r="J727" s="44">
        <v>-0.68</v>
      </c>
      <c r="K727" s="44">
        <v>0</v>
      </c>
      <c r="L727" s="44">
        <v>8582</v>
      </c>
      <c r="M727" s="44">
        <v>0</v>
      </c>
    </row>
    <row r="728" spans="1:13" x14ac:dyDescent="0.25">
      <c r="A728" s="45" t="s">
        <v>1792</v>
      </c>
      <c r="B728" s="44" t="s">
        <v>4189</v>
      </c>
      <c r="C728" s="47">
        <v>44250</v>
      </c>
      <c r="D728" s="44">
        <v>202105</v>
      </c>
      <c r="E728" s="44">
        <v>8582</v>
      </c>
      <c r="F728" s="44">
        <v>8582</v>
      </c>
      <c r="G728" s="44">
        <v>8582</v>
      </c>
      <c r="H728" s="44">
        <v>8582</v>
      </c>
      <c r="I728" s="44">
        <v>-59</v>
      </c>
      <c r="J728" s="44">
        <v>-0.68</v>
      </c>
      <c r="K728" s="44">
        <v>0</v>
      </c>
      <c r="L728" s="44">
        <v>8582</v>
      </c>
      <c r="M728" s="44">
        <v>0</v>
      </c>
    </row>
    <row r="729" spans="1:13" x14ac:dyDescent="0.25">
      <c r="A729" s="45" t="s">
        <v>940</v>
      </c>
      <c r="B729" s="44" t="s">
        <v>4190</v>
      </c>
      <c r="C729" s="47">
        <v>44250</v>
      </c>
      <c r="D729" s="44">
        <v>202103</v>
      </c>
      <c r="E729" s="44">
        <v>48.4</v>
      </c>
      <c r="F729" s="44">
        <v>48.4</v>
      </c>
      <c r="G729" s="44">
        <v>48.4</v>
      </c>
      <c r="H729" s="44">
        <v>48.4</v>
      </c>
      <c r="I729" s="44">
        <v>0.45</v>
      </c>
      <c r="J729" s="44">
        <v>0.94</v>
      </c>
      <c r="K729" s="44">
        <v>0</v>
      </c>
      <c r="L729" s="44">
        <v>48.4</v>
      </c>
      <c r="M729" s="44">
        <v>124</v>
      </c>
    </row>
    <row r="730" spans="1:13" x14ac:dyDescent="0.25">
      <c r="A730" s="45" t="s">
        <v>1793</v>
      </c>
      <c r="B730" s="44" t="s">
        <v>4191</v>
      </c>
      <c r="C730" s="47">
        <v>44250</v>
      </c>
      <c r="D730" s="44">
        <v>202103</v>
      </c>
      <c r="E730" s="44">
        <v>48.4</v>
      </c>
      <c r="F730" s="44">
        <v>48.4</v>
      </c>
      <c r="G730" s="44">
        <v>48.4</v>
      </c>
      <c r="H730" s="44">
        <v>48.4</v>
      </c>
      <c r="I730" s="44">
        <v>0.45</v>
      </c>
      <c r="J730" s="44">
        <v>0.94</v>
      </c>
      <c r="K730" s="44">
        <v>0</v>
      </c>
      <c r="L730" s="44">
        <v>48.4</v>
      </c>
      <c r="M730" s="44">
        <v>124</v>
      </c>
    </row>
    <row r="731" spans="1:13" x14ac:dyDescent="0.25">
      <c r="A731" s="45" t="s">
        <v>1794</v>
      </c>
      <c r="B731" s="44" t="s">
        <v>4192</v>
      </c>
      <c r="C731" s="47">
        <v>44250</v>
      </c>
      <c r="D731" s="44">
        <v>202104</v>
      </c>
      <c r="E731" s="44">
        <v>48.35</v>
      </c>
      <c r="F731" s="44">
        <v>48.35</v>
      </c>
      <c r="G731" s="44">
        <v>48.35</v>
      </c>
      <c r="H731" s="44">
        <v>48.35</v>
      </c>
      <c r="I731" s="44">
        <v>0.45</v>
      </c>
      <c r="J731" s="44">
        <v>0.94</v>
      </c>
      <c r="K731" s="44">
        <v>0</v>
      </c>
      <c r="L731" s="44">
        <v>48.35</v>
      </c>
      <c r="M731" s="44">
        <v>8</v>
      </c>
    </row>
    <row r="732" spans="1:13" x14ac:dyDescent="0.25">
      <c r="A732" s="45" t="s">
        <v>1795</v>
      </c>
      <c r="B732" s="44" t="s">
        <v>4193</v>
      </c>
      <c r="C732" s="47">
        <v>44250</v>
      </c>
      <c r="D732" s="44">
        <v>202104</v>
      </c>
      <c r="E732" s="44">
        <v>48.35</v>
      </c>
      <c r="F732" s="44">
        <v>48.35</v>
      </c>
      <c r="G732" s="44">
        <v>48.35</v>
      </c>
      <c r="H732" s="44">
        <v>48.35</v>
      </c>
      <c r="I732" s="44">
        <v>0.45</v>
      </c>
      <c r="J732" s="44">
        <v>0.94</v>
      </c>
      <c r="K732" s="44">
        <v>0</v>
      </c>
      <c r="L732" s="44">
        <v>48.35</v>
      </c>
      <c r="M732" s="44">
        <v>8</v>
      </c>
    </row>
    <row r="733" spans="1:13" x14ac:dyDescent="0.25">
      <c r="A733" s="45" t="s">
        <v>1796</v>
      </c>
      <c r="C733" s="47"/>
    </row>
    <row r="734" spans="1:13" x14ac:dyDescent="0.25">
      <c r="A734" s="45" t="s">
        <v>1797</v>
      </c>
      <c r="C734" s="47"/>
    </row>
    <row r="735" spans="1:13" x14ac:dyDescent="0.25">
      <c r="A735" s="45" t="s">
        <v>1798</v>
      </c>
      <c r="B735" s="44" t="s">
        <v>4194</v>
      </c>
      <c r="C735" s="47">
        <v>44250</v>
      </c>
      <c r="D735" s="44">
        <v>202103</v>
      </c>
      <c r="E735" s="44">
        <v>48.4</v>
      </c>
      <c r="F735" s="44">
        <v>48.4</v>
      </c>
      <c r="G735" s="44">
        <v>48.4</v>
      </c>
      <c r="H735" s="44">
        <v>48.4</v>
      </c>
      <c r="I735" s="44">
        <v>0.45</v>
      </c>
      <c r="J735" s="44">
        <v>0.94</v>
      </c>
      <c r="K735" s="44">
        <v>0</v>
      </c>
      <c r="L735" s="44">
        <v>48.4</v>
      </c>
      <c r="M735" s="44">
        <v>124</v>
      </c>
    </row>
    <row r="736" spans="1:13" x14ac:dyDescent="0.25">
      <c r="A736" s="45" t="s">
        <v>1799</v>
      </c>
      <c r="B736" s="44" t="s">
        <v>4195</v>
      </c>
      <c r="C736" s="47">
        <v>44250</v>
      </c>
      <c r="D736" s="44">
        <v>202106</v>
      </c>
      <c r="E736" s="44">
        <v>48.4</v>
      </c>
      <c r="F736" s="44">
        <v>48.4</v>
      </c>
      <c r="G736" s="44">
        <v>48.4</v>
      </c>
      <c r="H736" s="44">
        <v>48.4</v>
      </c>
      <c r="I736" s="44">
        <v>0.45</v>
      </c>
      <c r="J736" s="44">
        <v>0.94</v>
      </c>
      <c r="K736" s="44">
        <v>0</v>
      </c>
      <c r="L736" s="44">
        <v>48.4</v>
      </c>
      <c r="M736" s="44">
        <v>0</v>
      </c>
    </row>
    <row r="737" spans="1:13" x14ac:dyDescent="0.25">
      <c r="A737" s="45" t="s">
        <v>1800</v>
      </c>
      <c r="B737" s="44" t="s">
        <v>4196</v>
      </c>
      <c r="C737" s="47">
        <v>44250</v>
      </c>
      <c r="D737" s="44">
        <v>202109</v>
      </c>
      <c r="E737" s="44">
        <v>48.6</v>
      </c>
      <c r="F737" s="44">
        <v>48.6</v>
      </c>
      <c r="G737" s="44">
        <v>48.6</v>
      </c>
      <c r="H737" s="44">
        <v>48.6</v>
      </c>
      <c r="I737" s="44">
        <v>0.45</v>
      </c>
      <c r="J737" s="44">
        <v>0.93</v>
      </c>
      <c r="K737" s="44">
        <v>0</v>
      </c>
      <c r="L737" s="44">
        <v>48.6</v>
      </c>
      <c r="M737" s="44">
        <v>0</v>
      </c>
    </row>
    <row r="738" spans="1:13" x14ac:dyDescent="0.25">
      <c r="A738" s="45" t="s">
        <v>1801</v>
      </c>
      <c r="B738" s="44" t="s">
        <v>4197</v>
      </c>
      <c r="C738" s="47">
        <v>44250</v>
      </c>
      <c r="D738" s="44">
        <v>202112</v>
      </c>
      <c r="E738" s="44">
        <v>48.5</v>
      </c>
      <c r="F738" s="44">
        <v>48.5</v>
      </c>
      <c r="G738" s="44">
        <v>48.5</v>
      </c>
      <c r="H738" s="44">
        <v>48.5</v>
      </c>
      <c r="I738" s="44">
        <v>0.45</v>
      </c>
      <c r="J738" s="44">
        <v>0.94</v>
      </c>
      <c r="K738" s="44">
        <v>0</v>
      </c>
      <c r="L738" s="44">
        <v>48.5</v>
      </c>
      <c r="M738" s="44">
        <v>0</v>
      </c>
    </row>
    <row r="739" spans="1:13" x14ac:dyDescent="0.25">
      <c r="A739" s="45" t="s">
        <v>943</v>
      </c>
      <c r="B739" s="44" t="s">
        <v>4198</v>
      </c>
      <c r="C739" s="47">
        <v>44250</v>
      </c>
      <c r="D739" s="44">
        <v>202103</v>
      </c>
      <c r="E739" s="44">
        <v>69.2</v>
      </c>
      <c r="F739" s="44">
        <v>70.599999999999994</v>
      </c>
      <c r="G739" s="44">
        <v>66.900000000000006</v>
      </c>
      <c r="H739" s="44">
        <v>70.2</v>
      </c>
      <c r="I739" s="44">
        <v>0.1</v>
      </c>
      <c r="J739" s="44">
        <v>0.14000000000000001</v>
      </c>
      <c r="K739" s="44">
        <v>345</v>
      </c>
      <c r="L739" s="44">
        <v>70.2</v>
      </c>
      <c r="M739" s="44">
        <v>1133</v>
      </c>
    </row>
    <row r="740" spans="1:13" x14ac:dyDescent="0.25">
      <c r="A740" s="45" t="s">
        <v>1802</v>
      </c>
      <c r="B740" s="44" t="s">
        <v>4199</v>
      </c>
      <c r="C740" s="47">
        <v>44250</v>
      </c>
      <c r="D740" s="44">
        <v>202103</v>
      </c>
      <c r="E740" s="44">
        <v>69.2</v>
      </c>
      <c r="F740" s="44">
        <v>70.599999999999994</v>
      </c>
      <c r="G740" s="44">
        <v>66.900000000000006</v>
      </c>
      <c r="H740" s="44">
        <v>70.2</v>
      </c>
      <c r="I740" s="44">
        <v>0.1</v>
      </c>
      <c r="J740" s="44">
        <v>0.14000000000000001</v>
      </c>
      <c r="K740" s="44">
        <v>345</v>
      </c>
      <c r="L740" s="44">
        <v>70.2</v>
      </c>
      <c r="M740" s="44">
        <v>1133</v>
      </c>
    </row>
    <row r="741" spans="1:13" x14ac:dyDescent="0.25">
      <c r="A741" s="45" t="s">
        <v>1803</v>
      </c>
      <c r="B741" s="44" t="s">
        <v>4200</v>
      </c>
      <c r="C741" s="47">
        <v>44250</v>
      </c>
      <c r="D741" s="44">
        <v>202104</v>
      </c>
      <c r="E741" s="44">
        <v>68.8</v>
      </c>
      <c r="F741" s="44">
        <v>70.5</v>
      </c>
      <c r="G741" s="44">
        <v>68.599999999999994</v>
      </c>
      <c r="H741" s="44">
        <v>69.8</v>
      </c>
      <c r="I741" s="44">
        <v>-0.2</v>
      </c>
      <c r="J741" s="44">
        <v>-0.28999999999999998</v>
      </c>
      <c r="K741" s="44">
        <v>8</v>
      </c>
      <c r="L741" s="44">
        <v>69.8</v>
      </c>
      <c r="M741" s="44">
        <v>24</v>
      </c>
    </row>
    <row r="742" spans="1:13" x14ac:dyDescent="0.25">
      <c r="A742" s="45" t="s">
        <v>1804</v>
      </c>
      <c r="B742" s="44" t="s">
        <v>4201</v>
      </c>
      <c r="C742" s="47">
        <v>44250</v>
      </c>
      <c r="D742" s="44">
        <v>202104</v>
      </c>
      <c r="E742" s="44">
        <v>68.8</v>
      </c>
      <c r="F742" s="44">
        <v>70.5</v>
      </c>
      <c r="G742" s="44">
        <v>68.599999999999994</v>
      </c>
      <c r="H742" s="44">
        <v>69.8</v>
      </c>
      <c r="I742" s="44">
        <v>-0.2</v>
      </c>
      <c r="J742" s="44">
        <v>-0.28999999999999998</v>
      </c>
      <c r="K742" s="44">
        <v>8</v>
      </c>
      <c r="L742" s="44">
        <v>69.8</v>
      </c>
      <c r="M742" s="44">
        <v>24</v>
      </c>
    </row>
    <row r="743" spans="1:13" x14ac:dyDescent="0.25">
      <c r="A743" s="45" t="s">
        <v>1805</v>
      </c>
      <c r="C743" s="47"/>
    </row>
    <row r="744" spans="1:13" x14ac:dyDescent="0.25">
      <c r="A744" s="45" t="s">
        <v>1806</v>
      </c>
      <c r="C744" s="47"/>
    </row>
    <row r="745" spans="1:13" x14ac:dyDescent="0.25">
      <c r="A745" s="45" t="s">
        <v>1807</v>
      </c>
      <c r="B745" s="44" t="s">
        <v>4202</v>
      </c>
      <c r="C745" s="47">
        <v>44250</v>
      </c>
      <c r="D745" s="44">
        <v>202103</v>
      </c>
      <c r="E745" s="44">
        <v>69.2</v>
      </c>
      <c r="F745" s="44">
        <v>70.599999999999994</v>
      </c>
      <c r="G745" s="44">
        <v>66.900000000000006</v>
      </c>
      <c r="H745" s="44">
        <v>70.2</v>
      </c>
      <c r="I745" s="44">
        <v>0.1</v>
      </c>
      <c r="J745" s="44">
        <v>0.14000000000000001</v>
      </c>
      <c r="K745" s="44">
        <v>345</v>
      </c>
      <c r="L745" s="44">
        <v>70.2</v>
      </c>
      <c r="M745" s="44">
        <v>1133</v>
      </c>
    </row>
    <row r="746" spans="1:13" x14ac:dyDescent="0.25">
      <c r="A746" s="45" t="s">
        <v>1808</v>
      </c>
      <c r="B746" s="44" t="s">
        <v>4203</v>
      </c>
      <c r="C746" s="47">
        <v>44250</v>
      </c>
      <c r="D746" s="44">
        <v>202106</v>
      </c>
      <c r="E746" s="44">
        <v>70</v>
      </c>
      <c r="F746" s="44">
        <v>70</v>
      </c>
      <c r="G746" s="44">
        <v>70</v>
      </c>
      <c r="H746" s="44">
        <v>70</v>
      </c>
      <c r="I746" s="44">
        <v>0.1</v>
      </c>
      <c r="J746" s="44">
        <v>0.14000000000000001</v>
      </c>
      <c r="K746" s="44">
        <v>0</v>
      </c>
      <c r="L746" s="44">
        <v>70</v>
      </c>
      <c r="M746" s="44">
        <v>1</v>
      </c>
    </row>
    <row r="747" spans="1:13" x14ac:dyDescent="0.25">
      <c r="A747" s="45" t="s">
        <v>1809</v>
      </c>
      <c r="B747" s="44" t="s">
        <v>4204</v>
      </c>
      <c r="C747" s="47">
        <v>44250</v>
      </c>
      <c r="D747" s="44">
        <v>202109</v>
      </c>
      <c r="E747" s="44">
        <v>69.7</v>
      </c>
      <c r="F747" s="44">
        <v>69.7</v>
      </c>
      <c r="G747" s="44">
        <v>69.7</v>
      </c>
      <c r="H747" s="44">
        <v>69.7</v>
      </c>
      <c r="I747" s="44">
        <v>0.1</v>
      </c>
      <c r="J747" s="44">
        <v>0.14000000000000001</v>
      </c>
      <c r="K747" s="44">
        <v>0</v>
      </c>
      <c r="L747" s="44">
        <v>69.7</v>
      </c>
      <c r="M747" s="44">
        <v>0</v>
      </c>
    </row>
    <row r="748" spans="1:13" x14ac:dyDescent="0.25">
      <c r="A748" s="45" t="s">
        <v>1810</v>
      </c>
      <c r="B748" s="44" t="s">
        <v>4205</v>
      </c>
      <c r="C748" s="47">
        <v>44250</v>
      </c>
      <c r="D748" s="44">
        <v>202112</v>
      </c>
      <c r="E748" s="44">
        <v>70.2</v>
      </c>
      <c r="F748" s="44">
        <v>70.2</v>
      </c>
      <c r="G748" s="44">
        <v>70.2</v>
      </c>
      <c r="H748" s="44">
        <v>70.2</v>
      </c>
      <c r="I748" s="44">
        <v>0.1</v>
      </c>
      <c r="J748" s="44">
        <v>0.14000000000000001</v>
      </c>
      <c r="K748" s="44">
        <v>0</v>
      </c>
      <c r="L748" s="44">
        <v>70.2</v>
      </c>
      <c r="M748" s="44">
        <v>0</v>
      </c>
    </row>
    <row r="749" spans="1:13" x14ac:dyDescent="0.25">
      <c r="A749" s="45" t="s">
        <v>1811</v>
      </c>
      <c r="B749" s="44" t="s">
        <v>4206</v>
      </c>
      <c r="C749" s="47">
        <v>44250</v>
      </c>
      <c r="D749" s="44">
        <v>202102</v>
      </c>
      <c r="E749" s="44">
        <v>1812</v>
      </c>
      <c r="F749" s="44">
        <v>1812</v>
      </c>
      <c r="G749" s="44">
        <v>1812</v>
      </c>
      <c r="H749" s="44">
        <v>1812</v>
      </c>
      <c r="I749" s="44">
        <v>19</v>
      </c>
      <c r="J749" s="44">
        <v>1.06</v>
      </c>
      <c r="K749" s="44">
        <v>454</v>
      </c>
      <c r="L749" s="44">
        <v>1812</v>
      </c>
      <c r="M749" s="44">
        <v>35</v>
      </c>
    </row>
    <row r="750" spans="1:13" x14ac:dyDescent="0.25">
      <c r="A750" s="45" t="s">
        <v>1812</v>
      </c>
      <c r="B750" s="44" t="s">
        <v>4207</v>
      </c>
      <c r="C750" s="47">
        <v>44250</v>
      </c>
      <c r="D750" s="44">
        <v>202102</v>
      </c>
      <c r="E750" s="44">
        <v>1812</v>
      </c>
      <c r="F750" s="44">
        <v>1812</v>
      </c>
      <c r="G750" s="44">
        <v>1812</v>
      </c>
      <c r="H750" s="44">
        <v>1812</v>
      </c>
      <c r="I750" s="44">
        <v>19</v>
      </c>
      <c r="J750" s="44">
        <v>1.06</v>
      </c>
      <c r="K750" s="44">
        <v>454</v>
      </c>
      <c r="L750" s="44">
        <v>1812</v>
      </c>
      <c r="M750" s="44">
        <v>35</v>
      </c>
    </row>
    <row r="751" spans="1:13" x14ac:dyDescent="0.25">
      <c r="A751" s="45" t="s">
        <v>1813</v>
      </c>
      <c r="B751" s="44" t="s">
        <v>4208</v>
      </c>
      <c r="C751" s="47"/>
    </row>
    <row r="752" spans="1:13" x14ac:dyDescent="0.25">
      <c r="A752" s="45" t="s">
        <v>1814</v>
      </c>
      <c r="B752" s="44" t="s">
        <v>4209</v>
      </c>
      <c r="C752" s="47">
        <v>44250</v>
      </c>
      <c r="D752" s="44">
        <v>202104</v>
      </c>
      <c r="E752" s="44">
        <v>1795.5</v>
      </c>
      <c r="F752" s="44">
        <v>1795.5</v>
      </c>
      <c r="G752" s="44">
        <v>1795.5</v>
      </c>
      <c r="H752" s="44">
        <v>1795.5</v>
      </c>
      <c r="I752" s="44">
        <v>0</v>
      </c>
      <c r="J752" s="44">
        <v>0</v>
      </c>
      <c r="K752" s="44">
        <v>452</v>
      </c>
      <c r="L752" s="44">
        <v>1814.5</v>
      </c>
      <c r="M752" s="44">
        <v>225</v>
      </c>
    </row>
    <row r="753" spans="1:13" x14ac:dyDescent="0.25">
      <c r="A753" s="45" t="s">
        <v>1815</v>
      </c>
      <c r="B753" s="44" t="s">
        <v>4210</v>
      </c>
      <c r="C753" s="47">
        <v>44250</v>
      </c>
      <c r="D753" s="44">
        <v>202104</v>
      </c>
      <c r="E753" s="44">
        <v>1795.5</v>
      </c>
      <c r="F753" s="44">
        <v>1795.5</v>
      </c>
      <c r="G753" s="44">
        <v>1795.5</v>
      </c>
      <c r="H753" s="44">
        <v>1795.5</v>
      </c>
      <c r="I753" s="44">
        <v>0</v>
      </c>
      <c r="J753" s="44">
        <v>0</v>
      </c>
      <c r="K753" s="44">
        <v>452</v>
      </c>
      <c r="L753" s="44">
        <v>1814.5</v>
      </c>
      <c r="M753" s="44">
        <v>225</v>
      </c>
    </row>
    <row r="754" spans="1:13" x14ac:dyDescent="0.25">
      <c r="A754" s="45" t="s">
        <v>1816</v>
      </c>
      <c r="B754" s="44" t="s">
        <v>4211</v>
      </c>
      <c r="C754" s="47">
        <v>44250</v>
      </c>
      <c r="D754" s="44">
        <v>202102</v>
      </c>
      <c r="E754" s="44">
        <v>1812</v>
      </c>
      <c r="F754" s="44">
        <v>1812</v>
      </c>
      <c r="G754" s="44">
        <v>1812</v>
      </c>
      <c r="H754" s="44">
        <v>1812</v>
      </c>
      <c r="I754" s="44">
        <v>19</v>
      </c>
      <c r="J754" s="44">
        <v>1.06</v>
      </c>
      <c r="K754" s="44">
        <v>454</v>
      </c>
      <c r="L754" s="44">
        <v>1812</v>
      </c>
      <c r="M754" s="44">
        <v>35</v>
      </c>
    </row>
    <row r="755" spans="1:13" x14ac:dyDescent="0.25">
      <c r="A755" s="45" t="s">
        <v>1817</v>
      </c>
      <c r="B755" s="44" t="s">
        <v>4212</v>
      </c>
      <c r="C755" s="47"/>
    </row>
    <row r="756" spans="1:13" x14ac:dyDescent="0.25">
      <c r="A756" s="45" t="s">
        <v>1818</v>
      </c>
      <c r="B756" s="44" t="s">
        <v>4213</v>
      </c>
      <c r="C756" s="47">
        <v>44250</v>
      </c>
      <c r="D756" s="44">
        <v>202104</v>
      </c>
      <c r="E756" s="44">
        <v>1795.5</v>
      </c>
      <c r="F756" s="44">
        <v>1795.5</v>
      </c>
      <c r="G756" s="44">
        <v>1795.5</v>
      </c>
      <c r="H756" s="44">
        <v>1795.5</v>
      </c>
      <c r="I756" s="44">
        <v>0</v>
      </c>
      <c r="J756" s="44">
        <v>0</v>
      </c>
      <c r="K756" s="44">
        <v>452</v>
      </c>
      <c r="L756" s="44">
        <v>1814.5</v>
      </c>
      <c r="M756" s="44">
        <v>225</v>
      </c>
    </row>
    <row r="757" spans="1:13" x14ac:dyDescent="0.25">
      <c r="A757" s="45" t="s">
        <v>1819</v>
      </c>
      <c r="B757" s="44" t="s">
        <v>4214</v>
      </c>
      <c r="C757" s="47"/>
    </row>
    <row r="758" spans="1:13" x14ac:dyDescent="0.25">
      <c r="A758" s="45" t="s">
        <v>1820</v>
      </c>
      <c r="B758" s="44" t="s">
        <v>4215</v>
      </c>
      <c r="C758" s="47">
        <v>44250</v>
      </c>
      <c r="D758" s="44">
        <v>202106</v>
      </c>
      <c r="E758" s="44">
        <v>1830.7</v>
      </c>
      <c r="F758" s="44">
        <v>1830.7</v>
      </c>
      <c r="G758" s="44">
        <v>1830.7</v>
      </c>
      <c r="H758" s="44">
        <v>1830.7</v>
      </c>
      <c r="I758" s="44">
        <v>19</v>
      </c>
      <c r="J758" s="44">
        <v>1.05</v>
      </c>
      <c r="K758" s="44">
        <v>0</v>
      </c>
      <c r="L758" s="44">
        <v>1830.7</v>
      </c>
      <c r="M758" s="44">
        <v>0</v>
      </c>
    </row>
    <row r="759" spans="1:13" x14ac:dyDescent="0.25">
      <c r="A759" s="45" t="s">
        <v>1821</v>
      </c>
      <c r="B759" s="44" t="s">
        <v>4216</v>
      </c>
      <c r="C759" s="47"/>
    </row>
    <row r="760" spans="1:13" x14ac:dyDescent="0.25">
      <c r="A760" s="45" t="s">
        <v>1822</v>
      </c>
      <c r="B760" s="44" t="s">
        <v>4217</v>
      </c>
      <c r="C760" s="47">
        <v>44250</v>
      </c>
      <c r="D760" s="44">
        <v>202108</v>
      </c>
      <c r="E760" s="44">
        <v>1827.1</v>
      </c>
      <c r="F760" s="44">
        <v>1827.1</v>
      </c>
      <c r="G760" s="44">
        <v>1827.1</v>
      </c>
      <c r="H760" s="44">
        <v>1827.1</v>
      </c>
      <c r="I760" s="44">
        <v>19</v>
      </c>
      <c r="J760" s="44">
        <v>1.05</v>
      </c>
      <c r="K760" s="44">
        <v>0</v>
      </c>
      <c r="L760" s="44">
        <v>1827.1</v>
      </c>
      <c r="M760" s="44">
        <v>0</v>
      </c>
    </row>
    <row r="761" spans="1:13" x14ac:dyDescent="0.25">
      <c r="A761" s="45" t="s">
        <v>1823</v>
      </c>
      <c r="B761" s="44" t="s">
        <v>4218</v>
      </c>
      <c r="C761" s="47"/>
    </row>
    <row r="762" spans="1:13" x14ac:dyDescent="0.25">
      <c r="A762" s="45" t="s">
        <v>1824</v>
      </c>
      <c r="B762" s="44" t="s">
        <v>4219</v>
      </c>
      <c r="C762" s="47">
        <v>44250</v>
      </c>
      <c r="D762" s="44">
        <v>202110</v>
      </c>
      <c r="E762" s="44">
        <v>1827</v>
      </c>
      <c r="F762" s="44">
        <v>1827</v>
      </c>
      <c r="G762" s="44">
        <v>1827</v>
      </c>
      <c r="H762" s="44">
        <v>1827</v>
      </c>
      <c r="I762" s="44">
        <v>19</v>
      </c>
      <c r="J762" s="44">
        <v>1.05</v>
      </c>
      <c r="K762" s="44">
        <v>0</v>
      </c>
      <c r="L762" s="44">
        <v>1827</v>
      </c>
      <c r="M762" s="44">
        <v>0</v>
      </c>
    </row>
    <row r="763" spans="1:13" x14ac:dyDescent="0.25">
      <c r="A763" s="45" t="s">
        <v>1825</v>
      </c>
      <c r="B763" s="44" t="s">
        <v>4220</v>
      </c>
      <c r="C763" s="47"/>
    </row>
    <row r="764" spans="1:13" x14ac:dyDescent="0.25">
      <c r="A764" s="45" t="s">
        <v>1826</v>
      </c>
      <c r="B764" s="44" t="s">
        <v>4221</v>
      </c>
      <c r="C764" s="47">
        <v>44250</v>
      </c>
      <c r="D764" s="44">
        <v>202112</v>
      </c>
      <c r="E764" s="44">
        <v>1826</v>
      </c>
      <c r="F764" s="44">
        <v>1826</v>
      </c>
      <c r="G764" s="44">
        <v>1826</v>
      </c>
      <c r="H764" s="44">
        <v>1826</v>
      </c>
      <c r="I764" s="44">
        <v>19</v>
      </c>
      <c r="J764" s="44">
        <v>1.05</v>
      </c>
      <c r="K764" s="44">
        <v>0</v>
      </c>
      <c r="L764" s="44">
        <v>1826</v>
      </c>
      <c r="M764" s="44">
        <v>0</v>
      </c>
    </row>
    <row r="765" spans="1:13" x14ac:dyDescent="0.25">
      <c r="A765" s="45" t="s">
        <v>1827</v>
      </c>
      <c r="B765" s="44" t="s">
        <v>4222</v>
      </c>
      <c r="C765" s="47"/>
    </row>
    <row r="766" spans="1:13" x14ac:dyDescent="0.25">
      <c r="A766" s="45" t="s">
        <v>1828</v>
      </c>
      <c r="B766" s="44" t="s">
        <v>4223</v>
      </c>
      <c r="C766" s="47"/>
    </row>
    <row r="767" spans="1:13" x14ac:dyDescent="0.25">
      <c r="A767" s="45" t="s">
        <v>1829</v>
      </c>
      <c r="B767" s="44" t="s">
        <v>4224</v>
      </c>
      <c r="C767" s="47"/>
    </row>
    <row r="768" spans="1:13" x14ac:dyDescent="0.25">
      <c r="A768" s="45" t="s">
        <v>949</v>
      </c>
      <c r="B768" s="44" t="s">
        <v>4225</v>
      </c>
      <c r="C768" s="47">
        <v>44250</v>
      </c>
      <c r="D768" s="44">
        <v>202103</v>
      </c>
      <c r="E768" s="44">
        <v>86</v>
      </c>
      <c r="F768" s="44">
        <v>93.1</v>
      </c>
      <c r="G768" s="44">
        <v>85.3</v>
      </c>
      <c r="H768" s="44">
        <v>90.9</v>
      </c>
      <c r="I768" s="44">
        <v>3.3</v>
      </c>
      <c r="J768" s="44">
        <v>3.77</v>
      </c>
      <c r="K768" s="44">
        <v>2453</v>
      </c>
      <c r="L768" s="44">
        <v>90.9</v>
      </c>
      <c r="M768" s="44">
        <v>812</v>
      </c>
    </row>
    <row r="769" spans="1:13" x14ac:dyDescent="0.25">
      <c r="A769" s="45" t="s">
        <v>1830</v>
      </c>
      <c r="B769" s="44" t="s">
        <v>4226</v>
      </c>
      <c r="C769" s="47">
        <v>44250</v>
      </c>
      <c r="D769" s="44">
        <v>202103</v>
      </c>
      <c r="E769" s="44">
        <v>86</v>
      </c>
      <c r="F769" s="44">
        <v>93.1</v>
      </c>
      <c r="G769" s="44">
        <v>85.3</v>
      </c>
      <c r="H769" s="44">
        <v>90.9</v>
      </c>
      <c r="I769" s="44">
        <v>3.3</v>
      </c>
      <c r="J769" s="44">
        <v>3.77</v>
      </c>
      <c r="K769" s="44">
        <v>2453</v>
      </c>
      <c r="L769" s="44">
        <v>90.9</v>
      </c>
      <c r="M769" s="44">
        <v>812</v>
      </c>
    </row>
    <row r="770" spans="1:13" x14ac:dyDescent="0.25">
      <c r="A770" s="45" t="s">
        <v>1831</v>
      </c>
      <c r="B770" s="44" t="s">
        <v>4227</v>
      </c>
      <c r="C770" s="47">
        <v>44250</v>
      </c>
      <c r="D770" s="44">
        <v>202104</v>
      </c>
      <c r="E770" s="44">
        <v>85.5</v>
      </c>
      <c r="F770" s="44">
        <v>92.9</v>
      </c>
      <c r="G770" s="44">
        <v>85.5</v>
      </c>
      <c r="H770" s="44">
        <v>90.6</v>
      </c>
      <c r="I770" s="44">
        <v>3.1</v>
      </c>
      <c r="J770" s="44">
        <v>3.54</v>
      </c>
      <c r="K770" s="44">
        <v>46</v>
      </c>
      <c r="L770" s="44">
        <v>90.6</v>
      </c>
      <c r="M770" s="44">
        <v>15</v>
      </c>
    </row>
    <row r="771" spans="1:13" x14ac:dyDescent="0.25">
      <c r="A771" s="45" t="s">
        <v>1832</v>
      </c>
      <c r="B771" s="44" t="s">
        <v>4228</v>
      </c>
      <c r="C771" s="47">
        <v>44250</v>
      </c>
      <c r="D771" s="44">
        <v>202104</v>
      </c>
      <c r="E771" s="44">
        <v>85.5</v>
      </c>
      <c r="F771" s="44">
        <v>92.9</v>
      </c>
      <c r="G771" s="44">
        <v>85.5</v>
      </c>
      <c r="H771" s="44">
        <v>90.6</v>
      </c>
      <c r="I771" s="44">
        <v>3.1</v>
      </c>
      <c r="J771" s="44">
        <v>3.54</v>
      </c>
      <c r="K771" s="44">
        <v>46</v>
      </c>
      <c r="L771" s="44">
        <v>90.6</v>
      </c>
      <c r="M771" s="44">
        <v>15</v>
      </c>
    </row>
    <row r="772" spans="1:13" x14ac:dyDescent="0.25">
      <c r="A772" s="45" t="s">
        <v>1833</v>
      </c>
      <c r="C772" s="47"/>
    </row>
    <row r="773" spans="1:13" x14ac:dyDescent="0.25">
      <c r="A773" s="45" t="s">
        <v>1834</v>
      </c>
      <c r="C773" s="47"/>
    </row>
    <row r="774" spans="1:13" x14ac:dyDescent="0.25">
      <c r="A774" s="45" t="s">
        <v>1835</v>
      </c>
      <c r="B774" s="44" t="s">
        <v>4229</v>
      </c>
      <c r="C774" s="47">
        <v>44250</v>
      </c>
      <c r="D774" s="44">
        <v>202103</v>
      </c>
      <c r="E774" s="44">
        <v>86</v>
      </c>
      <c r="F774" s="44">
        <v>93.1</v>
      </c>
      <c r="G774" s="44">
        <v>85.3</v>
      </c>
      <c r="H774" s="44">
        <v>90.9</v>
      </c>
      <c r="I774" s="44">
        <v>3.3</v>
      </c>
      <c r="J774" s="44">
        <v>3.77</v>
      </c>
      <c r="K774" s="44">
        <v>2453</v>
      </c>
      <c r="L774" s="44">
        <v>90.9</v>
      </c>
      <c r="M774" s="44">
        <v>812</v>
      </c>
    </row>
    <row r="775" spans="1:13" x14ac:dyDescent="0.25">
      <c r="A775" s="45" t="s">
        <v>1836</v>
      </c>
      <c r="B775" s="44" t="s">
        <v>4230</v>
      </c>
      <c r="C775" s="47">
        <v>44250</v>
      </c>
      <c r="D775" s="44">
        <v>202106</v>
      </c>
      <c r="E775" s="44">
        <v>90.3</v>
      </c>
      <c r="F775" s="44">
        <v>90.3</v>
      </c>
      <c r="G775" s="44">
        <v>90.3</v>
      </c>
      <c r="H775" s="44">
        <v>90.3</v>
      </c>
      <c r="I775" s="44">
        <v>3.3</v>
      </c>
      <c r="J775" s="44">
        <v>3.79</v>
      </c>
      <c r="K775" s="44">
        <v>0</v>
      </c>
      <c r="L775" s="44">
        <v>90.3</v>
      </c>
      <c r="M775" s="44">
        <v>0</v>
      </c>
    </row>
    <row r="776" spans="1:13" x14ac:dyDescent="0.25">
      <c r="A776" s="45" t="s">
        <v>1837</v>
      </c>
      <c r="B776" s="44" t="s">
        <v>4231</v>
      </c>
      <c r="C776" s="47">
        <v>44250</v>
      </c>
      <c r="D776" s="44">
        <v>202109</v>
      </c>
      <c r="E776" s="44">
        <v>90.6</v>
      </c>
      <c r="F776" s="44">
        <v>90.6</v>
      </c>
      <c r="G776" s="44">
        <v>90.6</v>
      </c>
      <c r="H776" s="44">
        <v>90.6</v>
      </c>
      <c r="I776" s="44">
        <v>3.3</v>
      </c>
      <c r="J776" s="44">
        <v>3.78</v>
      </c>
      <c r="K776" s="44">
        <v>0</v>
      </c>
      <c r="L776" s="44">
        <v>90.6</v>
      </c>
      <c r="M776" s="44">
        <v>0</v>
      </c>
    </row>
    <row r="777" spans="1:13" x14ac:dyDescent="0.25">
      <c r="A777" s="45" t="s">
        <v>1838</v>
      </c>
      <c r="B777" s="44" t="s">
        <v>4232</v>
      </c>
      <c r="C777" s="47">
        <v>44250</v>
      </c>
      <c r="D777" s="44">
        <v>202112</v>
      </c>
      <c r="E777" s="44">
        <v>90.5</v>
      </c>
      <c r="F777" s="44">
        <v>90.5</v>
      </c>
      <c r="G777" s="44">
        <v>90.5</v>
      </c>
      <c r="H777" s="44">
        <v>90.5</v>
      </c>
      <c r="I777" s="44">
        <v>3.3</v>
      </c>
      <c r="J777" s="44">
        <v>3.78</v>
      </c>
      <c r="K777" s="44">
        <v>0</v>
      </c>
      <c r="L777" s="44">
        <v>90.5</v>
      </c>
      <c r="M777" s="44">
        <v>0</v>
      </c>
    </row>
    <row r="778" spans="1:13" x14ac:dyDescent="0.25">
      <c r="A778" s="45" t="s">
        <v>950</v>
      </c>
      <c r="B778" s="44" t="s">
        <v>4233</v>
      </c>
      <c r="C778" s="47">
        <v>44250</v>
      </c>
      <c r="D778" s="44">
        <v>202103</v>
      </c>
      <c r="E778" s="44">
        <v>145</v>
      </c>
      <c r="F778" s="44">
        <v>162</v>
      </c>
      <c r="G778" s="44">
        <v>144.5</v>
      </c>
      <c r="H778" s="44">
        <v>162</v>
      </c>
      <c r="I778" s="44">
        <v>14.5</v>
      </c>
      <c r="J778" s="44">
        <v>9.83</v>
      </c>
      <c r="K778" s="44">
        <v>2383</v>
      </c>
      <c r="L778" s="44">
        <v>162</v>
      </c>
      <c r="M778" s="44">
        <v>724</v>
      </c>
    </row>
    <row r="779" spans="1:13" x14ac:dyDescent="0.25">
      <c r="A779" s="45" t="s">
        <v>1839</v>
      </c>
      <c r="B779" s="44" t="s">
        <v>4234</v>
      </c>
      <c r="C779" s="47">
        <v>44250</v>
      </c>
      <c r="D779" s="44">
        <v>202103</v>
      </c>
      <c r="E779" s="44">
        <v>145</v>
      </c>
      <c r="F779" s="44">
        <v>162</v>
      </c>
      <c r="G779" s="44">
        <v>144.5</v>
      </c>
      <c r="H779" s="44">
        <v>162</v>
      </c>
      <c r="I779" s="44">
        <v>14.5</v>
      </c>
      <c r="J779" s="44">
        <v>9.83</v>
      </c>
      <c r="K779" s="44">
        <v>2383</v>
      </c>
      <c r="L779" s="44">
        <v>162</v>
      </c>
      <c r="M779" s="44">
        <v>724</v>
      </c>
    </row>
    <row r="780" spans="1:13" x14ac:dyDescent="0.25">
      <c r="A780" s="45" t="s">
        <v>1840</v>
      </c>
      <c r="B780" s="44" t="s">
        <v>4235</v>
      </c>
      <c r="C780" s="47">
        <v>44250</v>
      </c>
      <c r="D780" s="44">
        <v>202104</v>
      </c>
      <c r="E780" s="44">
        <v>161.5</v>
      </c>
      <c r="F780" s="44">
        <v>161.5</v>
      </c>
      <c r="G780" s="44">
        <v>161.5</v>
      </c>
      <c r="H780" s="44">
        <v>161.5</v>
      </c>
      <c r="I780" s="44">
        <v>14.5</v>
      </c>
      <c r="J780" s="44">
        <v>9.86</v>
      </c>
      <c r="K780" s="44">
        <v>0</v>
      </c>
      <c r="L780" s="44">
        <v>161.5</v>
      </c>
      <c r="M780" s="44">
        <v>24</v>
      </c>
    </row>
    <row r="781" spans="1:13" x14ac:dyDescent="0.25">
      <c r="A781" s="45" t="s">
        <v>1841</v>
      </c>
      <c r="B781" s="44" t="s">
        <v>4236</v>
      </c>
      <c r="C781" s="47">
        <v>44250</v>
      </c>
      <c r="D781" s="44">
        <v>202104</v>
      </c>
      <c r="E781" s="44">
        <v>161.5</v>
      </c>
      <c r="F781" s="44">
        <v>161.5</v>
      </c>
      <c r="G781" s="44">
        <v>161.5</v>
      </c>
      <c r="H781" s="44">
        <v>161.5</v>
      </c>
      <c r="I781" s="44">
        <v>14.5</v>
      </c>
      <c r="J781" s="44">
        <v>9.86</v>
      </c>
      <c r="K781" s="44">
        <v>0</v>
      </c>
      <c r="L781" s="44">
        <v>161.5</v>
      </c>
      <c r="M781" s="44">
        <v>24</v>
      </c>
    </row>
    <row r="782" spans="1:13" x14ac:dyDescent="0.25">
      <c r="A782" s="45" t="s">
        <v>1842</v>
      </c>
      <c r="C782" s="47"/>
    </row>
    <row r="783" spans="1:13" x14ac:dyDescent="0.25">
      <c r="A783" s="45" t="s">
        <v>1843</v>
      </c>
      <c r="C783" s="47"/>
    </row>
    <row r="784" spans="1:13" x14ac:dyDescent="0.25">
      <c r="A784" s="45" t="s">
        <v>1844</v>
      </c>
      <c r="B784" s="44" t="s">
        <v>4237</v>
      </c>
      <c r="C784" s="47">
        <v>44250</v>
      </c>
      <c r="D784" s="44">
        <v>202103</v>
      </c>
      <c r="E784" s="44">
        <v>145</v>
      </c>
      <c r="F784" s="44">
        <v>162</v>
      </c>
      <c r="G784" s="44">
        <v>144.5</v>
      </c>
      <c r="H784" s="44">
        <v>162</v>
      </c>
      <c r="I784" s="44">
        <v>14.5</v>
      </c>
      <c r="J784" s="44">
        <v>9.83</v>
      </c>
      <c r="K784" s="44">
        <v>2383</v>
      </c>
      <c r="L784" s="44">
        <v>162</v>
      </c>
      <c r="M784" s="44">
        <v>724</v>
      </c>
    </row>
    <row r="785" spans="1:13" x14ac:dyDescent="0.25">
      <c r="A785" s="45" t="s">
        <v>1845</v>
      </c>
      <c r="B785" s="44" t="s">
        <v>4238</v>
      </c>
      <c r="C785" s="47">
        <v>44250</v>
      </c>
      <c r="D785" s="44">
        <v>202106</v>
      </c>
      <c r="E785" s="44">
        <v>160</v>
      </c>
      <c r="F785" s="44">
        <v>160</v>
      </c>
      <c r="G785" s="44">
        <v>160</v>
      </c>
      <c r="H785" s="44">
        <v>160</v>
      </c>
      <c r="I785" s="44">
        <v>13.5</v>
      </c>
      <c r="J785" s="44">
        <v>9.2200000000000006</v>
      </c>
      <c r="K785" s="44">
        <v>1</v>
      </c>
      <c r="L785" s="44">
        <v>160</v>
      </c>
      <c r="M785" s="44">
        <v>1</v>
      </c>
    </row>
    <row r="786" spans="1:13" x14ac:dyDescent="0.25">
      <c r="A786" s="45" t="s">
        <v>1846</v>
      </c>
      <c r="B786" s="44" t="s">
        <v>4239</v>
      </c>
      <c r="C786" s="47">
        <v>44250</v>
      </c>
      <c r="D786" s="44">
        <v>202109</v>
      </c>
      <c r="E786" s="44">
        <v>160.5</v>
      </c>
      <c r="F786" s="44">
        <v>160.5</v>
      </c>
      <c r="G786" s="44">
        <v>160.5</v>
      </c>
      <c r="H786" s="44">
        <v>160.5</v>
      </c>
      <c r="I786" s="44">
        <v>14.5</v>
      </c>
      <c r="J786" s="44">
        <v>9.93</v>
      </c>
      <c r="K786" s="44">
        <v>0</v>
      </c>
      <c r="L786" s="44">
        <v>160.5</v>
      </c>
      <c r="M786" s="44">
        <v>1</v>
      </c>
    </row>
    <row r="787" spans="1:13" x14ac:dyDescent="0.25">
      <c r="A787" s="45" t="s">
        <v>1847</v>
      </c>
      <c r="B787" s="44" t="s">
        <v>4240</v>
      </c>
      <c r="C787" s="47">
        <v>44250</v>
      </c>
      <c r="D787" s="44">
        <v>202112</v>
      </c>
      <c r="E787" s="44">
        <v>162.5</v>
      </c>
      <c r="F787" s="44">
        <v>162.5</v>
      </c>
      <c r="G787" s="44">
        <v>162.5</v>
      </c>
      <c r="H787" s="44">
        <v>162.5</v>
      </c>
      <c r="I787" s="44">
        <v>14.5</v>
      </c>
      <c r="J787" s="44">
        <v>9.8000000000000007</v>
      </c>
      <c r="K787" s="44">
        <v>0</v>
      </c>
      <c r="L787" s="44">
        <v>162.5</v>
      </c>
      <c r="M787" s="44">
        <v>0</v>
      </c>
    </row>
    <row r="788" spans="1:13" x14ac:dyDescent="0.25">
      <c r="A788" s="45" t="s">
        <v>951</v>
      </c>
      <c r="B788" s="44" t="s">
        <v>4241</v>
      </c>
      <c r="C788" s="47">
        <v>44250</v>
      </c>
      <c r="D788" s="44">
        <v>202103</v>
      </c>
      <c r="E788" s="44">
        <v>482.5</v>
      </c>
      <c r="F788" s="44">
        <v>484</v>
      </c>
      <c r="G788" s="44">
        <v>470</v>
      </c>
      <c r="H788" s="44">
        <v>484</v>
      </c>
      <c r="I788" s="44">
        <v>-6.5</v>
      </c>
      <c r="J788" s="44">
        <v>-1.33</v>
      </c>
      <c r="K788" s="44">
        <v>259</v>
      </c>
      <c r="L788" s="44">
        <v>488.5</v>
      </c>
      <c r="M788" s="44">
        <v>705</v>
      </c>
    </row>
    <row r="789" spans="1:13" x14ac:dyDescent="0.25">
      <c r="A789" s="45" t="s">
        <v>1848</v>
      </c>
      <c r="B789" s="44" t="s">
        <v>4242</v>
      </c>
      <c r="C789" s="47">
        <v>44250</v>
      </c>
      <c r="D789" s="44">
        <v>202103</v>
      </c>
      <c r="E789" s="44">
        <v>482.5</v>
      </c>
      <c r="F789" s="44">
        <v>484</v>
      </c>
      <c r="G789" s="44">
        <v>470</v>
      </c>
      <c r="H789" s="44">
        <v>484</v>
      </c>
      <c r="I789" s="44">
        <v>-6.5</v>
      </c>
      <c r="J789" s="44">
        <v>-1.33</v>
      </c>
      <c r="K789" s="44">
        <v>259</v>
      </c>
      <c r="L789" s="44">
        <v>488.5</v>
      </c>
      <c r="M789" s="44">
        <v>705</v>
      </c>
    </row>
    <row r="790" spans="1:13" x14ac:dyDescent="0.25">
      <c r="A790" s="45" t="s">
        <v>1849</v>
      </c>
      <c r="B790" s="44" t="s">
        <v>4243</v>
      </c>
      <c r="C790" s="47">
        <v>44250</v>
      </c>
      <c r="D790" s="44">
        <v>202104</v>
      </c>
      <c r="E790" s="44">
        <v>477.5</v>
      </c>
      <c r="F790" s="44">
        <v>477.5</v>
      </c>
      <c r="G790" s="44">
        <v>477.5</v>
      </c>
      <c r="H790" s="44">
        <v>477.5</v>
      </c>
      <c r="I790" s="44">
        <v>-10</v>
      </c>
      <c r="J790" s="44">
        <v>-2.0499999999999998</v>
      </c>
      <c r="K790" s="44">
        <v>91</v>
      </c>
      <c r="L790" s="44">
        <v>484</v>
      </c>
      <c r="M790" s="44">
        <v>210</v>
      </c>
    </row>
    <row r="791" spans="1:13" x14ac:dyDescent="0.25">
      <c r="A791" s="45" t="s">
        <v>1850</v>
      </c>
      <c r="B791" s="44" t="s">
        <v>4244</v>
      </c>
      <c r="C791" s="47">
        <v>44250</v>
      </c>
      <c r="D791" s="44">
        <v>202104</v>
      </c>
      <c r="E791" s="44">
        <v>477.5</v>
      </c>
      <c r="F791" s="44">
        <v>477.5</v>
      </c>
      <c r="G791" s="44">
        <v>477.5</v>
      </c>
      <c r="H791" s="44">
        <v>477.5</v>
      </c>
      <c r="I791" s="44">
        <v>-10</v>
      </c>
      <c r="J791" s="44">
        <v>-2.0499999999999998</v>
      </c>
      <c r="K791" s="44">
        <v>91</v>
      </c>
      <c r="L791" s="44">
        <v>484</v>
      </c>
      <c r="M791" s="44">
        <v>210</v>
      </c>
    </row>
    <row r="792" spans="1:13" x14ac:dyDescent="0.25">
      <c r="A792" s="45" t="s">
        <v>1851</v>
      </c>
      <c r="C792" s="47"/>
    </row>
    <row r="793" spans="1:13" x14ac:dyDescent="0.25">
      <c r="A793" s="45" t="s">
        <v>1852</v>
      </c>
      <c r="C793" s="47"/>
    </row>
    <row r="794" spans="1:13" x14ac:dyDescent="0.25">
      <c r="A794" s="45" t="s">
        <v>1853</v>
      </c>
      <c r="B794" s="44" t="s">
        <v>4245</v>
      </c>
      <c r="C794" s="47">
        <v>44250</v>
      </c>
      <c r="D794" s="44">
        <v>202103</v>
      </c>
      <c r="E794" s="44">
        <v>482.5</v>
      </c>
      <c r="F794" s="44">
        <v>484</v>
      </c>
      <c r="G794" s="44">
        <v>470</v>
      </c>
      <c r="H794" s="44">
        <v>484</v>
      </c>
      <c r="I794" s="44">
        <v>-6.5</v>
      </c>
      <c r="J794" s="44">
        <v>-1.33</v>
      </c>
      <c r="K794" s="44">
        <v>259</v>
      </c>
      <c r="L794" s="44">
        <v>488.5</v>
      </c>
      <c r="M794" s="44">
        <v>705</v>
      </c>
    </row>
    <row r="795" spans="1:13" x14ac:dyDescent="0.25">
      <c r="A795" s="45" t="s">
        <v>1854</v>
      </c>
      <c r="B795" s="44" t="s">
        <v>4246</v>
      </c>
      <c r="C795" s="47">
        <v>44250</v>
      </c>
      <c r="D795" s="44">
        <v>202106</v>
      </c>
      <c r="E795" s="44">
        <v>484.5</v>
      </c>
      <c r="F795" s="44">
        <v>484.5</v>
      </c>
      <c r="G795" s="44">
        <v>484.5</v>
      </c>
      <c r="H795" s="44">
        <v>484.5</v>
      </c>
      <c r="I795" s="44">
        <v>-2</v>
      </c>
      <c r="J795" s="44">
        <v>-0.41</v>
      </c>
      <c r="K795" s="44">
        <v>0</v>
      </c>
      <c r="L795" s="44">
        <v>484.5</v>
      </c>
      <c r="M795" s="44">
        <v>2</v>
      </c>
    </row>
    <row r="796" spans="1:13" x14ac:dyDescent="0.25">
      <c r="A796" s="45" t="s">
        <v>1855</v>
      </c>
      <c r="B796" s="44" t="s">
        <v>4247</v>
      </c>
      <c r="C796" s="47">
        <v>44250</v>
      </c>
      <c r="D796" s="44">
        <v>202109</v>
      </c>
      <c r="E796" s="44">
        <v>481.5</v>
      </c>
      <c r="F796" s="44">
        <v>481.5</v>
      </c>
      <c r="G796" s="44">
        <v>481.5</v>
      </c>
      <c r="H796" s="44">
        <v>481.5</v>
      </c>
      <c r="I796" s="44">
        <v>-2</v>
      </c>
      <c r="J796" s="44">
        <v>-0.41</v>
      </c>
      <c r="K796" s="44">
        <v>0</v>
      </c>
      <c r="L796" s="44">
        <v>481.5</v>
      </c>
      <c r="M796" s="44">
        <v>0</v>
      </c>
    </row>
    <row r="797" spans="1:13" x14ac:dyDescent="0.25">
      <c r="A797" s="45" t="s">
        <v>1856</v>
      </c>
      <c r="B797" s="44" t="s">
        <v>4248</v>
      </c>
      <c r="C797" s="47">
        <v>44250</v>
      </c>
      <c r="D797" s="44">
        <v>202112</v>
      </c>
      <c r="E797" s="44">
        <v>480.5</v>
      </c>
      <c r="F797" s="44">
        <v>480.5</v>
      </c>
      <c r="G797" s="44">
        <v>480.5</v>
      </c>
      <c r="H797" s="44">
        <v>480.5</v>
      </c>
      <c r="I797" s="44">
        <v>-2</v>
      </c>
      <c r="J797" s="44">
        <v>-0.41</v>
      </c>
      <c r="K797" s="44">
        <v>0</v>
      </c>
      <c r="L797" s="44">
        <v>480.5</v>
      </c>
      <c r="M797" s="44">
        <v>0</v>
      </c>
    </row>
    <row r="798" spans="1:13" x14ac:dyDescent="0.25">
      <c r="A798" s="45" t="s">
        <v>955</v>
      </c>
      <c r="B798" s="44" t="s">
        <v>4249</v>
      </c>
      <c r="C798" s="47">
        <v>44250</v>
      </c>
      <c r="D798" s="44">
        <v>202103</v>
      </c>
      <c r="E798" s="44">
        <v>48</v>
      </c>
      <c r="F798" s="44">
        <v>48.1</v>
      </c>
      <c r="G798" s="44">
        <v>47.1</v>
      </c>
      <c r="H798" s="44">
        <v>47.5</v>
      </c>
      <c r="I798" s="44">
        <v>-0.3</v>
      </c>
      <c r="J798" s="44">
        <v>-0.63</v>
      </c>
      <c r="K798" s="44">
        <v>52</v>
      </c>
      <c r="L798" s="44">
        <v>47.5</v>
      </c>
      <c r="M798" s="44">
        <v>413</v>
      </c>
    </row>
    <row r="799" spans="1:13" x14ac:dyDescent="0.25">
      <c r="A799" s="45" t="s">
        <v>1857</v>
      </c>
      <c r="B799" s="44" t="s">
        <v>4250</v>
      </c>
      <c r="C799" s="47">
        <v>44250</v>
      </c>
      <c r="D799" s="44">
        <v>202103</v>
      </c>
      <c r="E799" s="44">
        <v>48</v>
      </c>
      <c r="F799" s="44">
        <v>48.1</v>
      </c>
      <c r="G799" s="44">
        <v>47.1</v>
      </c>
      <c r="H799" s="44">
        <v>47.5</v>
      </c>
      <c r="I799" s="44">
        <v>-0.3</v>
      </c>
      <c r="J799" s="44">
        <v>-0.63</v>
      </c>
      <c r="K799" s="44">
        <v>52</v>
      </c>
      <c r="L799" s="44">
        <v>47.5</v>
      </c>
      <c r="M799" s="44">
        <v>413</v>
      </c>
    </row>
    <row r="800" spans="1:13" x14ac:dyDescent="0.25">
      <c r="A800" s="45" t="s">
        <v>1858</v>
      </c>
      <c r="B800" s="44" t="s">
        <v>4251</v>
      </c>
      <c r="C800" s="47">
        <v>44250</v>
      </c>
      <c r="D800" s="44">
        <v>202104</v>
      </c>
      <c r="E800" s="44">
        <v>47.6</v>
      </c>
      <c r="F800" s="44">
        <v>47.6</v>
      </c>
      <c r="G800" s="44">
        <v>47.4</v>
      </c>
      <c r="H800" s="44">
        <v>47.4</v>
      </c>
      <c r="I800" s="44">
        <v>-0.25</v>
      </c>
      <c r="J800" s="44">
        <v>-0.52</v>
      </c>
      <c r="K800" s="44">
        <v>4</v>
      </c>
      <c r="L800" s="44">
        <v>47.4</v>
      </c>
      <c r="M800" s="44">
        <v>15</v>
      </c>
    </row>
    <row r="801" spans="1:13" x14ac:dyDescent="0.25">
      <c r="A801" s="45" t="s">
        <v>1859</v>
      </c>
      <c r="B801" s="44" t="s">
        <v>4252</v>
      </c>
      <c r="C801" s="47">
        <v>44250</v>
      </c>
      <c r="D801" s="44">
        <v>202104</v>
      </c>
      <c r="E801" s="44">
        <v>47.6</v>
      </c>
      <c r="F801" s="44">
        <v>47.6</v>
      </c>
      <c r="G801" s="44">
        <v>47.4</v>
      </c>
      <c r="H801" s="44">
        <v>47.4</v>
      </c>
      <c r="I801" s="44">
        <v>-0.25</v>
      </c>
      <c r="J801" s="44">
        <v>-0.52</v>
      </c>
      <c r="K801" s="44">
        <v>4</v>
      </c>
      <c r="L801" s="44">
        <v>47.4</v>
      </c>
      <c r="M801" s="44">
        <v>15</v>
      </c>
    </row>
    <row r="802" spans="1:13" x14ac:dyDescent="0.25">
      <c r="A802" s="45" t="s">
        <v>1860</v>
      </c>
      <c r="C802" s="47"/>
    </row>
    <row r="803" spans="1:13" x14ac:dyDescent="0.25">
      <c r="A803" s="45" t="s">
        <v>1861</v>
      </c>
      <c r="C803" s="47"/>
    </row>
    <row r="804" spans="1:13" x14ac:dyDescent="0.25">
      <c r="A804" s="45" t="s">
        <v>1862</v>
      </c>
      <c r="B804" s="44" t="s">
        <v>4253</v>
      </c>
      <c r="C804" s="47">
        <v>44250</v>
      </c>
      <c r="D804" s="44">
        <v>202103</v>
      </c>
      <c r="E804" s="44">
        <v>48</v>
      </c>
      <c r="F804" s="44">
        <v>48.1</v>
      </c>
      <c r="G804" s="44">
        <v>47.1</v>
      </c>
      <c r="H804" s="44">
        <v>47.5</v>
      </c>
      <c r="I804" s="44">
        <v>-0.3</v>
      </c>
      <c r="J804" s="44">
        <v>-0.63</v>
      </c>
      <c r="K804" s="44">
        <v>52</v>
      </c>
      <c r="L804" s="44">
        <v>47.5</v>
      </c>
      <c r="M804" s="44">
        <v>413</v>
      </c>
    </row>
    <row r="805" spans="1:13" x14ac:dyDescent="0.25">
      <c r="A805" s="45" t="s">
        <v>1863</v>
      </c>
      <c r="B805" s="44" t="s">
        <v>4254</v>
      </c>
      <c r="C805" s="47">
        <v>44250</v>
      </c>
      <c r="D805" s="44">
        <v>202106</v>
      </c>
      <c r="E805" s="44">
        <v>47.3</v>
      </c>
      <c r="F805" s="44">
        <v>47.3</v>
      </c>
      <c r="G805" s="44">
        <v>47.3</v>
      </c>
      <c r="H805" s="44">
        <v>47.3</v>
      </c>
      <c r="I805" s="44">
        <v>-0.3</v>
      </c>
      <c r="J805" s="44">
        <v>-0.63</v>
      </c>
      <c r="K805" s="44">
        <v>0</v>
      </c>
      <c r="L805" s="44">
        <v>47.3</v>
      </c>
      <c r="M805" s="44">
        <v>2</v>
      </c>
    </row>
    <row r="806" spans="1:13" x14ac:dyDescent="0.25">
      <c r="A806" s="45" t="s">
        <v>1864</v>
      </c>
      <c r="B806" s="44" t="s">
        <v>4255</v>
      </c>
      <c r="C806" s="47">
        <v>44250</v>
      </c>
      <c r="D806" s="44">
        <v>202109</v>
      </c>
      <c r="E806" s="44">
        <v>47.55</v>
      </c>
      <c r="F806" s="44">
        <v>47.55</v>
      </c>
      <c r="G806" s="44">
        <v>47.55</v>
      </c>
      <c r="H806" s="44">
        <v>47.55</v>
      </c>
      <c r="I806" s="44">
        <v>-0.3</v>
      </c>
      <c r="J806" s="44">
        <v>-0.63</v>
      </c>
      <c r="K806" s="44">
        <v>0</v>
      </c>
      <c r="L806" s="44">
        <v>47.55</v>
      </c>
      <c r="M806" s="44">
        <v>3</v>
      </c>
    </row>
    <row r="807" spans="1:13" x14ac:dyDescent="0.25">
      <c r="A807" s="45" t="s">
        <v>1865</v>
      </c>
      <c r="B807" s="44" t="s">
        <v>4256</v>
      </c>
      <c r="C807" s="47">
        <v>44250</v>
      </c>
      <c r="D807" s="44">
        <v>202112</v>
      </c>
      <c r="E807" s="44">
        <v>47.7</v>
      </c>
      <c r="F807" s="44">
        <v>47.7</v>
      </c>
      <c r="G807" s="44">
        <v>47.7</v>
      </c>
      <c r="H807" s="44">
        <v>47.7</v>
      </c>
      <c r="I807" s="44">
        <v>-0.3</v>
      </c>
      <c r="J807" s="44">
        <v>-0.63</v>
      </c>
      <c r="K807" s="44">
        <v>0</v>
      </c>
      <c r="L807" s="44">
        <v>47.7</v>
      </c>
      <c r="M807" s="44">
        <v>1</v>
      </c>
    </row>
    <row r="808" spans="1:13" x14ac:dyDescent="0.25">
      <c r="A808" s="45" t="s">
        <v>956</v>
      </c>
      <c r="B808" s="44" t="s">
        <v>4257</v>
      </c>
      <c r="C808" s="47">
        <v>44250</v>
      </c>
      <c r="D808" s="44">
        <v>202103</v>
      </c>
      <c r="E808" s="44">
        <v>46.45</v>
      </c>
      <c r="F808" s="44">
        <v>46.45</v>
      </c>
      <c r="G808" s="44">
        <v>44.8</v>
      </c>
      <c r="H808" s="44">
        <v>45.8</v>
      </c>
      <c r="I808" s="44">
        <v>-0.55000000000000004</v>
      </c>
      <c r="J808" s="44">
        <v>-1.19</v>
      </c>
      <c r="K808" s="44">
        <v>141</v>
      </c>
      <c r="L808" s="44">
        <v>45.8</v>
      </c>
      <c r="M808" s="44">
        <v>211</v>
      </c>
    </row>
    <row r="809" spans="1:13" x14ac:dyDescent="0.25">
      <c r="A809" s="45" t="s">
        <v>1866</v>
      </c>
      <c r="B809" s="44" t="s">
        <v>4258</v>
      </c>
      <c r="C809" s="47">
        <v>44250</v>
      </c>
      <c r="D809" s="44">
        <v>202103</v>
      </c>
      <c r="E809" s="44">
        <v>46.45</v>
      </c>
      <c r="F809" s="44">
        <v>46.45</v>
      </c>
      <c r="G809" s="44">
        <v>44.8</v>
      </c>
      <c r="H809" s="44">
        <v>45.8</v>
      </c>
      <c r="I809" s="44">
        <v>-0.55000000000000004</v>
      </c>
      <c r="J809" s="44">
        <v>-1.19</v>
      </c>
      <c r="K809" s="44">
        <v>141</v>
      </c>
      <c r="L809" s="44">
        <v>45.8</v>
      </c>
      <c r="M809" s="44">
        <v>211</v>
      </c>
    </row>
    <row r="810" spans="1:13" x14ac:dyDescent="0.25">
      <c r="A810" s="45" t="s">
        <v>1867</v>
      </c>
      <c r="B810" s="44" t="s">
        <v>4259</v>
      </c>
      <c r="C810" s="47">
        <v>44250</v>
      </c>
      <c r="D810" s="44">
        <v>202104</v>
      </c>
      <c r="E810" s="44">
        <v>45.5</v>
      </c>
      <c r="F810" s="44">
        <v>45.5</v>
      </c>
      <c r="G810" s="44">
        <v>45.5</v>
      </c>
      <c r="H810" s="44">
        <v>45.5</v>
      </c>
      <c r="I810" s="44">
        <v>-0.55000000000000004</v>
      </c>
      <c r="J810" s="44">
        <v>-1.19</v>
      </c>
      <c r="K810" s="44">
        <v>0</v>
      </c>
      <c r="L810" s="44">
        <v>45.5</v>
      </c>
      <c r="M810" s="44">
        <v>0</v>
      </c>
    </row>
    <row r="811" spans="1:13" x14ac:dyDescent="0.25">
      <c r="A811" s="45" t="s">
        <v>1868</v>
      </c>
      <c r="B811" s="44" t="s">
        <v>4260</v>
      </c>
      <c r="C811" s="47">
        <v>44250</v>
      </c>
      <c r="D811" s="44">
        <v>202104</v>
      </c>
      <c r="E811" s="44">
        <v>45.5</v>
      </c>
      <c r="F811" s="44">
        <v>45.5</v>
      </c>
      <c r="G811" s="44">
        <v>45.5</v>
      </c>
      <c r="H811" s="44">
        <v>45.5</v>
      </c>
      <c r="I811" s="44">
        <v>-0.55000000000000004</v>
      </c>
      <c r="J811" s="44">
        <v>-1.19</v>
      </c>
      <c r="K811" s="44">
        <v>0</v>
      </c>
      <c r="L811" s="44">
        <v>45.5</v>
      </c>
      <c r="M811" s="44">
        <v>0</v>
      </c>
    </row>
    <row r="812" spans="1:13" x14ac:dyDescent="0.25">
      <c r="A812" s="45" t="s">
        <v>1869</v>
      </c>
      <c r="C812" s="47"/>
    </row>
    <row r="813" spans="1:13" x14ac:dyDescent="0.25">
      <c r="A813" s="45" t="s">
        <v>1870</v>
      </c>
      <c r="C813" s="47"/>
    </row>
    <row r="814" spans="1:13" x14ac:dyDescent="0.25">
      <c r="A814" s="45" t="s">
        <v>1871</v>
      </c>
      <c r="B814" s="44" t="s">
        <v>4261</v>
      </c>
      <c r="C814" s="47">
        <v>44250</v>
      </c>
      <c r="D814" s="44">
        <v>202103</v>
      </c>
      <c r="E814" s="44">
        <v>46.45</v>
      </c>
      <c r="F814" s="44">
        <v>46.45</v>
      </c>
      <c r="G814" s="44">
        <v>44.8</v>
      </c>
      <c r="H814" s="44">
        <v>45.8</v>
      </c>
      <c r="I814" s="44">
        <v>-0.55000000000000004</v>
      </c>
      <c r="J814" s="44">
        <v>-1.19</v>
      </c>
      <c r="K814" s="44">
        <v>141</v>
      </c>
      <c r="L814" s="44">
        <v>45.8</v>
      </c>
      <c r="M814" s="44">
        <v>211</v>
      </c>
    </row>
    <row r="815" spans="1:13" x14ac:dyDescent="0.25">
      <c r="A815" s="45" t="s">
        <v>1872</v>
      </c>
      <c r="B815" s="44" t="s">
        <v>4262</v>
      </c>
      <c r="C815" s="47">
        <v>44250</v>
      </c>
      <c r="D815" s="44">
        <v>202106</v>
      </c>
      <c r="E815" s="44">
        <v>45.75</v>
      </c>
      <c r="F815" s="44">
        <v>45.75</v>
      </c>
      <c r="G815" s="44">
        <v>45.75</v>
      </c>
      <c r="H815" s="44">
        <v>45.75</v>
      </c>
      <c r="I815" s="44">
        <v>-0.55000000000000004</v>
      </c>
      <c r="J815" s="44">
        <v>-1.19</v>
      </c>
      <c r="K815" s="44">
        <v>0</v>
      </c>
      <c r="L815" s="44">
        <v>45.75</v>
      </c>
      <c r="M815" s="44">
        <v>0</v>
      </c>
    </row>
    <row r="816" spans="1:13" x14ac:dyDescent="0.25">
      <c r="A816" s="45" t="s">
        <v>1873</v>
      </c>
      <c r="B816" s="44" t="s">
        <v>4263</v>
      </c>
      <c r="C816" s="47">
        <v>44250</v>
      </c>
      <c r="D816" s="44">
        <v>202109</v>
      </c>
      <c r="E816" s="44">
        <v>45.95</v>
      </c>
      <c r="F816" s="44">
        <v>45.95</v>
      </c>
      <c r="G816" s="44">
        <v>45.95</v>
      </c>
      <c r="H816" s="44">
        <v>45.95</v>
      </c>
      <c r="I816" s="44">
        <v>-0.55000000000000004</v>
      </c>
      <c r="J816" s="44">
        <v>-1.18</v>
      </c>
      <c r="K816" s="44">
        <v>0</v>
      </c>
      <c r="L816" s="44">
        <v>45.95</v>
      </c>
      <c r="M816" s="44">
        <v>0</v>
      </c>
    </row>
    <row r="817" spans="1:13" x14ac:dyDescent="0.25">
      <c r="A817" s="45" t="s">
        <v>1874</v>
      </c>
      <c r="B817" s="44" t="s">
        <v>4264</v>
      </c>
      <c r="C817" s="47">
        <v>44250</v>
      </c>
      <c r="D817" s="44">
        <v>202112</v>
      </c>
      <c r="E817" s="44">
        <v>45.65</v>
      </c>
      <c r="F817" s="44">
        <v>45.65</v>
      </c>
      <c r="G817" s="44">
        <v>45.65</v>
      </c>
      <c r="H817" s="44">
        <v>45.65</v>
      </c>
      <c r="I817" s="44">
        <v>-0.55000000000000004</v>
      </c>
      <c r="J817" s="44">
        <v>-1.19</v>
      </c>
      <c r="K817" s="44">
        <v>0</v>
      </c>
      <c r="L817" s="44">
        <v>45.65</v>
      </c>
      <c r="M817" s="44">
        <v>0</v>
      </c>
    </row>
    <row r="818" spans="1:13" x14ac:dyDescent="0.25">
      <c r="A818" s="45" t="s">
        <v>957</v>
      </c>
      <c r="B818" s="44" t="s">
        <v>4265</v>
      </c>
      <c r="C818" s="47">
        <v>44250</v>
      </c>
      <c r="D818" s="44">
        <v>202103</v>
      </c>
      <c r="E818" s="44">
        <v>26.6</v>
      </c>
      <c r="F818" s="44">
        <v>26.65</v>
      </c>
      <c r="G818" s="44">
        <v>25.95</v>
      </c>
      <c r="H818" s="44">
        <v>26.25</v>
      </c>
      <c r="I818" s="44">
        <v>-0.6</v>
      </c>
      <c r="J818" s="44">
        <v>-2.23</v>
      </c>
      <c r="K818" s="44">
        <v>381</v>
      </c>
      <c r="L818" s="44">
        <v>26.25</v>
      </c>
      <c r="M818" s="44">
        <v>848</v>
      </c>
    </row>
    <row r="819" spans="1:13" x14ac:dyDescent="0.25">
      <c r="A819" s="45" t="s">
        <v>1875</v>
      </c>
      <c r="B819" s="44" t="s">
        <v>4266</v>
      </c>
      <c r="C819" s="47">
        <v>44250</v>
      </c>
      <c r="D819" s="44">
        <v>202103</v>
      </c>
      <c r="E819" s="44">
        <v>26.6</v>
      </c>
      <c r="F819" s="44">
        <v>26.65</v>
      </c>
      <c r="G819" s="44">
        <v>25.95</v>
      </c>
      <c r="H819" s="44">
        <v>26.25</v>
      </c>
      <c r="I819" s="44">
        <v>-0.6</v>
      </c>
      <c r="J819" s="44">
        <v>-2.23</v>
      </c>
      <c r="K819" s="44">
        <v>381</v>
      </c>
      <c r="L819" s="44">
        <v>26.25</v>
      </c>
      <c r="M819" s="44">
        <v>848</v>
      </c>
    </row>
    <row r="820" spans="1:13" x14ac:dyDescent="0.25">
      <c r="A820" s="45" t="s">
        <v>1876</v>
      </c>
      <c r="B820" s="44" t="s">
        <v>4267</v>
      </c>
      <c r="C820" s="47">
        <v>44250</v>
      </c>
      <c r="D820" s="44">
        <v>202104</v>
      </c>
      <c r="E820" s="44">
        <v>26.3</v>
      </c>
      <c r="F820" s="44">
        <v>26.35</v>
      </c>
      <c r="G820" s="44">
        <v>25.95</v>
      </c>
      <c r="H820" s="44">
        <v>26.2</v>
      </c>
      <c r="I820" s="44">
        <v>-0.65</v>
      </c>
      <c r="J820" s="44">
        <v>-2.42</v>
      </c>
      <c r="K820" s="44">
        <v>18</v>
      </c>
      <c r="L820" s="44">
        <v>26.2</v>
      </c>
      <c r="M820" s="44">
        <v>47</v>
      </c>
    </row>
    <row r="821" spans="1:13" x14ac:dyDescent="0.25">
      <c r="A821" s="45" t="s">
        <v>1877</v>
      </c>
      <c r="B821" s="44" t="s">
        <v>4268</v>
      </c>
      <c r="C821" s="47">
        <v>44250</v>
      </c>
      <c r="D821" s="44">
        <v>202104</v>
      </c>
      <c r="E821" s="44">
        <v>26.3</v>
      </c>
      <c r="F821" s="44">
        <v>26.35</v>
      </c>
      <c r="G821" s="44">
        <v>25.95</v>
      </c>
      <c r="H821" s="44">
        <v>26.2</v>
      </c>
      <c r="I821" s="44">
        <v>-0.65</v>
      </c>
      <c r="J821" s="44">
        <v>-2.42</v>
      </c>
      <c r="K821" s="44">
        <v>18</v>
      </c>
      <c r="L821" s="44">
        <v>26.2</v>
      </c>
      <c r="M821" s="44">
        <v>47</v>
      </c>
    </row>
    <row r="822" spans="1:13" x14ac:dyDescent="0.25">
      <c r="A822" s="45" t="s">
        <v>1878</v>
      </c>
      <c r="C822" s="47"/>
    </row>
    <row r="823" spans="1:13" x14ac:dyDescent="0.25">
      <c r="A823" s="45" t="s">
        <v>1879</v>
      </c>
      <c r="C823" s="47"/>
    </row>
    <row r="824" spans="1:13" x14ac:dyDescent="0.25">
      <c r="A824" s="45" t="s">
        <v>1880</v>
      </c>
      <c r="B824" s="44" t="s">
        <v>4269</v>
      </c>
      <c r="C824" s="47">
        <v>44250</v>
      </c>
      <c r="D824" s="44">
        <v>202103</v>
      </c>
      <c r="E824" s="44">
        <v>26.6</v>
      </c>
      <c r="F824" s="44">
        <v>26.65</v>
      </c>
      <c r="G824" s="44">
        <v>25.95</v>
      </c>
      <c r="H824" s="44">
        <v>26.25</v>
      </c>
      <c r="I824" s="44">
        <v>-0.6</v>
      </c>
      <c r="J824" s="44">
        <v>-2.23</v>
      </c>
      <c r="K824" s="44">
        <v>381</v>
      </c>
      <c r="L824" s="44">
        <v>26.25</v>
      </c>
      <c r="M824" s="44">
        <v>848</v>
      </c>
    </row>
    <row r="825" spans="1:13" x14ac:dyDescent="0.25">
      <c r="A825" s="45" t="s">
        <v>1881</v>
      </c>
      <c r="B825" s="44" t="s">
        <v>4270</v>
      </c>
      <c r="C825" s="47">
        <v>44250</v>
      </c>
      <c r="D825" s="44">
        <v>202106</v>
      </c>
      <c r="E825" s="44">
        <v>26.1</v>
      </c>
      <c r="F825" s="44">
        <v>26.1</v>
      </c>
      <c r="G825" s="44">
        <v>26.1</v>
      </c>
      <c r="H825" s="44">
        <v>26.1</v>
      </c>
      <c r="I825" s="44">
        <v>-0.6</v>
      </c>
      <c r="J825" s="44">
        <v>-2.25</v>
      </c>
      <c r="K825" s="44">
        <v>0</v>
      </c>
      <c r="L825" s="44">
        <v>26.1</v>
      </c>
      <c r="M825" s="44">
        <v>7</v>
      </c>
    </row>
    <row r="826" spans="1:13" x14ac:dyDescent="0.25">
      <c r="A826" s="45" t="s">
        <v>1882</v>
      </c>
      <c r="B826" s="44" t="s">
        <v>4271</v>
      </c>
      <c r="C826" s="47">
        <v>44250</v>
      </c>
      <c r="D826" s="44">
        <v>202109</v>
      </c>
      <c r="E826" s="44">
        <v>25.95</v>
      </c>
      <c r="F826" s="44">
        <v>25.95</v>
      </c>
      <c r="G826" s="44">
        <v>25.95</v>
      </c>
      <c r="H826" s="44">
        <v>25.95</v>
      </c>
      <c r="I826" s="44">
        <v>-0.6</v>
      </c>
      <c r="J826" s="44">
        <v>-2.2599999999999998</v>
      </c>
      <c r="K826" s="44">
        <v>0</v>
      </c>
      <c r="L826" s="44">
        <v>25.95</v>
      </c>
      <c r="M826" s="44">
        <v>7</v>
      </c>
    </row>
    <row r="827" spans="1:13" x14ac:dyDescent="0.25">
      <c r="A827" s="45" t="s">
        <v>1883</v>
      </c>
      <c r="B827" s="44" t="s">
        <v>4272</v>
      </c>
      <c r="C827" s="47">
        <v>44250</v>
      </c>
      <c r="D827" s="44">
        <v>202112</v>
      </c>
      <c r="E827" s="44">
        <v>25.85</v>
      </c>
      <c r="F827" s="44">
        <v>25.85</v>
      </c>
      <c r="G827" s="44">
        <v>25.85</v>
      </c>
      <c r="H827" s="44">
        <v>25.85</v>
      </c>
      <c r="I827" s="44">
        <v>-0.6</v>
      </c>
      <c r="J827" s="44">
        <v>-2.27</v>
      </c>
      <c r="K827" s="44">
        <v>0</v>
      </c>
      <c r="L827" s="44">
        <v>25.85</v>
      </c>
      <c r="M827" s="44">
        <v>0</v>
      </c>
    </row>
    <row r="828" spans="1:13" x14ac:dyDescent="0.25">
      <c r="A828" s="45" t="s">
        <v>958</v>
      </c>
      <c r="B828" s="44" t="s">
        <v>4273</v>
      </c>
      <c r="C828" s="47">
        <v>44250</v>
      </c>
      <c r="D828" s="44">
        <v>202103</v>
      </c>
      <c r="E828" s="44">
        <v>241.5</v>
      </c>
      <c r="F828" s="44">
        <v>241.5</v>
      </c>
      <c r="G828" s="44">
        <v>240</v>
      </c>
      <c r="H828" s="44">
        <v>240</v>
      </c>
      <c r="I828" s="44">
        <v>-2</v>
      </c>
      <c r="J828" s="44">
        <v>-0.83</v>
      </c>
      <c r="K828" s="44">
        <v>6</v>
      </c>
      <c r="L828" s="44">
        <v>240</v>
      </c>
      <c r="M828" s="44">
        <v>127</v>
      </c>
    </row>
    <row r="829" spans="1:13" x14ac:dyDescent="0.25">
      <c r="A829" s="45" t="s">
        <v>1884</v>
      </c>
      <c r="B829" s="44" t="s">
        <v>4274</v>
      </c>
      <c r="C829" s="47">
        <v>44250</v>
      </c>
      <c r="D829" s="44">
        <v>202103</v>
      </c>
      <c r="E829" s="44">
        <v>241.5</v>
      </c>
      <c r="F829" s="44">
        <v>241.5</v>
      </c>
      <c r="G829" s="44">
        <v>240</v>
      </c>
      <c r="H829" s="44">
        <v>240</v>
      </c>
      <c r="I829" s="44">
        <v>-2</v>
      </c>
      <c r="J829" s="44">
        <v>-0.83</v>
      </c>
      <c r="K829" s="44">
        <v>6</v>
      </c>
      <c r="L829" s="44">
        <v>240</v>
      </c>
      <c r="M829" s="44">
        <v>127</v>
      </c>
    </row>
    <row r="830" spans="1:13" x14ac:dyDescent="0.25">
      <c r="A830" s="45" t="s">
        <v>1885</v>
      </c>
      <c r="B830" s="44" t="s">
        <v>4275</v>
      </c>
      <c r="C830" s="47">
        <v>44250</v>
      </c>
      <c r="D830" s="44">
        <v>202104</v>
      </c>
      <c r="E830" s="44">
        <v>240</v>
      </c>
      <c r="F830" s="44">
        <v>241.5</v>
      </c>
      <c r="G830" s="44">
        <v>240</v>
      </c>
      <c r="H830" s="44">
        <v>241.5</v>
      </c>
      <c r="I830" s="44">
        <v>0</v>
      </c>
      <c r="J830" s="44">
        <v>0</v>
      </c>
      <c r="K830" s="44">
        <v>5</v>
      </c>
      <c r="L830" s="44">
        <v>241.5</v>
      </c>
      <c r="M830" s="44">
        <v>10</v>
      </c>
    </row>
    <row r="831" spans="1:13" x14ac:dyDescent="0.25">
      <c r="A831" s="45" t="s">
        <v>1886</v>
      </c>
      <c r="B831" s="44" t="s">
        <v>4276</v>
      </c>
      <c r="C831" s="47">
        <v>44250</v>
      </c>
      <c r="D831" s="44">
        <v>202104</v>
      </c>
      <c r="E831" s="44">
        <v>240</v>
      </c>
      <c r="F831" s="44">
        <v>241.5</v>
      </c>
      <c r="G831" s="44">
        <v>240</v>
      </c>
      <c r="H831" s="44">
        <v>241.5</v>
      </c>
      <c r="I831" s="44">
        <v>0</v>
      </c>
      <c r="J831" s="44">
        <v>0</v>
      </c>
      <c r="K831" s="44">
        <v>5</v>
      </c>
      <c r="L831" s="44">
        <v>241.5</v>
      </c>
      <c r="M831" s="44">
        <v>10</v>
      </c>
    </row>
    <row r="832" spans="1:13" x14ac:dyDescent="0.25">
      <c r="A832" s="45" t="s">
        <v>1887</v>
      </c>
      <c r="C832" s="47"/>
    </row>
    <row r="833" spans="1:13" x14ac:dyDescent="0.25">
      <c r="A833" s="45" t="s">
        <v>1888</v>
      </c>
      <c r="C833" s="47"/>
    </row>
    <row r="834" spans="1:13" x14ac:dyDescent="0.25">
      <c r="A834" s="45" t="s">
        <v>1889</v>
      </c>
      <c r="B834" s="44" t="s">
        <v>4277</v>
      </c>
      <c r="C834" s="47">
        <v>44250</v>
      </c>
      <c r="D834" s="44">
        <v>202103</v>
      </c>
      <c r="E834" s="44">
        <v>241.5</v>
      </c>
      <c r="F834" s="44">
        <v>241.5</v>
      </c>
      <c r="G834" s="44">
        <v>240</v>
      </c>
      <c r="H834" s="44">
        <v>240</v>
      </c>
      <c r="I834" s="44">
        <v>-2</v>
      </c>
      <c r="J834" s="44">
        <v>-0.83</v>
      </c>
      <c r="K834" s="44">
        <v>6</v>
      </c>
      <c r="L834" s="44">
        <v>240</v>
      </c>
      <c r="M834" s="44">
        <v>127</v>
      </c>
    </row>
    <row r="835" spans="1:13" x14ac:dyDescent="0.25">
      <c r="A835" s="45" t="s">
        <v>1890</v>
      </c>
      <c r="B835" s="44" t="s">
        <v>4278</v>
      </c>
      <c r="C835" s="47">
        <v>44250</v>
      </c>
      <c r="D835" s="44">
        <v>202106</v>
      </c>
      <c r="E835" s="44">
        <v>238</v>
      </c>
      <c r="F835" s="44">
        <v>238</v>
      </c>
      <c r="G835" s="44">
        <v>238</v>
      </c>
      <c r="H835" s="44">
        <v>238</v>
      </c>
      <c r="I835" s="44">
        <v>-2</v>
      </c>
      <c r="J835" s="44">
        <v>-0.83</v>
      </c>
      <c r="K835" s="44">
        <v>0</v>
      </c>
      <c r="L835" s="44">
        <v>238</v>
      </c>
      <c r="M835" s="44">
        <v>2</v>
      </c>
    </row>
    <row r="836" spans="1:13" x14ac:dyDescent="0.25">
      <c r="A836" s="45" t="s">
        <v>1891</v>
      </c>
      <c r="B836" s="44" t="s">
        <v>4279</v>
      </c>
      <c r="C836" s="47">
        <v>44250</v>
      </c>
      <c r="D836" s="44">
        <v>202109</v>
      </c>
      <c r="E836" s="44">
        <v>238</v>
      </c>
      <c r="F836" s="44">
        <v>238</v>
      </c>
      <c r="G836" s="44">
        <v>238</v>
      </c>
      <c r="H836" s="44">
        <v>238</v>
      </c>
      <c r="I836" s="44">
        <v>-2</v>
      </c>
      <c r="J836" s="44">
        <v>-0.83</v>
      </c>
      <c r="K836" s="44">
        <v>0</v>
      </c>
      <c r="L836" s="44">
        <v>238</v>
      </c>
      <c r="M836" s="44">
        <v>8</v>
      </c>
    </row>
    <row r="837" spans="1:13" x14ac:dyDescent="0.25">
      <c r="A837" s="45" t="s">
        <v>1892</v>
      </c>
      <c r="B837" s="44" t="s">
        <v>4280</v>
      </c>
      <c r="C837" s="47">
        <v>44250</v>
      </c>
      <c r="D837" s="44">
        <v>202112</v>
      </c>
      <c r="E837" s="44">
        <v>240.5</v>
      </c>
      <c r="F837" s="44">
        <v>240.5</v>
      </c>
      <c r="G837" s="44">
        <v>240.5</v>
      </c>
      <c r="H837" s="44">
        <v>240.5</v>
      </c>
      <c r="I837" s="44">
        <v>-2</v>
      </c>
      <c r="J837" s="44">
        <v>-0.82</v>
      </c>
      <c r="K837" s="44">
        <v>0</v>
      </c>
      <c r="L837" s="44">
        <v>240.5</v>
      </c>
      <c r="M837" s="44">
        <v>4</v>
      </c>
    </row>
    <row r="838" spans="1:13" x14ac:dyDescent="0.25">
      <c r="A838" s="45" t="s">
        <v>963</v>
      </c>
      <c r="B838" s="44" t="s">
        <v>4281</v>
      </c>
      <c r="C838" s="47">
        <v>44250</v>
      </c>
      <c r="D838" s="44">
        <v>202103</v>
      </c>
      <c r="E838" s="44">
        <v>39.799999999999997</v>
      </c>
      <c r="F838" s="44">
        <v>39.799999999999997</v>
      </c>
      <c r="G838" s="44">
        <v>38.9</v>
      </c>
      <c r="H838" s="44">
        <v>39.6</v>
      </c>
      <c r="I838" s="44">
        <v>-0.7</v>
      </c>
      <c r="J838" s="44">
        <v>-1.74</v>
      </c>
      <c r="K838" s="44">
        <v>907</v>
      </c>
      <c r="L838" s="44">
        <v>39.6</v>
      </c>
      <c r="M838" s="44">
        <v>982</v>
      </c>
    </row>
    <row r="839" spans="1:13" x14ac:dyDescent="0.25">
      <c r="A839" s="45" t="s">
        <v>1893</v>
      </c>
      <c r="B839" s="44" t="s">
        <v>4282</v>
      </c>
      <c r="C839" s="47">
        <v>44250</v>
      </c>
      <c r="D839" s="44">
        <v>202103</v>
      </c>
      <c r="E839" s="44">
        <v>39.799999999999997</v>
      </c>
      <c r="F839" s="44">
        <v>39.799999999999997</v>
      </c>
      <c r="G839" s="44">
        <v>38.9</v>
      </c>
      <c r="H839" s="44">
        <v>39.6</v>
      </c>
      <c r="I839" s="44">
        <v>-0.7</v>
      </c>
      <c r="J839" s="44">
        <v>-1.74</v>
      </c>
      <c r="K839" s="44">
        <v>907</v>
      </c>
      <c r="L839" s="44">
        <v>39.6</v>
      </c>
      <c r="M839" s="44">
        <v>982</v>
      </c>
    </row>
    <row r="840" spans="1:13" x14ac:dyDescent="0.25">
      <c r="A840" s="45" t="s">
        <v>1894</v>
      </c>
      <c r="B840" s="44" t="s">
        <v>4283</v>
      </c>
      <c r="C840" s="47">
        <v>44250</v>
      </c>
      <c r="D840" s="44">
        <v>202104</v>
      </c>
      <c r="E840" s="44">
        <v>39.799999999999997</v>
      </c>
      <c r="F840" s="44">
        <v>39.799999999999997</v>
      </c>
      <c r="G840" s="44">
        <v>38.85</v>
      </c>
      <c r="H840" s="44">
        <v>39.299999999999997</v>
      </c>
      <c r="I840" s="44">
        <v>-0.8</v>
      </c>
      <c r="J840" s="44">
        <v>-2</v>
      </c>
      <c r="K840" s="44">
        <v>38</v>
      </c>
      <c r="L840" s="44">
        <v>39.299999999999997</v>
      </c>
      <c r="M840" s="44">
        <v>74</v>
      </c>
    </row>
    <row r="841" spans="1:13" x14ac:dyDescent="0.25">
      <c r="A841" s="45" t="s">
        <v>1895</v>
      </c>
      <c r="B841" s="44" t="s">
        <v>4284</v>
      </c>
      <c r="C841" s="47">
        <v>44250</v>
      </c>
      <c r="D841" s="44">
        <v>202104</v>
      </c>
      <c r="E841" s="44">
        <v>39.799999999999997</v>
      </c>
      <c r="F841" s="44">
        <v>39.799999999999997</v>
      </c>
      <c r="G841" s="44">
        <v>38.85</v>
      </c>
      <c r="H841" s="44">
        <v>39.299999999999997</v>
      </c>
      <c r="I841" s="44">
        <v>-0.8</v>
      </c>
      <c r="J841" s="44">
        <v>-2</v>
      </c>
      <c r="K841" s="44">
        <v>38</v>
      </c>
      <c r="L841" s="44">
        <v>39.299999999999997</v>
      </c>
      <c r="M841" s="44">
        <v>74</v>
      </c>
    </row>
    <row r="842" spans="1:13" x14ac:dyDescent="0.25">
      <c r="A842" s="45" t="s">
        <v>1896</v>
      </c>
      <c r="C842" s="47"/>
    </row>
    <row r="843" spans="1:13" x14ac:dyDescent="0.25">
      <c r="A843" s="45" t="s">
        <v>1897</v>
      </c>
      <c r="C843" s="47"/>
    </row>
    <row r="844" spans="1:13" x14ac:dyDescent="0.25">
      <c r="A844" s="45" t="s">
        <v>1898</v>
      </c>
      <c r="B844" s="44" t="s">
        <v>4285</v>
      </c>
      <c r="C844" s="47">
        <v>44250</v>
      </c>
      <c r="D844" s="44">
        <v>202103</v>
      </c>
      <c r="E844" s="44">
        <v>39.799999999999997</v>
      </c>
      <c r="F844" s="44">
        <v>39.799999999999997</v>
      </c>
      <c r="G844" s="44">
        <v>38.9</v>
      </c>
      <c r="H844" s="44">
        <v>39.6</v>
      </c>
      <c r="I844" s="44">
        <v>-0.7</v>
      </c>
      <c r="J844" s="44">
        <v>-1.74</v>
      </c>
      <c r="K844" s="44">
        <v>907</v>
      </c>
      <c r="L844" s="44">
        <v>39.6</v>
      </c>
      <c r="M844" s="44">
        <v>982</v>
      </c>
    </row>
    <row r="845" spans="1:13" x14ac:dyDescent="0.25">
      <c r="A845" s="45" t="s">
        <v>1899</v>
      </c>
      <c r="B845" s="44" t="s">
        <v>4286</v>
      </c>
      <c r="C845" s="47">
        <v>44250</v>
      </c>
      <c r="D845" s="44">
        <v>202106</v>
      </c>
      <c r="E845" s="44">
        <v>39.549999999999997</v>
      </c>
      <c r="F845" s="44">
        <v>39.549999999999997</v>
      </c>
      <c r="G845" s="44">
        <v>39.549999999999997</v>
      </c>
      <c r="H845" s="44">
        <v>39.549999999999997</v>
      </c>
      <c r="I845" s="44">
        <v>-0.7</v>
      </c>
      <c r="J845" s="44">
        <v>-1.74</v>
      </c>
      <c r="K845" s="44">
        <v>0</v>
      </c>
      <c r="L845" s="44">
        <v>39.549999999999997</v>
      </c>
      <c r="M845" s="44">
        <v>5</v>
      </c>
    </row>
    <row r="846" spans="1:13" x14ac:dyDescent="0.25">
      <c r="A846" s="45" t="s">
        <v>1900</v>
      </c>
      <c r="B846" s="44" t="s">
        <v>4287</v>
      </c>
      <c r="C846" s="47">
        <v>44250</v>
      </c>
      <c r="D846" s="44">
        <v>202109</v>
      </c>
      <c r="E846" s="44">
        <v>38.85</v>
      </c>
      <c r="F846" s="44">
        <v>38.85</v>
      </c>
      <c r="G846" s="44">
        <v>38.85</v>
      </c>
      <c r="H846" s="44">
        <v>38.85</v>
      </c>
      <c r="I846" s="44">
        <v>-0.7</v>
      </c>
      <c r="J846" s="44">
        <v>-1.77</v>
      </c>
      <c r="K846" s="44">
        <v>0</v>
      </c>
      <c r="L846" s="44">
        <v>38.85</v>
      </c>
      <c r="M846" s="44">
        <v>2</v>
      </c>
    </row>
    <row r="847" spans="1:13" x14ac:dyDescent="0.25">
      <c r="A847" s="45" t="s">
        <v>1901</v>
      </c>
      <c r="B847" s="44" t="s">
        <v>4288</v>
      </c>
      <c r="C847" s="47">
        <v>44250</v>
      </c>
      <c r="D847" s="44">
        <v>202112</v>
      </c>
      <c r="E847" s="44">
        <v>39.5</v>
      </c>
      <c r="F847" s="44">
        <v>39.5</v>
      </c>
      <c r="G847" s="44">
        <v>39.5</v>
      </c>
      <c r="H847" s="44">
        <v>39.5</v>
      </c>
      <c r="I847" s="44">
        <v>-0.7</v>
      </c>
      <c r="J847" s="44">
        <v>-1.74</v>
      </c>
      <c r="K847" s="44">
        <v>0</v>
      </c>
      <c r="L847" s="44">
        <v>39.5</v>
      </c>
      <c r="M847" s="44">
        <v>0</v>
      </c>
    </row>
    <row r="848" spans="1:13" x14ac:dyDescent="0.25">
      <c r="A848" s="45" t="s">
        <v>1902</v>
      </c>
      <c r="B848" s="44" t="s">
        <v>4289</v>
      </c>
      <c r="C848" s="47">
        <v>44250</v>
      </c>
      <c r="D848" s="44">
        <v>202103</v>
      </c>
      <c r="E848" s="44">
        <v>200.55</v>
      </c>
      <c r="F848" s="44">
        <v>200.55</v>
      </c>
      <c r="G848" s="44">
        <v>197.6</v>
      </c>
      <c r="H848" s="44">
        <v>199.05</v>
      </c>
      <c r="I848" s="44">
        <v>-1.5</v>
      </c>
      <c r="J848" s="44">
        <v>-0.75</v>
      </c>
      <c r="K848" s="44">
        <v>60</v>
      </c>
      <c r="L848" s="44">
        <v>199.05</v>
      </c>
      <c r="M848" s="44">
        <v>289</v>
      </c>
    </row>
    <row r="849" spans="1:13" x14ac:dyDescent="0.25">
      <c r="A849" s="45" t="s">
        <v>1903</v>
      </c>
      <c r="B849" s="44" t="s">
        <v>4290</v>
      </c>
      <c r="C849" s="47">
        <v>44250</v>
      </c>
      <c r="D849" s="44">
        <v>202103</v>
      </c>
      <c r="E849" s="44">
        <v>200.55</v>
      </c>
      <c r="F849" s="44">
        <v>200.55</v>
      </c>
      <c r="G849" s="44">
        <v>197.6</v>
      </c>
      <c r="H849" s="44">
        <v>199.05</v>
      </c>
      <c r="I849" s="44">
        <v>-1.5</v>
      </c>
      <c r="J849" s="44">
        <v>-0.75</v>
      </c>
      <c r="K849" s="44">
        <v>60</v>
      </c>
      <c r="L849" s="44">
        <v>199.05</v>
      </c>
      <c r="M849" s="44">
        <v>289</v>
      </c>
    </row>
    <row r="850" spans="1:13" x14ac:dyDescent="0.25">
      <c r="A850" s="45" t="s">
        <v>1904</v>
      </c>
      <c r="B850" s="44" t="s">
        <v>4291</v>
      </c>
      <c r="C850" s="47">
        <v>44250</v>
      </c>
      <c r="D850" s="44">
        <v>202104</v>
      </c>
      <c r="E850" s="44">
        <v>198.6</v>
      </c>
      <c r="F850" s="44">
        <v>199.4</v>
      </c>
      <c r="G850" s="44">
        <v>198.6</v>
      </c>
      <c r="H850" s="44">
        <v>199.25</v>
      </c>
      <c r="I850" s="44">
        <v>-0.9</v>
      </c>
      <c r="J850" s="44">
        <v>-0.45</v>
      </c>
      <c r="K850" s="44">
        <v>14</v>
      </c>
      <c r="L850" s="44">
        <v>199.25</v>
      </c>
      <c r="M850" s="44">
        <v>21</v>
      </c>
    </row>
    <row r="851" spans="1:13" x14ac:dyDescent="0.25">
      <c r="A851" s="45" t="s">
        <v>1905</v>
      </c>
      <c r="B851" s="44" t="s">
        <v>4292</v>
      </c>
      <c r="C851" s="47">
        <v>44250</v>
      </c>
      <c r="D851" s="44">
        <v>202104</v>
      </c>
      <c r="E851" s="44">
        <v>198.6</v>
      </c>
      <c r="F851" s="44">
        <v>199.4</v>
      </c>
      <c r="G851" s="44">
        <v>198.6</v>
      </c>
      <c r="H851" s="44">
        <v>199.25</v>
      </c>
      <c r="I851" s="44">
        <v>-0.9</v>
      </c>
      <c r="J851" s="44">
        <v>-0.45</v>
      </c>
      <c r="K851" s="44">
        <v>14</v>
      </c>
      <c r="L851" s="44">
        <v>199.25</v>
      </c>
      <c r="M851" s="44">
        <v>21</v>
      </c>
    </row>
    <row r="852" spans="1:13" x14ac:dyDescent="0.25">
      <c r="A852" s="45" t="s">
        <v>1906</v>
      </c>
      <c r="C852" s="47"/>
    </row>
    <row r="853" spans="1:13" x14ac:dyDescent="0.25">
      <c r="A853" s="45" t="s">
        <v>1907</v>
      </c>
      <c r="B853" s="44" t="s">
        <v>4293</v>
      </c>
      <c r="C853" s="47">
        <v>44250</v>
      </c>
      <c r="D853" s="44">
        <v>202103</v>
      </c>
      <c r="E853" s="44">
        <v>200.55</v>
      </c>
      <c r="F853" s="44">
        <v>200.55</v>
      </c>
      <c r="G853" s="44">
        <v>197.6</v>
      </c>
      <c r="H853" s="44">
        <v>199.05</v>
      </c>
      <c r="I853" s="44">
        <v>-1.5</v>
      </c>
      <c r="J853" s="44">
        <v>-0.75</v>
      </c>
      <c r="K853" s="44">
        <v>60</v>
      </c>
      <c r="L853" s="44">
        <v>199.05</v>
      </c>
      <c r="M853" s="44">
        <v>289</v>
      </c>
    </row>
    <row r="854" spans="1:13" x14ac:dyDescent="0.25">
      <c r="A854" s="45" t="s">
        <v>1908</v>
      </c>
      <c r="B854" s="44" t="s">
        <v>4294</v>
      </c>
      <c r="C854" s="47">
        <v>44250</v>
      </c>
      <c r="D854" s="44">
        <v>202104</v>
      </c>
      <c r="E854" s="44">
        <v>198.6</v>
      </c>
      <c r="F854" s="44">
        <v>199.4</v>
      </c>
      <c r="G854" s="44">
        <v>198.6</v>
      </c>
      <c r="H854" s="44">
        <v>199.25</v>
      </c>
      <c r="I854" s="44">
        <v>-0.9</v>
      </c>
      <c r="J854" s="44">
        <v>-0.45</v>
      </c>
      <c r="K854" s="44">
        <v>14</v>
      </c>
      <c r="L854" s="44">
        <v>199.25</v>
      </c>
      <c r="M854" s="44">
        <v>21</v>
      </c>
    </row>
    <row r="855" spans="1:13" x14ac:dyDescent="0.25">
      <c r="A855" s="45" t="s">
        <v>1909</v>
      </c>
      <c r="B855" s="44" t="s">
        <v>4295</v>
      </c>
      <c r="C855" s="47">
        <v>44250</v>
      </c>
      <c r="D855" s="44">
        <v>202106</v>
      </c>
      <c r="E855" s="44">
        <v>198.15</v>
      </c>
      <c r="F855" s="44">
        <v>198.15</v>
      </c>
      <c r="G855" s="44">
        <v>198.15</v>
      </c>
      <c r="H855" s="44">
        <v>198.15</v>
      </c>
      <c r="I855" s="44">
        <v>-1.5</v>
      </c>
      <c r="J855" s="44">
        <v>-0.75</v>
      </c>
      <c r="K855" s="44">
        <v>0</v>
      </c>
      <c r="L855" s="44">
        <v>198.15</v>
      </c>
      <c r="M855" s="44">
        <v>0</v>
      </c>
    </row>
    <row r="856" spans="1:13" x14ac:dyDescent="0.25">
      <c r="A856" s="45" t="s">
        <v>1910</v>
      </c>
      <c r="B856" s="44" t="s">
        <v>4296</v>
      </c>
      <c r="C856" s="47">
        <v>44250</v>
      </c>
      <c r="D856" s="44">
        <v>202109</v>
      </c>
      <c r="E856" s="44">
        <v>191.75</v>
      </c>
      <c r="F856" s="44">
        <v>191.75</v>
      </c>
      <c r="G856" s="44">
        <v>191.75</v>
      </c>
      <c r="H856" s="44">
        <v>191.75</v>
      </c>
      <c r="I856" s="44">
        <v>-1.5</v>
      </c>
      <c r="J856" s="44">
        <v>-0.78</v>
      </c>
      <c r="K856" s="44">
        <v>0</v>
      </c>
      <c r="L856" s="44">
        <v>191.75</v>
      </c>
      <c r="M856" s="44">
        <v>1</v>
      </c>
    </row>
    <row r="857" spans="1:13" x14ac:dyDescent="0.25">
      <c r="A857" s="45" t="s">
        <v>1911</v>
      </c>
      <c r="B857" s="44" t="s">
        <v>4297</v>
      </c>
      <c r="C857" s="47">
        <v>44250</v>
      </c>
      <c r="D857" s="44">
        <v>202112</v>
      </c>
      <c r="E857" s="44">
        <v>195.7</v>
      </c>
      <c r="F857" s="44">
        <v>195.7</v>
      </c>
      <c r="G857" s="44">
        <v>195.7</v>
      </c>
      <c r="H857" s="44">
        <v>195.7</v>
      </c>
      <c r="I857" s="44">
        <v>-1.5</v>
      </c>
      <c r="J857" s="44">
        <v>-0.76</v>
      </c>
      <c r="K857" s="44">
        <v>0</v>
      </c>
      <c r="L857" s="44">
        <v>195.7</v>
      </c>
      <c r="M857" s="44">
        <v>0</v>
      </c>
    </row>
    <row r="858" spans="1:13" x14ac:dyDescent="0.25">
      <c r="A858" s="45" t="s">
        <v>1912</v>
      </c>
      <c r="B858" s="44" t="s">
        <v>4298</v>
      </c>
      <c r="C858" s="47">
        <v>44250</v>
      </c>
      <c r="D858" s="44">
        <v>202105</v>
      </c>
      <c r="E858" s="44">
        <v>198.1</v>
      </c>
      <c r="F858" s="44">
        <v>198.1</v>
      </c>
      <c r="G858" s="44">
        <v>198.1</v>
      </c>
      <c r="H858" s="44">
        <v>198.1</v>
      </c>
      <c r="I858" s="44">
        <v>-1.5</v>
      </c>
      <c r="J858" s="44">
        <v>-0.75</v>
      </c>
      <c r="K858" s="44">
        <v>0</v>
      </c>
      <c r="L858" s="44">
        <v>198.1</v>
      </c>
      <c r="M858" s="44">
        <v>0</v>
      </c>
    </row>
    <row r="859" spans="1:13" x14ac:dyDescent="0.25">
      <c r="A859" s="45" t="s">
        <v>1913</v>
      </c>
      <c r="B859" s="44" t="s">
        <v>4299</v>
      </c>
      <c r="C859" s="47">
        <v>44250</v>
      </c>
      <c r="D859" s="44">
        <v>202105</v>
      </c>
      <c r="E859" s="44">
        <v>198.1</v>
      </c>
      <c r="F859" s="44">
        <v>198.1</v>
      </c>
      <c r="G859" s="44">
        <v>198.1</v>
      </c>
      <c r="H859" s="44">
        <v>198.1</v>
      </c>
      <c r="I859" s="44">
        <v>-1.5</v>
      </c>
      <c r="J859" s="44">
        <v>-0.75</v>
      </c>
      <c r="K859" s="44">
        <v>0</v>
      </c>
      <c r="L859" s="44">
        <v>198.1</v>
      </c>
      <c r="M859" s="44">
        <v>0</v>
      </c>
    </row>
    <row r="860" spans="1:13" x14ac:dyDescent="0.25">
      <c r="A860" s="45" t="s">
        <v>966</v>
      </c>
      <c r="B860" s="44" t="s">
        <v>4300</v>
      </c>
      <c r="C860" s="47">
        <v>44250</v>
      </c>
      <c r="D860" s="44">
        <v>202103</v>
      </c>
      <c r="E860" s="44">
        <v>112</v>
      </c>
      <c r="F860" s="44">
        <v>113.5</v>
      </c>
      <c r="G860" s="44">
        <v>111</v>
      </c>
      <c r="H860" s="44">
        <v>112</v>
      </c>
      <c r="I860" s="44">
        <v>-2.5</v>
      </c>
      <c r="J860" s="44">
        <v>-2.1800000000000002</v>
      </c>
      <c r="K860" s="44">
        <v>262</v>
      </c>
      <c r="L860" s="44">
        <v>112</v>
      </c>
      <c r="M860" s="44">
        <v>272</v>
      </c>
    </row>
    <row r="861" spans="1:13" x14ac:dyDescent="0.25">
      <c r="A861" s="45" t="s">
        <v>1914</v>
      </c>
      <c r="B861" s="44" t="s">
        <v>4301</v>
      </c>
      <c r="C861" s="47">
        <v>44250</v>
      </c>
      <c r="D861" s="44">
        <v>202103</v>
      </c>
      <c r="E861" s="44">
        <v>112</v>
      </c>
      <c r="F861" s="44">
        <v>113.5</v>
      </c>
      <c r="G861" s="44">
        <v>111</v>
      </c>
      <c r="H861" s="44">
        <v>112</v>
      </c>
      <c r="I861" s="44">
        <v>-2.5</v>
      </c>
      <c r="J861" s="44">
        <v>-2.1800000000000002</v>
      </c>
      <c r="K861" s="44">
        <v>262</v>
      </c>
      <c r="L861" s="44">
        <v>112</v>
      </c>
      <c r="M861" s="44">
        <v>272</v>
      </c>
    </row>
    <row r="862" spans="1:13" x14ac:dyDescent="0.25">
      <c r="A862" s="45" t="s">
        <v>1915</v>
      </c>
      <c r="B862" s="44" t="s">
        <v>4302</v>
      </c>
      <c r="C862" s="47">
        <v>44250</v>
      </c>
      <c r="D862" s="44">
        <v>202104</v>
      </c>
      <c r="E862" s="44">
        <v>113</v>
      </c>
      <c r="F862" s="44">
        <v>113</v>
      </c>
      <c r="G862" s="44">
        <v>111.5</v>
      </c>
      <c r="H862" s="44">
        <v>111.5</v>
      </c>
      <c r="I862" s="44">
        <v>-3</v>
      </c>
      <c r="J862" s="44">
        <v>-2.62</v>
      </c>
      <c r="K862" s="44">
        <v>3</v>
      </c>
      <c r="L862" s="44">
        <v>111.5</v>
      </c>
      <c r="M862" s="44">
        <v>6</v>
      </c>
    </row>
    <row r="863" spans="1:13" x14ac:dyDescent="0.25">
      <c r="A863" s="45" t="s">
        <v>1916</v>
      </c>
      <c r="B863" s="44" t="s">
        <v>4303</v>
      </c>
      <c r="C863" s="47">
        <v>44250</v>
      </c>
      <c r="D863" s="44">
        <v>202104</v>
      </c>
      <c r="E863" s="44">
        <v>113</v>
      </c>
      <c r="F863" s="44">
        <v>113</v>
      </c>
      <c r="G863" s="44">
        <v>111.5</v>
      </c>
      <c r="H863" s="44">
        <v>111.5</v>
      </c>
      <c r="I863" s="44">
        <v>-3</v>
      </c>
      <c r="J863" s="44">
        <v>-2.62</v>
      </c>
      <c r="K863" s="44">
        <v>3</v>
      </c>
      <c r="L863" s="44">
        <v>111.5</v>
      </c>
      <c r="M863" s="44">
        <v>6</v>
      </c>
    </row>
    <row r="864" spans="1:13" x14ac:dyDescent="0.25">
      <c r="A864" s="45" t="s">
        <v>1917</v>
      </c>
      <c r="C864" s="47"/>
    </row>
    <row r="865" spans="1:13" x14ac:dyDescent="0.25">
      <c r="A865" s="45" t="s">
        <v>1918</v>
      </c>
      <c r="C865" s="47"/>
    </row>
    <row r="866" spans="1:13" x14ac:dyDescent="0.25">
      <c r="A866" s="45" t="s">
        <v>1919</v>
      </c>
      <c r="B866" s="44" t="s">
        <v>4304</v>
      </c>
      <c r="C866" s="47">
        <v>44250</v>
      </c>
      <c r="D866" s="44">
        <v>202103</v>
      </c>
      <c r="E866" s="44">
        <v>112</v>
      </c>
      <c r="F866" s="44">
        <v>113.5</v>
      </c>
      <c r="G866" s="44">
        <v>111</v>
      </c>
      <c r="H866" s="44">
        <v>112</v>
      </c>
      <c r="I866" s="44">
        <v>-2.5</v>
      </c>
      <c r="J866" s="44">
        <v>-2.1800000000000002</v>
      </c>
      <c r="K866" s="44">
        <v>262</v>
      </c>
      <c r="L866" s="44">
        <v>112</v>
      </c>
      <c r="M866" s="44">
        <v>272</v>
      </c>
    </row>
    <row r="867" spans="1:13" x14ac:dyDescent="0.25">
      <c r="A867" s="45" t="s">
        <v>1920</v>
      </c>
      <c r="B867" s="44" t="s">
        <v>4305</v>
      </c>
      <c r="C867" s="47">
        <v>44250</v>
      </c>
      <c r="D867" s="44">
        <v>202106</v>
      </c>
      <c r="E867" s="44">
        <v>111</v>
      </c>
      <c r="F867" s="44">
        <v>111</v>
      </c>
      <c r="G867" s="44">
        <v>111</v>
      </c>
      <c r="H867" s="44">
        <v>111</v>
      </c>
      <c r="I867" s="44">
        <v>-2.5</v>
      </c>
      <c r="J867" s="44">
        <v>-2.2000000000000002</v>
      </c>
      <c r="K867" s="44">
        <v>0</v>
      </c>
      <c r="L867" s="44">
        <v>111</v>
      </c>
      <c r="M867" s="44">
        <v>0</v>
      </c>
    </row>
    <row r="868" spans="1:13" x14ac:dyDescent="0.25">
      <c r="A868" s="45" t="s">
        <v>1921</v>
      </c>
      <c r="B868" s="44" t="s">
        <v>4306</v>
      </c>
      <c r="C868" s="47">
        <v>44250</v>
      </c>
      <c r="D868" s="44">
        <v>202109</v>
      </c>
      <c r="E868" s="44">
        <v>111.5</v>
      </c>
      <c r="F868" s="44">
        <v>111.5</v>
      </c>
      <c r="G868" s="44">
        <v>111.5</v>
      </c>
      <c r="H868" s="44">
        <v>111.5</v>
      </c>
      <c r="I868" s="44">
        <v>-2.5</v>
      </c>
      <c r="J868" s="44">
        <v>-2.19</v>
      </c>
      <c r="K868" s="44">
        <v>0</v>
      </c>
      <c r="L868" s="44">
        <v>111.5</v>
      </c>
      <c r="M868" s="44">
        <v>0</v>
      </c>
    </row>
    <row r="869" spans="1:13" x14ac:dyDescent="0.25">
      <c r="A869" s="45" t="s">
        <v>1922</v>
      </c>
      <c r="B869" s="44" t="s">
        <v>4307</v>
      </c>
      <c r="C869" s="47">
        <v>44250</v>
      </c>
      <c r="D869" s="44">
        <v>202112</v>
      </c>
      <c r="E869" s="44">
        <v>111.5</v>
      </c>
      <c r="F869" s="44">
        <v>111.5</v>
      </c>
      <c r="G869" s="44">
        <v>111.5</v>
      </c>
      <c r="H869" s="44">
        <v>111.5</v>
      </c>
      <c r="I869" s="44">
        <v>-2.5</v>
      </c>
      <c r="J869" s="44">
        <v>-2.19</v>
      </c>
      <c r="K869" s="44">
        <v>0</v>
      </c>
      <c r="L869" s="44">
        <v>111.5</v>
      </c>
      <c r="M869" s="44">
        <v>0</v>
      </c>
    </row>
    <row r="870" spans="1:13" x14ac:dyDescent="0.25">
      <c r="A870" s="45" t="s">
        <v>967</v>
      </c>
      <c r="B870" s="44" t="s">
        <v>4308</v>
      </c>
      <c r="C870" s="47">
        <v>44250</v>
      </c>
      <c r="D870" s="44">
        <v>202103</v>
      </c>
      <c r="E870" s="44">
        <v>174.5</v>
      </c>
      <c r="F870" s="44">
        <v>174.5</v>
      </c>
      <c r="G870" s="44">
        <v>169.5</v>
      </c>
      <c r="H870" s="44">
        <v>174</v>
      </c>
      <c r="I870" s="44">
        <v>-1.5</v>
      </c>
      <c r="J870" s="44">
        <v>-0.85</v>
      </c>
      <c r="K870" s="44">
        <v>782</v>
      </c>
      <c r="L870" s="44">
        <v>174</v>
      </c>
      <c r="M870" s="44">
        <v>1430</v>
      </c>
    </row>
    <row r="871" spans="1:13" x14ac:dyDescent="0.25">
      <c r="A871" s="45" t="s">
        <v>1923</v>
      </c>
      <c r="B871" s="44" t="s">
        <v>4309</v>
      </c>
      <c r="C871" s="47">
        <v>44250</v>
      </c>
      <c r="D871" s="44">
        <v>202103</v>
      </c>
      <c r="E871" s="44">
        <v>174.5</v>
      </c>
      <c r="F871" s="44">
        <v>174.5</v>
      </c>
      <c r="G871" s="44">
        <v>169.5</v>
      </c>
      <c r="H871" s="44">
        <v>174</v>
      </c>
      <c r="I871" s="44">
        <v>-1.5</v>
      </c>
      <c r="J871" s="44">
        <v>-0.85</v>
      </c>
      <c r="K871" s="44">
        <v>782</v>
      </c>
      <c r="L871" s="44">
        <v>174</v>
      </c>
      <c r="M871" s="44">
        <v>1430</v>
      </c>
    </row>
    <row r="872" spans="1:13" x14ac:dyDescent="0.25">
      <c r="A872" s="45" t="s">
        <v>1924</v>
      </c>
      <c r="B872" s="44" t="s">
        <v>4310</v>
      </c>
      <c r="C872" s="47">
        <v>44250</v>
      </c>
      <c r="D872" s="44">
        <v>202104</v>
      </c>
      <c r="E872" s="44">
        <v>175</v>
      </c>
      <c r="F872" s="44">
        <v>175</v>
      </c>
      <c r="G872" s="44">
        <v>172</v>
      </c>
      <c r="H872" s="44">
        <v>172</v>
      </c>
      <c r="I872" s="44">
        <v>-3</v>
      </c>
      <c r="J872" s="44">
        <v>-1.71</v>
      </c>
      <c r="K872" s="44">
        <v>291</v>
      </c>
      <c r="L872" s="44">
        <v>172</v>
      </c>
      <c r="M872" s="44">
        <v>394</v>
      </c>
    </row>
    <row r="873" spans="1:13" x14ac:dyDescent="0.25">
      <c r="A873" s="45" t="s">
        <v>1925</v>
      </c>
      <c r="B873" s="44" t="s">
        <v>4311</v>
      </c>
      <c r="C873" s="47">
        <v>44250</v>
      </c>
      <c r="D873" s="44">
        <v>202104</v>
      </c>
      <c r="E873" s="44">
        <v>175</v>
      </c>
      <c r="F873" s="44">
        <v>175</v>
      </c>
      <c r="G873" s="44">
        <v>172</v>
      </c>
      <c r="H873" s="44">
        <v>172</v>
      </c>
      <c r="I873" s="44">
        <v>-3</v>
      </c>
      <c r="J873" s="44">
        <v>-1.71</v>
      </c>
      <c r="K873" s="44">
        <v>291</v>
      </c>
      <c r="L873" s="44">
        <v>172</v>
      </c>
      <c r="M873" s="44">
        <v>394</v>
      </c>
    </row>
    <row r="874" spans="1:13" x14ac:dyDescent="0.25">
      <c r="A874" s="45" t="s">
        <v>1926</v>
      </c>
      <c r="C874" s="47"/>
    </row>
    <row r="875" spans="1:13" x14ac:dyDescent="0.25">
      <c r="A875" s="45" t="s">
        <v>1927</v>
      </c>
      <c r="C875" s="47"/>
    </row>
    <row r="876" spans="1:13" x14ac:dyDescent="0.25">
      <c r="A876" s="45" t="s">
        <v>1928</v>
      </c>
      <c r="C876" s="47"/>
    </row>
    <row r="877" spans="1:13" x14ac:dyDescent="0.25">
      <c r="A877" s="45" t="s">
        <v>1929</v>
      </c>
      <c r="B877" s="44" t="s">
        <v>4312</v>
      </c>
      <c r="C877" s="47">
        <v>44250</v>
      </c>
      <c r="D877" s="44">
        <v>202103</v>
      </c>
      <c r="E877" s="44">
        <v>174.5</v>
      </c>
      <c r="F877" s="44">
        <v>174.5</v>
      </c>
      <c r="G877" s="44">
        <v>169.5</v>
      </c>
      <c r="H877" s="44">
        <v>174</v>
      </c>
      <c r="I877" s="44">
        <v>-1.5</v>
      </c>
      <c r="J877" s="44">
        <v>-0.85</v>
      </c>
      <c r="K877" s="44">
        <v>782</v>
      </c>
      <c r="L877" s="44">
        <v>174</v>
      </c>
      <c r="M877" s="44">
        <v>1430</v>
      </c>
    </row>
    <row r="878" spans="1:13" x14ac:dyDescent="0.25">
      <c r="A878" s="45" t="s">
        <v>1930</v>
      </c>
      <c r="B878" s="44" t="s">
        <v>4313</v>
      </c>
      <c r="C878" s="47">
        <v>44250</v>
      </c>
      <c r="D878" s="44" t="s">
        <v>5788</v>
      </c>
      <c r="E878" s="44">
        <v>0</v>
      </c>
      <c r="F878" s="44">
        <v>0</v>
      </c>
      <c r="G878" s="44">
        <v>0</v>
      </c>
      <c r="H878" s="44">
        <v>0</v>
      </c>
      <c r="K878" s="44">
        <v>0</v>
      </c>
    </row>
    <row r="879" spans="1:13" x14ac:dyDescent="0.25">
      <c r="A879" s="45" t="s">
        <v>1931</v>
      </c>
      <c r="B879" s="44" t="s">
        <v>4314</v>
      </c>
      <c r="C879" s="47">
        <v>44250</v>
      </c>
      <c r="D879" s="44">
        <v>202106</v>
      </c>
      <c r="E879" s="44">
        <v>170</v>
      </c>
      <c r="F879" s="44">
        <v>170</v>
      </c>
      <c r="G879" s="44">
        <v>170</v>
      </c>
      <c r="H879" s="44">
        <v>170</v>
      </c>
      <c r="I879" s="44">
        <v>-4</v>
      </c>
      <c r="J879" s="44">
        <v>-2.2999999999999998</v>
      </c>
      <c r="K879" s="44">
        <v>1</v>
      </c>
      <c r="L879" s="44">
        <v>173.5</v>
      </c>
      <c r="M879" s="44">
        <v>5</v>
      </c>
    </row>
    <row r="880" spans="1:13" x14ac:dyDescent="0.25">
      <c r="A880" s="45" t="s">
        <v>1932</v>
      </c>
      <c r="B880" s="44" t="s">
        <v>4315</v>
      </c>
      <c r="C880" s="47">
        <v>44250</v>
      </c>
      <c r="D880" s="44">
        <v>202109</v>
      </c>
      <c r="E880" s="44">
        <v>173.5</v>
      </c>
      <c r="F880" s="44">
        <v>173.5</v>
      </c>
      <c r="G880" s="44">
        <v>173.5</v>
      </c>
      <c r="H880" s="44">
        <v>173.5</v>
      </c>
      <c r="I880" s="44">
        <v>-1.5</v>
      </c>
      <c r="J880" s="44">
        <v>-0.86</v>
      </c>
      <c r="K880" s="44">
        <v>0</v>
      </c>
      <c r="L880" s="44">
        <v>173.5</v>
      </c>
      <c r="M880" s="44">
        <v>1</v>
      </c>
    </row>
    <row r="881" spans="1:13" x14ac:dyDescent="0.25">
      <c r="A881" s="45" t="s">
        <v>1933</v>
      </c>
      <c r="B881" s="44" t="s">
        <v>4316</v>
      </c>
      <c r="C881" s="47">
        <v>44250</v>
      </c>
      <c r="D881" s="44">
        <v>202112</v>
      </c>
      <c r="E881" s="44">
        <v>173</v>
      </c>
      <c r="F881" s="44">
        <v>173</v>
      </c>
      <c r="G881" s="44">
        <v>173</v>
      </c>
      <c r="H881" s="44">
        <v>173</v>
      </c>
      <c r="I881" s="44">
        <v>-1.5</v>
      </c>
      <c r="J881" s="44">
        <v>-0.86</v>
      </c>
      <c r="K881" s="44">
        <v>0</v>
      </c>
      <c r="L881" s="44">
        <v>173</v>
      </c>
      <c r="M881" s="44">
        <v>0</v>
      </c>
    </row>
    <row r="882" spans="1:13" x14ac:dyDescent="0.25">
      <c r="A882" s="45" t="s">
        <v>968</v>
      </c>
      <c r="B882" s="44" t="s">
        <v>4317</v>
      </c>
      <c r="C882" s="47">
        <v>44250</v>
      </c>
      <c r="D882" s="44">
        <v>202103</v>
      </c>
      <c r="E882" s="44">
        <v>194</v>
      </c>
      <c r="F882" s="44">
        <v>198</v>
      </c>
      <c r="G882" s="44">
        <v>193.5</v>
      </c>
      <c r="H882" s="44">
        <v>197.5</v>
      </c>
      <c r="I882" s="44">
        <v>2</v>
      </c>
      <c r="J882" s="44">
        <v>1.02</v>
      </c>
      <c r="K882" s="44">
        <v>695</v>
      </c>
      <c r="L882" s="44">
        <v>197.5</v>
      </c>
      <c r="M882" s="44">
        <v>2936</v>
      </c>
    </row>
    <row r="883" spans="1:13" x14ac:dyDescent="0.25">
      <c r="A883" s="45" t="s">
        <v>1934</v>
      </c>
      <c r="B883" s="44" t="s">
        <v>4318</v>
      </c>
      <c r="C883" s="47">
        <v>44250</v>
      </c>
      <c r="D883" s="44">
        <v>202103</v>
      </c>
      <c r="E883" s="44">
        <v>194</v>
      </c>
      <c r="F883" s="44">
        <v>198</v>
      </c>
      <c r="G883" s="44">
        <v>193.5</v>
      </c>
      <c r="H883" s="44">
        <v>197.5</v>
      </c>
      <c r="I883" s="44">
        <v>2</v>
      </c>
      <c r="J883" s="44">
        <v>1.02</v>
      </c>
      <c r="K883" s="44">
        <v>695</v>
      </c>
      <c r="L883" s="44">
        <v>197.5</v>
      </c>
      <c r="M883" s="44">
        <v>2936</v>
      </c>
    </row>
    <row r="884" spans="1:13" x14ac:dyDescent="0.25">
      <c r="A884" s="45" t="s">
        <v>1935</v>
      </c>
      <c r="B884" s="44" t="s">
        <v>4319</v>
      </c>
      <c r="C884" s="47">
        <v>44250</v>
      </c>
      <c r="D884" s="44">
        <v>202104</v>
      </c>
      <c r="E884" s="44">
        <v>196</v>
      </c>
      <c r="F884" s="44">
        <v>197.5</v>
      </c>
      <c r="G884" s="44">
        <v>196</v>
      </c>
      <c r="H884" s="44">
        <v>197</v>
      </c>
      <c r="I884" s="44">
        <v>2</v>
      </c>
      <c r="J884" s="44">
        <v>1.03</v>
      </c>
      <c r="K884" s="44">
        <v>120</v>
      </c>
      <c r="L884" s="44">
        <v>197</v>
      </c>
      <c r="M884" s="44">
        <v>111</v>
      </c>
    </row>
    <row r="885" spans="1:13" x14ac:dyDescent="0.25">
      <c r="A885" s="45" t="s">
        <v>1936</v>
      </c>
      <c r="B885" s="44" t="s">
        <v>4320</v>
      </c>
      <c r="C885" s="47">
        <v>44250</v>
      </c>
      <c r="D885" s="44">
        <v>202104</v>
      </c>
      <c r="E885" s="44">
        <v>196</v>
      </c>
      <c r="F885" s="44">
        <v>197.5</v>
      </c>
      <c r="G885" s="44">
        <v>196</v>
      </c>
      <c r="H885" s="44">
        <v>197</v>
      </c>
      <c r="I885" s="44">
        <v>2</v>
      </c>
      <c r="J885" s="44">
        <v>1.03</v>
      </c>
      <c r="K885" s="44">
        <v>120</v>
      </c>
      <c r="L885" s="44">
        <v>197</v>
      </c>
      <c r="M885" s="44">
        <v>111</v>
      </c>
    </row>
    <row r="886" spans="1:13" x14ac:dyDescent="0.25">
      <c r="A886" s="45" t="s">
        <v>1937</v>
      </c>
      <c r="C886" s="47"/>
    </row>
    <row r="887" spans="1:13" x14ac:dyDescent="0.25">
      <c r="A887" s="45" t="s">
        <v>1938</v>
      </c>
      <c r="C887" s="47"/>
    </row>
    <row r="888" spans="1:13" x14ac:dyDescent="0.25">
      <c r="A888" s="45" t="s">
        <v>1939</v>
      </c>
      <c r="B888" s="44" t="s">
        <v>4321</v>
      </c>
      <c r="C888" s="47">
        <v>44250</v>
      </c>
      <c r="D888" s="44">
        <v>202103</v>
      </c>
      <c r="E888" s="44">
        <v>194</v>
      </c>
      <c r="F888" s="44">
        <v>198</v>
      </c>
      <c r="G888" s="44">
        <v>193.5</v>
      </c>
      <c r="H888" s="44">
        <v>197.5</v>
      </c>
      <c r="I888" s="44">
        <v>2</v>
      </c>
      <c r="J888" s="44">
        <v>1.02</v>
      </c>
      <c r="K888" s="44">
        <v>695</v>
      </c>
      <c r="L888" s="44">
        <v>197.5</v>
      </c>
      <c r="M888" s="44">
        <v>2936</v>
      </c>
    </row>
    <row r="889" spans="1:13" x14ac:dyDescent="0.25">
      <c r="A889" s="45" t="s">
        <v>1940</v>
      </c>
      <c r="B889" s="44" t="s">
        <v>4322</v>
      </c>
      <c r="C889" s="47">
        <v>44250</v>
      </c>
      <c r="D889" s="44">
        <v>202106</v>
      </c>
      <c r="E889" s="44">
        <v>197</v>
      </c>
      <c r="F889" s="44">
        <v>197</v>
      </c>
      <c r="G889" s="44">
        <v>197</v>
      </c>
      <c r="H889" s="44">
        <v>197</v>
      </c>
      <c r="I889" s="44">
        <v>2</v>
      </c>
      <c r="J889" s="44">
        <v>1.03</v>
      </c>
      <c r="K889" s="44">
        <v>0</v>
      </c>
      <c r="L889" s="44">
        <v>197</v>
      </c>
      <c r="M889" s="44">
        <v>9</v>
      </c>
    </row>
    <row r="890" spans="1:13" x14ac:dyDescent="0.25">
      <c r="A890" s="45" t="s">
        <v>1941</v>
      </c>
      <c r="B890" s="44" t="s">
        <v>4323</v>
      </c>
      <c r="C890" s="47">
        <v>44250</v>
      </c>
      <c r="D890" s="44">
        <v>202109</v>
      </c>
      <c r="E890" s="44">
        <v>196.5</v>
      </c>
      <c r="F890" s="44">
        <v>196.5</v>
      </c>
      <c r="G890" s="44">
        <v>196.5</v>
      </c>
      <c r="H890" s="44">
        <v>196.5</v>
      </c>
      <c r="I890" s="44">
        <v>2</v>
      </c>
      <c r="J890" s="44">
        <v>1.03</v>
      </c>
      <c r="K890" s="44">
        <v>0</v>
      </c>
      <c r="L890" s="44">
        <v>196.5</v>
      </c>
      <c r="M890" s="44">
        <v>0</v>
      </c>
    </row>
    <row r="891" spans="1:13" x14ac:dyDescent="0.25">
      <c r="A891" s="45" t="s">
        <v>1942</v>
      </c>
      <c r="B891" s="44" t="s">
        <v>4324</v>
      </c>
      <c r="C891" s="47">
        <v>44250</v>
      </c>
      <c r="D891" s="44">
        <v>202112</v>
      </c>
      <c r="E891" s="44">
        <v>197</v>
      </c>
      <c r="F891" s="44">
        <v>197</v>
      </c>
      <c r="G891" s="44">
        <v>197</v>
      </c>
      <c r="H891" s="44">
        <v>197</v>
      </c>
      <c r="I891" s="44">
        <v>2</v>
      </c>
      <c r="J891" s="44">
        <v>1.03</v>
      </c>
      <c r="K891" s="44">
        <v>0</v>
      </c>
      <c r="L891" s="44">
        <v>197</v>
      </c>
      <c r="M891" s="44">
        <v>0</v>
      </c>
    </row>
    <row r="892" spans="1:13" x14ac:dyDescent="0.25">
      <c r="A892" s="45" t="s">
        <v>969</v>
      </c>
      <c r="B892" s="44" t="s">
        <v>4325</v>
      </c>
      <c r="C892" s="47">
        <v>44250</v>
      </c>
      <c r="D892" s="44">
        <v>202103</v>
      </c>
      <c r="E892" s="44">
        <v>18.399999999999999</v>
      </c>
      <c r="F892" s="44">
        <v>18.600000000000001</v>
      </c>
      <c r="G892" s="44">
        <v>18.399999999999999</v>
      </c>
      <c r="H892" s="44">
        <v>18.600000000000001</v>
      </c>
      <c r="I892" s="44">
        <v>-0.05</v>
      </c>
      <c r="J892" s="44">
        <v>-0.27</v>
      </c>
      <c r="K892" s="44">
        <v>12</v>
      </c>
      <c r="L892" s="44">
        <v>18.600000000000001</v>
      </c>
      <c r="M892" s="44">
        <v>107</v>
      </c>
    </row>
    <row r="893" spans="1:13" x14ac:dyDescent="0.25">
      <c r="A893" s="45" t="s">
        <v>1943</v>
      </c>
      <c r="B893" s="44" t="s">
        <v>4326</v>
      </c>
      <c r="C893" s="47">
        <v>44250</v>
      </c>
      <c r="D893" s="44">
        <v>202103</v>
      </c>
      <c r="E893" s="44">
        <v>18.399999999999999</v>
      </c>
      <c r="F893" s="44">
        <v>18.600000000000001</v>
      </c>
      <c r="G893" s="44">
        <v>18.399999999999999</v>
      </c>
      <c r="H893" s="44">
        <v>18.600000000000001</v>
      </c>
      <c r="I893" s="44">
        <v>-0.05</v>
      </c>
      <c r="J893" s="44">
        <v>-0.27</v>
      </c>
      <c r="K893" s="44">
        <v>12</v>
      </c>
      <c r="L893" s="44">
        <v>18.600000000000001</v>
      </c>
      <c r="M893" s="44">
        <v>107</v>
      </c>
    </row>
    <row r="894" spans="1:13" x14ac:dyDescent="0.25">
      <c r="A894" s="45" t="s">
        <v>1944</v>
      </c>
      <c r="B894" s="44" t="s">
        <v>4327</v>
      </c>
      <c r="C894" s="47">
        <v>44250</v>
      </c>
      <c r="D894" s="44">
        <v>202104</v>
      </c>
      <c r="E894" s="44">
        <v>18.55</v>
      </c>
      <c r="F894" s="44">
        <v>18.55</v>
      </c>
      <c r="G894" s="44">
        <v>18.55</v>
      </c>
      <c r="H894" s="44">
        <v>18.55</v>
      </c>
      <c r="I894" s="44">
        <v>-0.05</v>
      </c>
      <c r="J894" s="44">
        <v>-0.27</v>
      </c>
      <c r="K894" s="44">
        <v>0</v>
      </c>
      <c r="L894" s="44">
        <v>18.55</v>
      </c>
      <c r="M894" s="44">
        <v>11</v>
      </c>
    </row>
    <row r="895" spans="1:13" x14ac:dyDescent="0.25">
      <c r="A895" s="45" t="s">
        <v>1945</v>
      </c>
      <c r="B895" s="44" t="s">
        <v>4328</v>
      </c>
      <c r="C895" s="47">
        <v>44250</v>
      </c>
      <c r="D895" s="44">
        <v>202104</v>
      </c>
      <c r="E895" s="44">
        <v>18.55</v>
      </c>
      <c r="F895" s="44">
        <v>18.55</v>
      </c>
      <c r="G895" s="44">
        <v>18.55</v>
      </c>
      <c r="H895" s="44">
        <v>18.55</v>
      </c>
      <c r="I895" s="44">
        <v>-0.05</v>
      </c>
      <c r="J895" s="44">
        <v>-0.27</v>
      </c>
      <c r="K895" s="44">
        <v>0</v>
      </c>
      <c r="L895" s="44">
        <v>18.55</v>
      </c>
      <c r="M895" s="44">
        <v>11</v>
      </c>
    </row>
    <row r="896" spans="1:13" x14ac:dyDescent="0.25">
      <c r="A896" s="45" t="s">
        <v>1946</v>
      </c>
      <c r="C896" s="47"/>
    </row>
    <row r="897" spans="1:13" x14ac:dyDescent="0.25">
      <c r="A897" s="45" t="s">
        <v>1947</v>
      </c>
      <c r="C897" s="47"/>
    </row>
    <row r="898" spans="1:13" x14ac:dyDescent="0.25">
      <c r="A898" s="45" t="s">
        <v>1948</v>
      </c>
      <c r="B898" s="44" t="s">
        <v>4329</v>
      </c>
      <c r="C898" s="47">
        <v>44250</v>
      </c>
      <c r="D898" s="44">
        <v>202103</v>
      </c>
      <c r="E898" s="44">
        <v>18.399999999999999</v>
      </c>
      <c r="F898" s="44">
        <v>18.600000000000001</v>
      </c>
      <c r="G898" s="44">
        <v>18.399999999999999</v>
      </c>
      <c r="H898" s="44">
        <v>18.600000000000001</v>
      </c>
      <c r="I898" s="44">
        <v>-0.05</v>
      </c>
      <c r="J898" s="44">
        <v>-0.27</v>
      </c>
      <c r="K898" s="44">
        <v>12</v>
      </c>
      <c r="L898" s="44">
        <v>18.600000000000001</v>
      </c>
      <c r="M898" s="44">
        <v>107</v>
      </c>
    </row>
    <row r="899" spans="1:13" x14ac:dyDescent="0.25">
      <c r="A899" s="45" t="s">
        <v>1949</v>
      </c>
      <c r="B899" s="44" t="s">
        <v>4330</v>
      </c>
      <c r="C899" s="47">
        <v>44250</v>
      </c>
      <c r="D899" s="44">
        <v>202106</v>
      </c>
      <c r="E899" s="44">
        <v>18.7</v>
      </c>
      <c r="F899" s="44">
        <v>18.7</v>
      </c>
      <c r="G899" s="44">
        <v>18.7</v>
      </c>
      <c r="H899" s="44">
        <v>18.7</v>
      </c>
      <c r="I899" s="44">
        <v>-0.05</v>
      </c>
      <c r="J899" s="44">
        <v>-0.27</v>
      </c>
      <c r="K899" s="44">
        <v>0</v>
      </c>
      <c r="L899" s="44">
        <v>18.7</v>
      </c>
      <c r="M899" s="44">
        <v>0</v>
      </c>
    </row>
    <row r="900" spans="1:13" x14ac:dyDescent="0.25">
      <c r="A900" s="45" t="s">
        <v>1950</v>
      </c>
      <c r="B900" s="44" t="s">
        <v>4331</v>
      </c>
      <c r="C900" s="47">
        <v>44250</v>
      </c>
      <c r="D900" s="44">
        <v>202109</v>
      </c>
      <c r="E900" s="44">
        <v>18.55</v>
      </c>
      <c r="F900" s="44">
        <v>18.55</v>
      </c>
      <c r="G900" s="44">
        <v>18.55</v>
      </c>
      <c r="H900" s="44">
        <v>18.55</v>
      </c>
      <c r="I900" s="44">
        <v>-0.05</v>
      </c>
      <c r="J900" s="44">
        <v>-0.27</v>
      </c>
      <c r="K900" s="44">
        <v>0</v>
      </c>
      <c r="L900" s="44">
        <v>18.55</v>
      </c>
      <c r="M900" s="44">
        <v>0</v>
      </c>
    </row>
    <row r="901" spans="1:13" x14ac:dyDescent="0.25">
      <c r="A901" s="45" t="s">
        <v>1951</v>
      </c>
      <c r="B901" s="44" t="s">
        <v>4332</v>
      </c>
      <c r="C901" s="47">
        <v>44250</v>
      </c>
      <c r="D901" s="44">
        <v>202112</v>
      </c>
      <c r="E901" s="44">
        <v>18.75</v>
      </c>
      <c r="F901" s="44">
        <v>18.75</v>
      </c>
      <c r="G901" s="44">
        <v>18.75</v>
      </c>
      <c r="H901" s="44">
        <v>18.75</v>
      </c>
      <c r="I901" s="44">
        <v>-0.05</v>
      </c>
      <c r="J901" s="44">
        <v>-0.27</v>
      </c>
      <c r="K901" s="44">
        <v>0</v>
      </c>
      <c r="L901" s="44">
        <v>18.75</v>
      </c>
      <c r="M901" s="44">
        <v>0</v>
      </c>
    </row>
    <row r="902" spans="1:13" x14ac:dyDescent="0.25">
      <c r="A902" s="45" t="s">
        <v>970</v>
      </c>
      <c r="B902" s="44" t="s">
        <v>4333</v>
      </c>
      <c r="C902" s="47">
        <v>44250</v>
      </c>
      <c r="D902" s="44">
        <v>202103</v>
      </c>
      <c r="E902" s="44">
        <v>11.5</v>
      </c>
      <c r="F902" s="44">
        <v>11.6</v>
      </c>
      <c r="G902" s="44">
        <v>11.5</v>
      </c>
      <c r="H902" s="44">
        <v>11.6</v>
      </c>
      <c r="I902" s="44">
        <v>0.05</v>
      </c>
      <c r="J902" s="44">
        <v>0.43</v>
      </c>
      <c r="K902" s="44">
        <v>2</v>
      </c>
      <c r="L902" s="44">
        <v>11.6</v>
      </c>
      <c r="M902" s="44">
        <v>367</v>
      </c>
    </row>
    <row r="903" spans="1:13" x14ac:dyDescent="0.25">
      <c r="A903" s="45" t="s">
        <v>1952</v>
      </c>
      <c r="B903" s="44" t="s">
        <v>4334</v>
      </c>
      <c r="C903" s="47">
        <v>44250</v>
      </c>
      <c r="D903" s="44">
        <v>202103</v>
      </c>
      <c r="E903" s="44">
        <v>11.5</v>
      </c>
      <c r="F903" s="44">
        <v>11.6</v>
      </c>
      <c r="G903" s="44">
        <v>11.5</v>
      </c>
      <c r="H903" s="44">
        <v>11.6</v>
      </c>
      <c r="I903" s="44">
        <v>0.05</v>
      </c>
      <c r="J903" s="44">
        <v>0.43</v>
      </c>
      <c r="K903" s="44">
        <v>2</v>
      </c>
      <c r="L903" s="44">
        <v>11.6</v>
      </c>
      <c r="M903" s="44">
        <v>367</v>
      </c>
    </row>
    <row r="904" spans="1:13" x14ac:dyDescent="0.25">
      <c r="A904" s="45" t="s">
        <v>1953</v>
      </c>
      <c r="B904" s="44" t="s">
        <v>4335</v>
      </c>
      <c r="C904" s="47">
        <v>44250</v>
      </c>
      <c r="D904" s="44">
        <v>202104</v>
      </c>
      <c r="E904" s="44">
        <v>11.55</v>
      </c>
      <c r="F904" s="44">
        <v>11.65</v>
      </c>
      <c r="G904" s="44">
        <v>11.55</v>
      </c>
      <c r="H904" s="44">
        <v>11.65</v>
      </c>
      <c r="I904" s="44">
        <v>0.15</v>
      </c>
      <c r="J904" s="44">
        <v>1.3</v>
      </c>
      <c r="K904" s="44">
        <v>7</v>
      </c>
      <c r="L904" s="44">
        <v>11.65</v>
      </c>
      <c r="M904" s="44">
        <v>27</v>
      </c>
    </row>
    <row r="905" spans="1:13" x14ac:dyDescent="0.25">
      <c r="A905" s="45" t="s">
        <v>1954</v>
      </c>
      <c r="B905" s="44" t="s">
        <v>4336</v>
      </c>
      <c r="C905" s="47">
        <v>44250</v>
      </c>
      <c r="D905" s="44">
        <v>202104</v>
      </c>
      <c r="E905" s="44">
        <v>11.55</v>
      </c>
      <c r="F905" s="44">
        <v>11.65</v>
      </c>
      <c r="G905" s="44">
        <v>11.55</v>
      </c>
      <c r="H905" s="44">
        <v>11.65</v>
      </c>
      <c r="I905" s="44">
        <v>0.15</v>
      </c>
      <c r="J905" s="44">
        <v>1.3</v>
      </c>
      <c r="K905" s="44">
        <v>7</v>
      </c>
      <c r="L905" s="44">
        <v>11.65</v>
      </c>
      <c r="M905" s="44">
        <v>27</v>
      </c>
    </row>
    <row r="906" spans="1:13" x14ac:dyDescent="0.25">
      <c r="A906" s="45" t="s">
        <v>1955</v>
      </c>
      <c r="C906" s="47"/>
    </row>
    <row r="907" spans="1:13" x14ac:dyDescent="0.25">
      <c r="A907" s="45" t="s">
        <v>1956</v>
      </c>
      <c r="C907" s="47"/>
    </row>
    <row r="908" spans="1:13" x14ac:dyDescent="0.25">
      <c r="A908" s="45" t="s">
        <v>1957</v>
      </c>
      <c r="B908" s="44" t="s">
        <v>4337</v>
      </c>
      <c r="C908" s="47">
        <v>44250</v>
      </c>
      <c r="D908" s="44">
        <v>202103</v>
      </c>
      <c r="E908" s="44">
        <v>11.5</v>
      </c>
      <c r="F908" s="44">
        <v>11.6</v>
      </c>
      <c r="G908" s="44">
        <v>11.5</v>
      </c>
      <c r="H908" s="44">
        <v>11.6</v>
      </c>
      <c r="I908" s="44">
        <v>0.05</v>
      </c>
      <c r="J908" s="44">
        <v>0.43</v>
      </c>
      <c r="K908" s="44">
        <v>2</v>
      </c>
      <c r="L908" s="44">
        <v>11.6</v>
      </c>
      <c r="M908" s="44">
        <v>367</v>
      </c>
    </row>
    <row r="909" spans="1:13" x14ac:dyDescent="0.25">
      <c r="A909" s="45" t="s">
        <v>1958</v>
      </c>
      <c r="B909" s="44" t="s">
        <v>4338</v>
      </c>
      <c r="C909" s="47">
        <v>44250</v>
      </c>
      <c r="D909" s="44">
        <v>202106</v>
      </c>
      <c r="E909" s="44">
        <v>11.5</v>
      </c>
      <c r="F909" s="44">
        <v>11.5</v>
      </c>
      <c r="G909" s="44">
        <v>11.5</v>
      </c>
      <c r="H909" s="44">
        <v>11.5</v>
      </c>
      <c r="I909" s="44">
        <v>0.05</v>
      </c>
      <c r="J909" s="44">
        <v>0.44</v>
      </c>
      <c r="K909" s="44">
        <v>0</v>
      </c>
      <c r="L909" s="44">
        <v>11.5</v>
      </c>
      <c r="M909" s="44">
        <v>0</v>
      </c>
    </row>
    <row r="910" spans="1:13" x14ac:dyDescent="0.25">
      <c r="A910" s="45" t="s">
        <v>1959</v>
      </c>
      <c r="B910" s="44" t="s">
        <v>4339</v>
      </c>
      <c r="C910" s="47">
        <v>44250</v>
      </c>
      <c r="D910" s="44">
        <v>202109</v>
      </c>
      <c r="E910" s="44">
        <v>11.55</v>
      </c>
      <c r="F910" s="44">
        <v>11.55</v>
      </c>
      <c r="G910" s="44">
        <v>11.55</v>
      </c>
      <c r="H910" s="44">
        <v>11.55</v>
      </c>
      <c r="I910" s="44">
        <v>0.05</v>
      </c>
      <c r="J910" s="44">
        <v>0.43</v>
      </c>
      <c r="K910" s="44">
        <v>0</v>
      </c>
      <c r="L910" s="44">
        <v>11.55</v>
      </c>
      <c r="M910" s="44">
        <v>0</v>
      </c>
    </row>
    <row r="911" spans="1:13" x14ac:dyDescent="0.25">
      <c r="A911" s="45" t="s">
        <v>1960</v>
      </c>
      <c r="B911" s="44" t="s">
        <v>4340</v>
      </c>
      <c r="C911" s="47">
        <v>44250</v>
      </c>
      <c r="D911" s="44">
        <v>202112</v>
      </c>
      <c r="E911" s="44">
        <v>11.6</v>
      </c>
      <c r="F911" s="44">
        <v>11.6</v>
      </c>
      <c r="G911" s="44">
        <v>11.6</v>
      </c>
      <c r="H911" s="44">
        <v>11.6</v>
      </c>
      <c r="I911" s="44">
        <v>0.05</v>
      </c>
      <c r="J911" s="44">
        <v>0.43</v>
      </c>
      <c r="K911" s="44">
        <v>0</v>
      </c>
      <c r="L911" s="44">
        <v>11.6</v>
      </c>
      <c r="M911" s="44">
        <v>0</v>
      </c>
    </row>
    <row r="912" spans="1:13" x14ac:dyDescent="0.25">
      <c r="A912" s="45" t="s">
        <v>971</v>
      </c>
      <c r="B912" s="44" t="s">
        <v>4341</v>
      </c>
      <c r="C912" s="47">
        <v>44250</v>
      </c>
      <c r="D912" s="44">
        <v>202103</v>
      </c>
      <c r="E912" s="44">
        <v>278</v>
      </c>
      <c r="F912" s="44">
        <v>291</v>
      </c>
      <c r="G912" s="44">
        <v>274</v>
      </c>
      <c r="H912" s="44">
        <v>290</v>
      </c>
      <c r="I912" s="44">
        <v>11</v>
      </c>
      <c r="J912" s="44">
        <v>3.94</v>
      </c>
      <c r="K912" s="44">
        <v>3265</v>
      </c>
      <c r="L912" s="44">
        <v>290.5</v>
      </c>
      <c r="M912" s="44">
        <v>1533</v>
      </c>
    </row>
    <row r="913" spans="1:13" x14ac:dyDescent="0.25">
      <c r="A913" s="45" t="s">
        <v>1961</v>
      </c>
      <c r="B913" s="44" t="s">
        <v>4342</v>
      </c>
      <c r="C913" s="47">
        <v>44250</v>
      </c>
      <c r="D913" s="44">
        <v>202103</v>
      </c>
      <c r="E913" s="44">
        <v>278</v>
      </c>
      <c r="F913" s="44">
        <v>291</v>
      </c>
      <c r="G913" s="44">
        <v>274</v>
      </c>
      <c r="H913" s="44">
        <v>290</v>
      </c>
      <c r="I913" s="44">
        <v>11</v>
      </c>
      <c r="J913" s="44">
        <v>3.94</v>
      </c>
      <c r="K913" s="44">
        <v>3265</v>
      </c>
      <c r="L913" s="44">
        <v>290.5</v>
      </c>
      <c r="M913" s="44">
        <v>1533</v>
      </c>
    </row>
    <row r="914" spans="1:13" x14ac:dyDescent="0.25">
      <c r="A914" s="45" t="s">
        <v>1962</v>
      </c>
      <c r="B914" s="44" t="s">
        <v>4343</v>
      </c>
      <c r="C914" s="47">
        <v>44250</v>
      </c>
      <c r="D914" s="44">
        <v>202104</v>
      </c>
      <c r="E914" s="44">
        <v>278.5</v>
      </c>
      <c r="F914" s="44">
        <v>290</v>
      </c>
      <c r="G914" s="44">
        <v>273.5</v>
      </c>
      <c r="H914" s="44">
        <v>290</v>
      </c>
      <c r="I914" s="44">
        <v>12</v>
      </c>
      <c r="J914" s="44">
        <v>4.32</v>
      </c>
      <c r="K914" s="44">
        <v>73</v>
      </c>
      <c r="L914" s="44">
        <v>290</v>
      </c>
      <c r="M914" s="44">
        <v>55</v>
      </c>
    </row>
    <row r="915" spans="1:13" x14ac:dyDescent="0.25">
      <c r="A915" s="45" t="s">
        <v>1963</v>
      </c>
      <c r="B915" s="44" t="s">
        <v>4344</v>
      </c>
      <c r="C915" s="47">
        <v>44250</v>
      </c>
      <c r="D915" s="44">
        <v>202104</v>
      </c>
      <c r="E915" s="44">
        <v>278.5</v>
      </c>
      <c r="F915" s="44">
        <v>290</v>
      </c>
      <c r="G915" s="44">
        <v>273.5</v>
      </c>
      <c r="H915" s="44">
        <v>290</v>
      </c>
      <c r="I915" s="44">
        <v>12</v>
      </c>
      <c r="J915" s="44">
        <v>4.32</v>
      </c>
      <c r="K915" s="44">
        <v>73</v>
      </c>
      <c r="L915" s="44">
        <v>290</v>
      </c>
      <c r="M915" s="44">
        <v>55</v>
      </c>
    </row>
    <row r="916" spans="1:13" x14ac:dyDescent="0.25">
      <c r="A916" s="45" t="s">
        <v>1964</v>
      </c>
      <c r="C916" s="47"/>
    </row>
    <row r="917" spans="1:13" x14ac:dyDescent="0.25">
      <c r="A917" s="45" t="s">
        <v>1965</v>
      </c>
      <c r="C917" s="47"/>
    </row>
    <row r="918" spans="1:13" x14ac:dyDescent="0.25">
      <c r="A918" s="45" t="s">
        <v>1966</v>
      </c>
      <c r="B918" s="44" t="s">
        <v>4345</v>
      </c>
      <c r="C918" s="47">
        <v>44250</v>
      </c>
      <c r="D918" s="44">
        <v>202103</v>
      </c>
      <c r="E918" s="44">
        <v>278</v>
      </c>
      <c r="F918" s="44">
        <v>291</v>
      </c>
      <c r="G918" s="44">
        <v>274</v>
      </c>
      <c r="H918" s="44">
        <v>290</v>
      </c>
      <c r="I918" s="44">
        <v>11</v>
      </c>
      <c r="J918" s="44">
        <v>3.94</v>
      </c>
      <c r="K918" s="44">
        <v>3265</v>
      </c>
      <c r="L918" s="44">
        <v>290.5</v>
      </c>
      <c r="M918" s="44">
        <v>1533</v>
      </c>
    </row>
    <row r="919" spans="1:13" x14ac:dyDescent="0.25">
      <c r="A919" s="45" t="s">
        <v>1967</v>
      </c>
      <c r="B919" s="44" t="s">
        <v>4346</v>
      </c>
      <c r="C919" s="47">
        <v>44250</v>
      </c>
      <c r="D919" s="44">
        <v>202106</v>
      </c>
      <c r="E919" s="44">
        <v>290</v>
      </c>
      <c r="F919" s="44">
        <v>290</v>
      </c>
      <c r="G919" s="44">
        <v>290</v>
      </c>
      <c r="H919" s="44">
        <v>290</v>
      </c>
      <c r="I919" s="44">
        <v>11.5</v>
      </c>
      <c r="J919" s="44">
        <v>4.13</v>
      </c>
      <c r="K919" s="44">
        <v>0</v>
      </c>
      <c r="L919" s="44">
        <v>290</v>
      </c>
      <c r="M919" s="44">
        <v>0</v>
      </c>
    </row>
    <row r="920" spans="1:13" x14ac:dyDescent="0.25">
      <c r="A920" s="45" t="s">
        <v>1968</v>
      </c>
      <c r="B920" s="44" t="s">
        <v>4347</v>
      </c>
      <c r="C920" s="47">
        <v>44250</v>
      </c>
      <c r="D920" s="44">
        <v>202109</v>
      </c>
      <c r="E920" s="44">
        <v>290</v>
      </c>
      <c r="F920" s="44">
        <v>290</v>
      </c>
      <c r="G920" s="44">
        <v>290</v>
      </c>
      <c r="H920" s="44">
        <v>290</v>
      </c>
      <c r="I920" s="44">
        <v>11.5</v>
      </c>
      <c r="J920" s="44">
        <v>4.13</v>
      </c>
      <c r="K920" s="44">
        <v>0</v>
      </c>
      <c r="L920" s="44">
        <v>290</v>
      </c>
      <c r="M920" s="44">
        <v>0</v>
      </c>
    </row>
    <row r="921" spans="1:13" x14ac:dyDescent="0.25">
      <c r="A921" s="45" t="s">
        <v>1969</v>
      </c>
      <c r="B921" s="44" t="s">
        <v>4348</v>
      </c>
      <c r="C921" s="47">
        <v>44250</v>
      </c>
      <c r="D921" s="44">
        <v>202112</v>
      </c>
      <c r="E921" s="44">
        <v>290</v>
      </c>
      <c r="F921" s="44">
        <v>290</v>
      </c>
      <c r="G921" s="44">
        <v>290</v>
      </c>
      <c r="H921" s="44">
        <v>290</v>
      </c>
      <c r="I921" s="44">
        <v>11.5</v>
      </c>
      <c r="J921" s="44">
        <v>4.13</v>
      </c>
      <c r="K921" s="44">
        <v>0</v>
      </c>
      <c r="L921" s="44">
        <v>290</v>
      </c>
      <c r="M921" s="44">
        <v>0</v>
      </c>
    </row>
    <row r="922" spans="1:13" x14ac:dyDescent="0.25">
      <c r="A922" s="45" t="s">
        <v>972</v>
      </c>
      <c r="B922" s="44" t="s">
        <v>4349</v>
      </c>
      <c r="C922" s="47">
        <v>44250</v>
      </c>
      <c r="D922" s="44">
        <v>202103</v>
      </c>
      <c r="E922" s="44">
        <v>29.4</v>
      </c>
      <c r="F922" s="44">
        <v>29.4</v>
      </c>
      <c r="G922" s="44">
        <v>28.9</v>
      </c>
      <c r="H922" s="44">
        <v>29.1</v>
      </c>
      <c r="I922" s="44">
        <v>-0.3</v>
      </c>
      <c r="J922" s="44">
        <v>-1.02</v>
      </c>
      <c r="K922" s="44">
        <v>114</v>
      </c>
      <c r="L922" s="44">
        <v>29.1</v>
      </c>
      <c r="M922" s="44">
        <v>485</v>
      </c>
    </row>
    <row r="923" spans="1:13" x14ac:dyDescent="0.25">
      <c r="A923" s="45" t="s">
        <v>1970</v>
      </c>
      <c r="B923" s="44" t="s">
        <v>4350</v>
      </c>
      <c r="C923" s="47">
        <v>44250</v>
      </c>
      <c r="D923" s="44">
        <v>202103</v>
      </c>
      <c r="E923" s="44">
        <v>29.4</v>
      </c>
      <c r="F923" s="44">
        <v>29.4</v>
      </c>
      <c r="G923" s="44">
        <v>28.9</v>
      </c>
      <c r="H923" s="44">
        <v>29.1</v>
      </c>
      <c r="I923" s="44">
        <v>-0.3</v>
      </c>
      <c r="J923" s="44">
        <v>-1.02</v>
      </c>
      <c r="K923" s="44">
        <v>114</v>
      </c>
      <c r="L923" s="44">
        <v>29.1</v>
      </c>
      <c r="M923" s="44">
        <v>485</v>
      </c>
    </row>
    <row r="924" spans="1:13" x14ac:dyDescent="0.25">
      <c r="A924" s="45" t="s">
        <v>1971</v>
      </c>
      <c r="B924" s="44" t="s">
        <v>4351</v>
      </c>
      <c r="C924" s="47">
        <v>44250</v>
      </c>
      <c r="D924" s="44">
        <v>202104</v>
      </c>
      <c r="E924" s="44">
        <v>29.05</v>
      </c>
      <c r="F924" s="44">
        <v>29.1</v>
      </c>
      <c r="G924" s="44">
        <v>28.9</v>
      </c>
      <c r="H924" s="44">
        <v>29.1</v>
      </c>
      <c r="I924" s="44">
        <v>-0.25</v>
      </c>
      <c r="J924" s="44">
        <v>-0.85</v>
      </c>
      <c r="K924" s="44">
        <v>11</v>
      </c>
      <c r="L924" s="44">
        <v>29.1</v>
      </c>
      <c r="M924" s="44">
        <v>37</v>
      </c>
    </row>
    <row r="925" spans="1:13" x14ac:dyDescent="0.25">
      <c r="A925" s="45" t="s">
        <v>1972</v>
      </c>
      <c r="B925" s="44" t="s">
        <v>4352</v>
      </c>
      <c r="C925" s="47">
        <v>44250</v>
      </c>
      <c r="D925" s="44">
        <v>202104</v>
      </c>
      <c r="E925" s="44">
        <v>29.05</v>
      </c>
      <c r="F925" s="44">
        <v>29.1</v>
      </c>
      <c r="G925" s="44">
        <v>28.9</v>
      </c>
      <c r="H925" s="44">
        <v>29.1</v>
      </c>
      <c r="I925" s="44">
        <v>-0.25</v>
      </c>
      <c r="J925" s="44">
        <v>-0.85</v>
      </c>
      <c r="K925" s="44">
        <v>11</v>
      </c>
      <c r="L925" s="44">
        <v>29.1</v>
      </c>
      <c r="M925" s="44">
        <v>37</v>
      </c>
    </row>
    <row r="926" spans="1:13" x14ac:dyDescent="0.25">
      <c r="A926" s="45" t="s">
        <v>1973</v>
      </c>
      <c r="C926" s="47"/>
    </row>
    <row r="927" spans="1:13" x14ac:dyDescent="0.25">
      <c r="A927" s="45" t="s">
        <v>1974</v>
      </c>
      <c r="C927" s="47"/>
    </row>
    <row r="928" spans="1:13" x14ac:dyDescent="0.25">
      <c r="A928" s="45" t="s">
        <v>1975</v>
      </c>
      <c r="C928" s="47"/>
    </row>
    <row r="929" spans="1:13" x14ac:dyDescent="0.25">
      <c r="A929" s="45" t="s">
        <v>1976</v>
      </c>
      <c r="B929" s="44" t="s">
        <v>4353</v>
      </c>
      <c r="C929" s="47">
        <v>44250</v>
      </c>
      <c r="D929" s="44">
        <v>202103</v>
      </c>
      <c r="E929" s="44">
        <v>29.4</v>
      </c>
      <c r="F929" s="44">
        <v>29.4</v>
      </c>
      <c r="G929" s="44">
        <v>28.9</v>
      </c>
      <c r="H929" s="44">
        <v>29.1</v>
      </c>
      <c r="I929" s="44">
        <v>-0.3</v>
      </c>
      <c r="J929" s="44">
        <v>-1.02</v>
      </c>
      <c r="K929" s="44">
        <v>114</v>
      </c>
      <c r="L929" s="44">
        <v>29.1</v>
      </c>
      <c r="M929" s="44">
        <v>485</v>
      </c>
    </row>
    <row r="930" spans="1:13" x14ac:dyDescent="0.25">
      <c r="A930" s="45" t="s">
        <v>1977</v>
      </c>
      <c r="C930" s="47"/>
    </row>
    <row r="931" spans="1:13" x14ac:dyDescent="0.25">
      <c r="A931" s="45" t="s">
        <v>1978</v>
      </c>
      <c r="C931" s="47"/>
    </row>
    <row r="932" spans="1:13" x14ac:dyDescent="0.25">
      <c r="A932" s="45" t="s">
        <v>1979</v>
      </c>
      <c r="B932" s="44" t="s">
        <v>4354</v>
      </c>
      <c r="C932" s="47">
        <v>44250</v>
      </c>
      <c r="D932" s="44">
        <v>202106</v>
      </c>
      <c r="E932" s="44">
        <v>28.9</v>
      </c>
      <c r="F932" s="44">
        <v>28.9</v>
      </c>
      <c r="G932" s="44">
        <v>28.9</v>
      </c>
      <c r="H932" s="44">
        <v>28.9</v>
      </c>
      <c r="I932" s="44">
        <v>-0.3</v>
      </c>
      <c r="J932" s="44">
        <v>-1.03</v>
      </c>
      <c r="K932" s="44">
        <v>0</v>
      </c>
      <c r="L932" s="44">
        <v>28.9</v>
      </c>
      <c r="M932" s="44">
        <v>13</v>
      </c>
    </row>
    <row r="933" spans="1:13" x14ac:dyDescent="0.25">
      <c r="A933" s="45" t="s">
        <v>1980</v>
      </c>
      <c r="C933" s="47"/>
    </row>
    <row r="934" spans="1:13" x14ac:dyDescent="0.25">
      <c r="A934" s="45" t="s">
        <v>1981</v>
      </c>
      <c r="B934" s="44" t="s">
        <v>4355</v>
      </c>
      <c r="C934" s="47">
        <v>44250</v>
      </c>
      <c r="D934" s="44">
        <v>202109</v>
      </c>
      <c r="E934" s="44">
        <v>28.7</v>
      </c>
      <c r="F934" s="44">
        <v>28.7</v>
      </c>
      <c r="G934" s="44">
        <v>28.7</v>
      </c>
      <c r="H934" s="44">
        <v>28.7</v>
      </c>
      <c r="I934" s="44">
        <v>-0.3</v>
      </c>
      <c r="J934" s="44">
        <v>-1.03</v>
      </c>
      <c r="K934" s="44">
        <v>0</v>
      </c>
      <c r="L934" s="44">
        <v>28.7</v>
      </c>
      <c r="M934" s="44">
        <v>19</v>
      </c>
    </row>
    <row r="935" spans="1:13" x14ac:dyDescent="0.25">
      <c r="A935" s="45" t="s">
        <v>1982</v>
      </c>
      <c r="B935" s="44" t="s">
        <v>4356</v>
      </c>
      <c r="C935" s="47">
        <v>44250</v>
      </c>
      <c r="D935" s="44">
        <v>202112</v>
      </c>
      <c r="E935" s="44">
        <v>29</v>
      </c>
      <c r="F935" s="44">
        <v>29</v>
      </c>
      <c r="G935" s="44">
        <v>29</v>
      </c>
      <c r="H935" s="44">
        <v>29</v>
      </c>
      <c r="I935" s="44">
        <v>-0.3</v>
      </c>
      <c r="J935" s="44">
        <v>-1.02</v>
      </c>
      <c r="K935" s="44">
        <v>0</v>
      </c>
      <c r="L935" s="44">
        <v>29</v>
      </c>
      <c r="M935" s="44">
        <v>0</v>
      </c>
    </row>
    <row r="936" spans="1:13" x14ac:dyDescent="0.25">
      <c r="A936" s="45" t="s">
        <v>973</v>
      </c>
      <c r="B936" s="44" t="s">
        <v>4357</v>
      </c>
      <c r="C936" s="47">
        <v>44250</v>
      </c>
      <c r="D936" s="44">
        <v>202103</v>
      </c>
      <c r="E936" s="44">
        <v>8.99</v>
      </c>
      <c r="F936" s="44">
        <v>9.17</v>
      </c>
      <c r="G936" s="44">
        <v>8.99</v>
      </c>
      <c r="H936" s="44">
        <v>9.14</v>
      </c>
      <c r="I936" s="44">
        <v>0.15</v>
      </c>
      <c r="J936" s="44">
        <v>1.67</v>
      </c>
      <c r="K936" s="44">
        <v>106</v>
      </c>
      <c r="L936" s="44">
        <v>9.14</v>
      </c>
      <c r="M936" s="44">
        <v>529</v>
      </c>
    </row>
    <row r="937" spans="1:13" x14ac:dyDescent="0.25">
      <c r="A937" s="45" t="s">
        <v>1983</v>
      </c>
      <c r="B937" s="44" t="s">
        <v>4358</v>
      </c>
      <c r="C937" s="47">
        <v>44250</v>
      </c>
      <c r="D937" s="44">
        <v>202103</v>
      </c>
      <c r="E937" s="44">
        <v>8.99</v>
      </c>
      <c r="F937" s="44">
        <v>9.17</v>
      </c>
      <c r="G937" s="44">
        <v>8.99</v>
      </c>
      <c r="H937" s="44">
        <v>9.14</v>
      </c>
      <c r="I937" s="44">
        <v>0.15</v>
      </c>
      <c r="J937" s="44">
        <v>1.67</v>
      </c>
      <c r="K937" s="44">
        <v>106</v>
      </c>
      <c r="L937" s="44">
        <v>9.14</v>
      </c>
      <c r="M937" s="44">
        <v>529</v>
      </c>
    </row>
    <row r="938" spans="1:13" x14ac:dyDescent="0.25">
      <c r="A938" s="45" t="s">
        <v>1984</v>
      </c>
      <c r="B938" s="44" t="s">
        <v>4359</v>
      </c>
      <c r="C938" s="47">
        <v>44250</v>
      </c>
      <c r="D938" s="44">
        <v>202104</v>
      </c>
      <c r="E938" s="44">
        <v>9.02</v>
      </c>
      <c r="F938" s="44">
        <v>9.17</v>
      </c>
      <c r="G938" s="44">
        <v>9.02</v>
      </c>
      <c r="H938" s="44">
        <v>9.1199999999999992</v>
      </c>
      <c r="I938" s="44">
        <v>0.15</v>
      </c>
      <c r="J938" s="44">
        <v>1.67</v>
      </c>
      <c r="K938" s="44">
        <v>24</v>
      </c>
      <c r="L938" s="44">
        <v>9.1199999999999992</v>
      </c>
      <c r="M938" s="44">
        <v>55</v>
      </c>
    </row>
    <row r="939" spans="1:13" x14ac:dyDescent="0.25">
      <c r="A939" s="45" t="s">
        <v>1985</v>
      </c>
      <c r="B939" s="44" t="s">
        <v>4360</v>
      </c>
      <c r="C939" s="47">
        <v>44250</v>
      </c>
      <c r="D939" s="44">
        <v>202104</v>
      </c>
      <c r="E939" s="44">
        <v>9.02</v>
      </c>
      <c r="F939" s="44">
        <v>9.17</v>
      </c>
      <c r="G939" s="44">
        <v>9.02</v>
      </c>
      <c r="H939" s="44">
        <v>9.1199999999999992</v>
      </c>
      <c r="I939" s="44">
        <v>0.15</v>
      </c>
      <c r="J939" s="44">
        <v>1.67</v>
      </c>
      <c r="K939" s="44">
        <v>24</v>
      </c>
      <c r="L939" s="44">
        <v>9.1199999999999992</v>
      </c>
      <c r="M939" s="44">
        <v>55</v>
      </c>
    </row>
    <row r="940" spans="1:13" x14ac:dyDescent="0.25">
      <c r="A940" s="45" t="s">
        <v>1986</v>
      </c>
      <c r="C940" s="47"/>
    </row>
    <row r="941" spans="1:13" x14ac:dyDescent="0.25">
      <c r="A941" s="45" t="s">
        <v>1987</v>
      </c>
      <c r="C941" s="47"/>
    </row>
    <row r="942" spans="1:13" x14ac:dyDescent="0.25">
      <c r="A942" s="45" t="s">
        <v>1988</v>
      </c>
      <c r="B942" s="44" t="s">
        <v>4361</v>
      </c>
      <c r="C942" s="47">
        <v>44250</v>
      </c>
      <c r="D942" s="44">
        <v>202103</v>
      </c>
      <c r="E942" s="44">
        <v>8.99</v>
      </c>
      <c r="F942" s="44">
        <v>9.17</v>
      </c>
      <c r="G942" s="44">
        <v>8.99</v>
      </c>
      <c r="H942" s="44">
        <v>9.14</v>
      </c>
      <c r="I942" s="44">
        <v>0.15</v>
      </c>
      <c r="J942" s="44">
        <v>1.67</v>
      </c>
      <c r="K942" s="44">
        <v>106</v>
      </c>
      <c r="L942" s="44">
        <v>9.14</v>
      </c>
      <c r="M942" s="44">
        <v>529</v>
      </c>
    </row>
    <row r="943" spans="1:13" x14ac:dyDescent="0.25">
      <c r="A943" s="45" t="s">
        <v>1989</v>
      </c>
      <c r="B943" s="44" t="s">
        <v>4362</v>
      </c>
      <c r="C943" s="47">
        <v>44250</v>
      </c>
      <c r="D943" s="44">
        <v>202106</v>
      </c>
      <c r="E943" s="44">
        <v>9.09</v>
      </c>
      <c r="F943" s="44">
        <v>9.09</v>
      </c>
      <c r="G943" s="44">
        <v>9.09</v>
      </c>
      <c r="H943" s="44">
        <v>9.09</v>
      </c>
      <c r="I943" s="44">
        <v>0.15</v>
      </c>
      <c r="J943" s="44">
        <v>1.68</v>
      </c>
      <c r="K943" s="44">
        <v>0</v>
      </c>
      <c r="L943" s="44">
        <v>9.09</v>
      </c>
      <c r="M943" s="44">
        <v>5</v>
      </c>
    </row>
    <row r="944" spans="1:13" x14ac:dyDescent="0.25">
      <c r="A944" s="45" t="s">
        <v>1990</v>
      </c>
      <c r="B944" s="44" t="s">
        <v>4363</v>
      </c>
      <c r="C944" s="47">
        <v>44250</v>
      </c>
      <c r="D944" s="44">
        <v>202109</v>
      </c>
      <c r="E944" s="44">
        <v>9.14</v>
      </c>
      <c r="F944" s="44">
        <v>9.14</v>
      </c>
      <c r="G944" s="44">
        <v>9.14</v>
      </c>
      <c r="H944" s="44">
        <v>9.14</v>
      </c>
      <c r="I944" s="44">
        <v>0.15</v>
      </c>
      <c r="J944" s="44">
        <v>1.67</v>
      </c>
      <c r="K944" s="44">
        <v>0</v>
      </c>
      <c r="L944" s="44">
        <v>9.14</v>
      </c>
      <c r="M944" s="44">
        <v>0</v>
      </c>
    </row>
    <row r="945" spans="1:13" x14ac:dyDescent="0.25">
      <c r="A945" s="45" t="s">
        <v>1991</v>
      </c>
      <c r="B945" s="44" t="s">
        <v>4364</v>
      </c>
      <c r="C945" s="47">
        <v>44250</v>
      </c>
      <c r="D945" s="44">
        <v>202112</v>
      </c>
      <c r="E945" s="44">
        <v>9.23</v>
      </c>
      <c r="F945" s="44">
        <v>9.23</v>
      </c>
      <c r="G945" s="44">
        <v>9.23</v>
      </c>
      <c r="H945" s="44">
        <v>9.23</v>
      </c>
      <c r="I945" s="44">
        <v>0.15</v>
      </c>
      <c r="J945" s="44">
        <v>1.65</v>
      </c>
      <c r="K945" s="44">
        <v>0</v>
      </c>
      <c r="L945" s="44">
        <v>9.23</v>
      </c>
      <c r="M945" s="44">
        <v>0</v>
      </c>
    </row>
    <row r="946" spans="1:13" x14ac:dyDescent="0.25">
      <c r="A946" s="45" t="s">
        <v>974</v>
      </c>
      <c r="B946" s="44" t="s">
        <v>4365</v>
      </c>
      <c r="C946" s="47">
        <v>44250</v>
      </c>
      <c r="D946" s="44">
        <v>202103</v>
      </c>
      <c r="E946" s="44">
        <v>33.700000000000003</v>
      </c>
      <c r="F946" s="44">
        <v>35.549999999999997</v>
      </c>
      <c r="G946" s="44">
        <v>33.700000000000003</v>
      </c>
      <c r="H946" s="44">
        <v>35.35</v>
      </c>
      <c r="I946" s="44">
        <v>1.75</v>
      </c>
      <c r="J946" s="44">
        <v>5.21</v>
      </c>
      <c r="K946" s="44">
        <v>349</v>
      </c>
      <c r="L946" s="44">
        <v>35.35</v>
      </c>
      <c r="M946" s="44">
        <v>1789</v>
      </c>
    </row>
    <row r="947" spans="1:13" x14ac:dyDescent="0.25">
      <c r="A947" s="45" t="s">
        <v>1992</v>
      </c>
      <c r="B947" s="44" t="s">
        <v>4366</v>
      </c>
      <c r="C947" s="47">
        <v>44250</v>
      </c>
      <c r="D947" s="44">
        <v>202103</v>
      </c>
      <c r="E947" s="44">
        <v>33.700000000000003</v>
      </c>
      <c r="F947" s="44">
        <v>35.549999999999997</v>
      </c>
      <c r="G947" s="44">
        <v>33.700000000000003</v>
      </c>
      <c r="H947" s="44">
        <v>35.35</v>
      </c>
      <c r="I947" s="44">
        <v>1.75</v>
      </c>
      <c r="J947" s="44">
        <v>5.21</v>
      </c>
      <c r="K947" s="44">
        <v>349</v>
      </c>
      <c r="L947" s="44">
        <v>35.35</v>
      </c>
      <c r="M947" s="44">
        <v>1789</v>
      </c>
    </row>
    <row r="948" spans="1:13" x14ac:dyDescent="0.25">
      <c r="A948" s="45" t="s">
        <v>1993</v>
      </c>
      <c r="B948" s="44" t="s">
        <v>4367</v>
      </c>
      <c r="C948" s="47">
        <v>44250</v>
      </c>
      <c r="D948" s="44">
        <v>202104</v>
      </c>
      <c r="E948" s="44">
        <v>35.450000000000003</v>
      </c>
      <c r="F948" s="44">
        <v>35.5</v>
      </c>
      <c r="G948" s="44">
        <v>34.950000000000003</v>
      </c>
      <c r="H948" s="44">
        <v>35.200000000000003</v>
      </c>
      <c r="I948" s="44">
        <v>1.7</v>
      </c>
      <c r="J948" s="44">
        <v>5.07</v>
      </c>
      <c r="K948" s="44">
        <v>229</v>
      </c>
      <c r="L948" s="44">
        <v>35.200000000000003</v>
      </c>
      <c r="M948" s="44">
        <v>307</v>
      </c>
    </row>
    <row r="949" spans="1:13" x14ac:dyDescent="0.25">
      <c r="A949" s="45" t="s">
        <v>1994</v>
      </c>
      <c r="B949" s="44" t="s">
        <v>4368</v>
      </c>
      <c r="C949" s="47">
        <v>44250</v>
      </c>
      <c r="D949" s="44">
        <v>202104</v>
      </c>
      <c r="E949" s="44">
        <v>35.450000000000003</v>
      </c>
      <c r="F949" s="44">
        <v>35.5</v>
      </c>
      <c r="G949" s="44">
        <v>34.950000000000003</v>
      </c>
      <c r="H949" s="44">
        <v>35.200000000000003</v>
      </c>
      <c r="I949" s="44">
        <v>1.7</v>
      </c>
      <c r="J949" s="44">
        <v>5.07</v>
      </c>
      <c r="K949" s="44">
        <v>229</v>
      </c>
      <c r="L949" s="44">
        <v>35.200000000000003</v>
      </c>
      <c r="M949" s="44">
        <v>307</v>
      </c>
    </row>
    <row r="950" spans="1:13" x14ac:dyDescent="0.25">
      <c r="A950" s="45" t="s">
        <v>1995</v>
      </c>
      <c r="C950" s="47"/>
    </row>
    <row r="951" spans="1:13" x14ac:dyDescent="0.25">
      <c r="A951" s="45" t="s">
        <v>1996</v>
      </c>
      <c r="C951" s="47"/>
    </row>
    <row r="952" spans="1:13" x14ac:dyDescent="0.25">
      <c r="A952" s="45" t="s">
        <v>1997</v>
      </c>
      <c r="C952" s="47"/>
    </row>
    <row r="953" spans="1:13" x14ac:dyDescent="0.25">
      <c r="A953" s="45" t="s">
        <v>1998</v>
      </c>
      <c r="B953" s="44" t="s">
        <v>4369</v>
      </c>
      <c r="C953" s="47">
        <v>44250</v>
      </c>
      <c r="D953" s="44">
        <v>202103</v>
      </c>
      <c r="E953" s="44">
        <v>33.700000000000003</v>
      </c>
      <c r="F953" s="44">
        <v>35.549999999999997</v>
      </c>
      <c r="G953" s="44">
        <v>33.700000000000003</v>
      </c>
      <c r="H953" s="44">
        <v>35.35</v>
      </c>
      <c r="I953" s="44">
        <v>1.75</v>
      </c>
      <c r="J953" s="44">
        <v>5.21</v>
      </c>
      <c r="K953" s="44">
        <v>349</v>
      </c>
      <c r="L953" s="44">
        <v>35.35</v>
      </c>
      <c r="M953" s="44">
        <v>1789</v>
      </c>
    </row>
    <row r="954" spans="1:13" x14ac:dyDescent="0.25">
      <c r="A954" s="45" t="s">
        <v>1999</v>
      </c>
      <c r="C954" s="47"/>
    </row>
    <row r="955" spans="1:13" x14ac:dyDescent="0.25">
      <c r="A955" s="45" t="s">
        <v>2000</v>
      </c>
      <c r="B955" s="44" t="s">
        <v>4370</v>
      </c>
      <c r="C955" s="47">
        <v>44250</v>
      </c>
      <c r="D955" s="44">
        <v>202106</v>
      </c>
      <c r="E955" s="44">
        <v>35.299999999999997</v>
      </c>
      <c r="F955" s="44">
        <v>35.299999999999997</v>
      </c>
      <c r="G955" s="44">
        <v>35.299999999999997</v>
      </c>
      <c r="H955" s="44">
        <v>35.299999999999997</v>
      </c>
      <c r="I955" s="44">
        <v>1.75</v>
      </c>
      <c r="J955" s="44">
        <v>5.22</v>
      </c>
      <c r="K955" s="44">
        <v>0</v>
      </c>
      <c r="L955" s="44">
        <v>35.299999999999997</v>
      </c>
      <c r="M955" s="44">
        <v>36</v>
      </c>
    </row>
    <row r="956" spans="1:13" x14ac:dyDescent="0.25">
      <c r="A956" s="45" t="s">
        <v>2001</v>
      </c>
      <c r="B956" s="44" t="s">
        <v>4371</v>
      </c>
      <c r="C956" s="47">
        <v>44250</v>
      </c>
      <c r="D956" s="44">
        <v>202109</v>
      </c>
      <c r="E956" s="44">
        <v>35.6</v>
      </c>
      <c r="F956" s="44">
        <v>35.6</v>
      </c>
      <c r="G956" s="44">
        <v>35.6</v>
      </c>
      <c r="H956" s="44">
        <v>35.6</v>
      </c>
      <c r="I956" s="44">
        <v>1.75</v>
      </c>
      <c r="J956" s="44">
        <v>5.17</v>
      </c>
      <c r="K956" s="44">
        <v>0</v>
      </c>
      <c r="L956" s="44">
        <v>35.6</v>
      </c>
      <c r="M956" s="44">
        <v>0</v>
      </c>
    </row>
    <row r="957" spans="1:13" x14ac:dyDescent="0.25">
      <c r="A957" s="45" t="s">
        <v>2002</v>
      </c>
      <c r="B957" s="44" t="s">
        <v>4372</v>
      </c>
      <c r="C957" s="47">
        <v>44250</v>
      </c>
      <c r="D957" s="44">
        <v>202112</v>
      </c>
      <c r="E957" s="44">
        <v>35.6</v>
      </c>
      <c r="F957" s="44">
        <v>35.6</v>
      </c>
      <c r="G957" s="44">
        <v>35.6</v>
      </c>
      <c r="H957" s="44">
        <v>35.6</v>
      </c>
      <c r="I957" s="44">
        <v>1.55</v>
      </c>
      <c r="J957" s="44">
        <v>4.55</v>
      </c>
      <c r="K957" s="44">
        <v>0</v>
      </c>
      <c r="L957" s="44">
        <v>35.6</v>
      </c>
      <c r="M957" s="44">
        <v>0</v>
      </c>
    </row>
    <row r="958" spans="1:13" x14ac:dyDescent="0.25">
      <c r="A958" s="45" t="s">
        <v>2003</v>
      </c>
      <c r="B958" s="44" t="s">
        <v>4373</v>
      </c>
      <c r="C958" s="47">
        <v>44250</v>
      </c>
      <c r="D958" s="44">
        <v>202103</v>
      </c>
      <c r="E958" s="44">
        <v>44.95</v>
      </c>
      <c r="F958" s="44">
        <v>44.95</v>
      </c>
      <c r="G958" s="44">
        <v>44.95</v>
      </c>
      <c r="H958" s="44">
        <v>44.95</v>
      </c>
      <c r="I958" s="44">
        <v>0.95</v>
      </c>
      <c r="J958" s="44">
        <v>2.16</v>
      </c>
      <c r="K958" s="44">
        <v>0</v>
      </c>
      <c r="L958" s="44">
        <v>44.95</v>
      </c>
      <c r="M958" s="44">
        <v>44</v>
      </c>
    </row>
    <row r="959" spans="1:13" x14ac:dyDescent="0.25">
      <c r="A959" s="45" t="s">
        <v>2004</v>
      </c>
      <c r="B959" s="44" t="s">
        <v>4374</v>
      </c>
      <c r="C959" s="47">
        <v>44250</v>
      </c>
      <c r="D959" s="44">
        <v>202103</v>
      </c>
      <c r="E959" s="44">
        <v>44.95</v>
      </c>
      <c r="F959" s="44">
        <v>44.95</v>
      </c>
      <c r="G959" s="44">
        <v>44.95</v>
      </c>
      <c r="H959" s="44">
        <v>44.95</v>
      </c>
      <c r="I959" s="44">
        <v>0.95</v>
      </c>
      <c r="J959" s="44">
        <v>2.16</v>
      </c>
      <c r="K959" s="44">
        <v>0</v>
      </c>
      <c r="L959" s="44">
        <v>44.95</v>
      </c>
      <c r="M959" s="44">
        <v>44</v>
      </c>
    </row>
    <row r="960" spans="1:13" x14ac:dyDescent="0.25">
      <c r="A960" s="45" t="s">
        <v>2005</v>
      </c>
      <c r="B960" s="44" t="s">
        <v>4375</v>
      </c>
      <c r="C960" s="47">
        <v>44250</v>
      </c>
      <c r="D960" s="44">
        <v>202103</v>
      </c>
      <c r="E960" s="44">
        <v>44.95</v>
      </c>
      <c r="F960" s="44">
        <v>44.95</v>
      </c>
      <c r="G960" s="44">
        <v>44.95</v>
      </c>
      <c r="H960" s="44">
        <v>44.95</v>
      </c>
      <c r="I960" s="44">
        <v>0.95</v>
      </c>
      <c r="J960" s="44">
        <v>2.16</v>
      </c>
      <c r="K960" s="44">
        <v>0</v>
      </c>
      <c r="L960" s="44">
        <v>44.95</v>
      </c>
      <c r="M960" s="44">
        <v>44</v>
      </c>
    </row>
    <row r="961" spans="1:13" x14ac:dyDescent="0.25">
      <c r="A961" s="45" t="s">
        <v>975</v>
      </c>
      <c r="B961" s="44" t="s">
        <v>4376</v>
      </c>
      <c r="C961" s="47">
        <v>44250</v>
      </c>
      <c r="D961" s="44">
        <v>202103</v>
      </c>
      <c r="E961" s="44">
        <v>44.6</v>
      </c>
      <c r="F961" s="44">
        <v>44.95</v>
      </c>
      <c r="G961" s="44">
        <v>44.6</v>
      </c>
      <c r="H961" s="44">
        <v>44.95</v>
      </c>
      <c r="I961" s="44">
        <v>0.95</v>
      </c>
      <c r="J961" s="44">
        <v>2.16</v>
      </c>
      <c r="K961" s="44">
        <v>13</v>
      </c>
      <c r="L961" s="44">
        <v>44.95</v>
      </c>
      <c r="M961" s="44">
        <v>174</v>
      </c>
    </row>
    <row r="962" spans="1:13" x14ac:dyDescent="0.25">
      <c r="A962" s="45" t="s">
        <v>2006</v>
      </c>
      <c r="B962" s="44" t="s">
        <v>4377</v>
      </c>
      <c r="C962" s="47">
        <v>44250</v>
      </c>
      <c r="D962" s="44">
        <v>202103</v>
      </c>
      <c r="E962" s="44">
        <v>44.6</v>
      </c>
      <c r="F962" s="44">
        <v>44.95</v>
      </c>
      <c r="G962" s="44">
        <v>44.6</v>
      </c>
      <c r="H962" s="44">
        <v>44.95</v>
      </c>
      <c r="I962" s="44">
        <v>0.95</v>
      </c>
      <c r="J962" s="44">
        <v>2.16</v>
      </c>
      <c r="K962" s="44">
        <v>13</v>
      </c>
      <c r="L962" s="44">
        <v>44.95</v>
      </c>
      <c r="M962" s="44">
        <v>174</v>
      </c>
    </row>
    <row r="963" spans="1:13" x14ac:dyDescent="0.25">
      <c r="A963" s="45" t="s">
        <v>2007</v>
      </c>
      <c r="B963" s="44" t="s">
        <v>4378</v>
      </c>
      <c r="C963" s="47">
        <v>44250</v>
      </c>
      <c r="D963" s="44">
        <v>202104</v>
      </c>
      <c r="E963" s="44">
        <v>44.6</v>
      </c>
      <c r="F963" s="44">
        <v>44.8</v>
      </c>
      <c r="G963" s="44">
        <v>44.6</v>
      </c>
      <c r="H963" s="44">
        <v>44.8</v>
      </c>
      <c r="I963" s="44">
        <v>0.85</v>
      </c>
      <c r="J963" s="44">
        <v>1.93</v>
      </c>
      <c r="K963" s="44">
        <v>3</v>
      </c>
      <c r="L963" s="44">
        <v>44.8</v>
      </c>
      <c r="M963" s="44">
        <v>85</v>
      </c>
    </row>
    <row r="964" spans="1:13" x14ac:dyDescent="0.25">
      <c r="A964" s="45" t="s">
        <v>2008</v>
      </c>
      <c r="B964" s="44" t="s">
        <v>4379</v>
      </c>
      <c r="C964" s="47">
        <v>44250</v>
      </c>
      <c r="D964" s="44">
        <v>202104</v>
      </c>
      <c r="E964" s="44">
        <v>44.6</v>
      </c>
      <c r="F964" s="44">
        <v>44.8</v>
      </c>
      <c r="G964" s="44">
        <v>44.6</v>
      </c>
      <c r="H964" s="44">
        <v>44.8</v>
      </c>
      <c r="I964" s="44">
        <v>0.85</v>
      </c>
      <c r="J964" s="44">
        <v>1.93</v>
      </c>
      <c r="K964" s="44">
        <v>3</v>
      </c>
      <c r="L964" s="44">
        <v>44.8</v>
      </c>
      <c r="M964" s="44">
        <v>85</v>
      </c>
    </row>
    <row r="965" spans="1:13" x14ac:dyDescent="0.25">
      <c r="A965" s="45" t="s">
        <v>2009</v>
      </c>
      <c r="C965" s="47"/>
    </row>
    <row r="966" spans="1:13" x14ac:dyDescent="0.25">
      <c r="A966" s="45" t="s">
        <v>2010</v>
      </c>
      <c r="C966" s="47"/>
    </row>
    <row r="967" spans="1:13" x14ac:dyDescent="0.25">
      <c r="A967" s="45" t="s">
        <v>2011</v>
      </c>
      <c r="B967" s="44" t="s">
        <v>4380</v>
      </c>
      <c r="C967" s="47">
        <v>44250</v>
      </c>
      <c r="D967" s="44">
        <v>202103</v>
      </c>
      <c r="E967" s="44">
        <v>44.6</v>
      </c>
      <c r="F967" s="44">
        <v>44.95</v>
      </c>
      <c r="G967" s="44">
        <v>44.6</v>
      </c>
      <c r="H967" s="44">
        <v>44.95</v>
      </c>
      <c r="I967" s="44">
        <v>0.95</v>
      </c>
      <c r="J967" s="44">
        <v>2.16</v>
      </c>
      <c r="K967" s="44">
        <v>13</v>
      </c>
      <c r="L967" s="44">
        <v>44.95</v>
      </c>
      <c r="M967" s="44">
        <v>174</v>
      </c>
    </row>
    <row r="968" spans="1:13" x14ac:dyDescent="0.25">
      <c r="A968" s="45" t="s">
        <v>2012</v>
      </c>
      <c r="B968" s="44" t="s">
        <v>4381</v>
      </c>
      <c r="C968" s="47">
        <v>44250</v>
      </c>
      <c r="D968" s="44">
        <v>202106</v>
      </c>
      <c r="E968" s="44">
        <v>44.9</v>
      </c>
      <c r="F968" s="44">
        <v>44.9</v>
      </c>
      <c r="G968" s="44">
        <v>44.9</v>
      </c>
      <c r="H968" s="44">
        <v>44.9</v>
      </c>
      <c r="I968" s="44">
        <v>0.95</v>
      </c>
      <c r="J968" s="44">
        <v>2.16</v>
      </c>
      <c r="K968" s="44">
        <v>0</v>
      </c>
      <c r="L968" s="44">
        <v>44.9</v>
      </c>
      <c r="M968" s="44">
        <v>0</v>
      </c>
    </row>
    <row r="969" spans="1:13" x14ac:dyDescent="0.25">
      <c r="A969" s="45" t="s">
        <v>2013</v>
      </c>
      <c r="B969" s="44" t="s">
        <v>4382</v>
      </c>
      <c r="C969" s="47">
        <v>44250</v>
      </c>
      <c r="D969" s="44">
        <v>202109</v>
      </c>
      <c r="E969" s="44">
        <v>44.8</v>
      </c>
      <c r="F969" s="44">
        <v>44.8</v>
      </c>
      <c r="G969" s="44">
        <v>44.8</v>
      </c>
      <c r="H969" s="44">
        <v>44.8</v>
      </c>
      <c r="I969" s="44">
        <v>0.95</v>
      </c>
      <c r="J969" s="44">
        <v>2.17</v>
      </c>
      <c r="K969" s="44">
        <v>0</v>
      </c>
      <c r="L969" s="44">
        <v>44.8</v>
      </c>
      <c r="M969" s="44">
        <v>0</v>
      </c>
    </row>
    <row r="970" spans="1:13" x14ac:dyDescent="0.25">
      <c r="A970" s="45" t="s">
        <v>2014</v>
      </c>
      <c r="B970" s="44" t="s">
        <v>4383</v>
      </c>
      <c r="C970" s="47">
        <v>44250</v>
      </c>
      <c r="D970" s="44">
        <v>202112</v>
      </c>
      <c r="E970" s="44">
        <v>45.3</v>
      </c>
      <c r="F970" s="44">
        <v>45.3</v>
      </c>
      <c r="G970" s="44">
        <v>45.3</v>
      </c>
      <c r="H970" s="44">
        <v>45.3</v>
      </c>
      <c r="I970" s="44">
        <v>0.95</v>
      </c>
      <c r="J970" s="44">
        <v>2.14</v>
      </c>
      <c r="K970" s="44">
        <v>0</v>
      </c>
      <c r="L970" s="44">
        <v>45.3</v>
      </c>
      <c r="M970" s="44">
        <v>0</v>
      </c>
    </row>
    <row r="971" spans="1:13" x14ac:dyDescent="0.25">
      <c r="A971" s="45" t="s">
        <v>2015</v>
      </c>
      <c r="B971" s="44" t="s">
        <v>4384</v>
      </c>
      <c r="C971" s="47">
        <v>44250</v>
      </c>
      <c r="D971" s="44">
        <v>202102</v>
      </c>
      <c r="E971" s="44">
        <v>675</v>
      </c>
      <c r="F971" s="44">
        <v>681.9</v>
      </c>
      <c r="G971" s="44">
        <v>670.7</v>
      </c>
      <c r="H971" s="44">
        <v>678.7</v>
      </c>
      <c r="I971" s="44">
        <v>-0.4</v>
      </c>
      <c r="J971" s="44">
        <v>-0.06</v>
      </c>
      <c r="K971" s="44">
        <v>13836</v>
      </c>
      <c r="L971" s="44">
        <v>678.6</v>
      </c>
      <c r="M971" s="44">
        <v>9191</v>
      </c>
    </row>
    <row r="972" spans="1:13" x14ac:dyDescent="0.25">
      <c r="A972" s="45" t="s">
        <v>2016</v>
      </c>
      <c r="B972" s="44" t="s">
        <v>4385</v>
      </c>
      <c r="C972" s="47">
        <v>44250</v>
      </c>
      <c r="D972" s="44">
        <v>202103</v>
      </c>
      <c r="E972" s="44">
        <v>670.9</v>
      </c>
      <c r="F972" s="44">
        <v>678.1</v>
      </c>
      <c r="G972" s="44">
        <v>667.3</v>
      </c>
      <c r="H972" s="44">
        <v>674.8</v>
      </c>
      <c r="I972" s="44">
        <v>-1</v>
      </c>
      <c r="J972" s="44">
        <v>-0.15</v>
      </c>
      <c r="K972" s="44">
        <v>10599</v>
      </c>
      <c r="L972" s="44">
        <v>674.8</v>
      </c>
      <c r="M972" s="44">
        <v>15542</v>
      </c>
    </row>
    <row r="973" spans="1:13" x14ac:dyDescent="0.25">
      <c r="A973" s="45" t="s">
        <v>2017</v>
      </c>
      <c r="B973" s="44" t="s">
        <v>4386</v>
      </c>
      <c r="C973" s="47">
        <v>44250</v>
      </c>
      <c r="D973" s="44">
        <v>202102</v>
      </c>
      <c r="E973" s="44">
        <v>675</v>
      </c>
      <c r="F973" s="44">
        <v>681.9</v>
      </c>
      <c r="G973" s="44">
        <v>670.7</v>
      </c>
      <c r="H973" s="44">
        <v>678.7</v>
      </c>
      <c r="I973" s="44">
        <v>-0.4</v>
      </c>
      <c r="J973" s="44">
        <v>-0.06</v>
      </c>
      <c r="K973" s="44">
        <v>13836</v>
      </c>
      <c r="L973" s="44">
        <v>678.6</v>
      </c>
      <c r="M973" s="44">
        <v>9191</v>
      </c>
    </row>
    <row r="974" spans="1:13" x14ac:dyDescent="0.25">
      <c r="A974" s="45" t="s">
        <v>2018</v>
      </c>
      <c r="B974" s="44" t="s">
        <v>4387</v>
      </c>
      <c r="C974" s="47">
        <v>44250</v>
      </c>
      <c r="D974" s="44">
        <v>202103</v>
      </c>
      <c r="E974" s="44">
        <v>670.9</v>
      </c>
      <c r="F974" s="44">
        <v>678.1</v>
      </c>
      <c r="G974" s="44">
        <v>667.3</v>
      </c>
      <c r="H974" s="44">
        <v>674.8</v>
      </c>
      <c r="I974" s="44">
        <v>-1</v>
      </c>
      <c r="J974" s="44">
        <v>-0.15</v>
      </c>
      <c r="K974" s="44">
        <v>10599</v>
      </c>
      <c r="L974" s="44">
        <v>674.8</v>
      </c>
      <c r="M974" s="44">
        <v>15542</v>
      </c>
    </row>
    <row r="975" spans="1:13" x14ac:dyDescent="0.25">
      <c r="A975" s="45" t="s">
        <v>976</v>
      </c>
      <c r="B975" s="44" t="s">
        <v>4388</v>
      </c>
      <c r="C975" s="47">
        <v>44250</v>
      </c>
      <c r="D975" s="44">
        <v>202103</v>
      </c>
      <c r="E975" s="44">
        <v>88</v>
      </c>
      <c r="F975" s="44">
        <v>88.8</v>
      </c>
      <c r="G975" s="44">
        <v>88</v>
      </c>
      <c r="H975" s="44">
        <v>88.8</v>
      </c>
      <c r="I975" s="44">
        <v>1.4</v>
      </c>
      <c r="J975" s="44">
        <v>1.6</v>
      </c>
      <c r="K975" s="44">
        <v>10</v>
      </c>
      <c r="L975" s="44">
        <v>88.8</v>
      </c>
      <c r="M975" s="44">
        <v>32</v>
      </c>
    </row>
    <row r="976" spans="1:13" x14ac:dyDescent="0.25">
      <c r="A976" s="45" t="s">
        <v>2019</v>
      </c>
      <c r="B976" s="44" t="s">
        <v>4389</v>
      </c>
      <c r="C976" s="47">
        <v>44250</v>
      </c>
      <c r="D976" s="44">
        <v>202103</v>
      </c>
      <c r="E976" s="44">
        <v>88</v>
      </c>
      <c r="F976" s="44">
        <v>88.8</v>
      </c>
      <c r="G976" s="44">
        <v>88</v>
      </c>
      <c r="H976" s="44">
        <v>88.8</v>
      </c>
      <c r="I976" s="44">
        <v>1.4</v>
      </c>
      <c r="J976" s="44">
        <v>1.6</v>
      </c>
      <c r="K976" s="44">
        <v>10</v>
      </c>
      <c r="L976" s="44">
        <v>88.8</v>
      </c>
      <c r="M976" s="44">
        <v>32</v>
      </c>
    </row>
    <row r="977" spans="1:13" x14ac:dyDescent="0.25">
      <c r="A977" s="45" t="s">
        <v>2020</v>
      </c>
      <c r="B977" s="44" t="s">
        <v>4390</v>
      </c>
      <c r="C977" s="47">
        <v>44250</v>
      </c>
      <c r="D977" s="44">
        <v>202104</v>
      </c>
      <c r="E977" s="44">
        <v>89.2</v>
      </c>
      <c r="F977" s="44">
        <v>89.2</v>
      </c>
      <c r="G977" s="44">
        <v>89.2</v>
      </c>
      <c r="H977" s="44">
        <v>89.2</v>
      </c>
      <c r="I977" s="44">
        <v>1.4</v>
      </c>
      <c r="J977" s="44">
        <v>1.59</v>
      </c>
      <c r="K977" s="44">
        <v>0</v>
      </c>
      <c r="L977" s="44">
        <v>89.2</v>
      </c>
      <c r="M977" s="44">
        <v>10</v>
      </c>
    </row>
    <row r="978" spans="1:13" x14ac:dyDescent="0.25">
      <c r="A978" s="45" t="s">
        <v>2021</v>
      </c>
      <c r="B978" s="44" t="s">
        <v>4391</v>
      </c>
      <c r="C978" s="47">
        <v>44250</v>
      </c>
      <c r="D978" s="44">
        <v>202104</v>
      </c>
      <c r="E978" s="44">
        <v>89.2</v>
      </c>
      <c r="F978" s="44">
        <v>89.2</v>
      </c>
      <c r="G978" s="44">
        <v>89.2</v>
      </c>
      <c r="H978" s="44">
        <v>89.2</v>
      </c>
      <c r="I978" s="44">
        <v>1.4</v>
      </c>
      <c r="J978" s="44">
        <v>1.59</v>
      </c>
      <c r="K978" s="44">
        <v>0</v>
      </c>
      <c r="L978" s="44">
        <v>89.2</v>
      </c>
      <c r="M978" s="44">
        <v>10</v>
      </c>
    </row>
    <row r="979" spans="1:13" x14ac:dyDescent="0.25">
      <c r="A979" s="45" t="s">
        <v>2022</v>
      </c>
      <c r="C979" s="47"/>
    </row>
    <row r="980" spans="1:13" x14ac:dyDescent="0.25">
      <c r="A980" s="45" t="s">
        <v>2023</v>
      </c>
      <c r="B980" s="44" t="s">
        <v>4392</v>
      </c>
      <c r="C980" s="47">
        <v>44250</v>
      </c>
      <c r="D980" s="44">
        <v>202103</v>
      </c>
      <c r="E980" s="44">
        <v>88</v>
      </c>
      <c r="F980" s="44">
        <v>88.8</v>
      </c>
      <c r="G980" s="44">
        <v>88</v>
      </c>
      <c r="H980" s="44">
        <v>88.8</v>
      </c>
      <c r="I980" s="44">
        <v>1.4</v>
      </c>
      <c r="J980" s="44">
        <v>1.6</v>
      </c>
      <c r="K980" s="44">
        <v>10</v>
      </c>
      <c r="L980" s="44">
        <v>88.8</v>
      </c>
      <c r="M980" s="44">
        <v>32</v>
      </c>
    </row>
    <row r="981" spans="1:13" x14ac:dyDescent="0.25">
      <c r="A981" s="45" t="s">
        <v>2024</v>
      </c>
      <c r="B981" s="44" t="s">
        <v>4393</v>
      </c>
      <c r="C981" s="47">
        <v>44250</v>
      </c>
      <c r="D981" s="44">
        <v>202106</v>
      </c>
      <c r="E981" s="44">
        <v>89.1</v>
      </c>
      <c r="F981" s="44">
        <v>89.1</v>
      </c>
      <c r="G981" s="44">
        <v>89.1</v>
      </c>
      <c r="H981" s="44">
        <v>89.1</v>
      </c>
      <c r="I981" s="44">
        <v>1.4</v>
      </c>
      <c r="J981" s="44">
        <v>1.6</v>
      </c>
      <c r="K981" s="44">
        <v>0</v>
      </c>
      <c r="L981" s="44">
        <v>89.1</v>
      </c>
      <c r="M981" s="44">
        <v>1</v>
      </c>
    </row>
    <row r="982" spans="1:13" x14ac:dyDescent="0.25">
      <c r="A982" s="45" t="s">
        <v>2025</v>
      </c>
      <c r="B982" s="44" t="s">
        <v>4394</v>
      </c>
      <c r="C982" s="47">
        <v>44250</v>
      </c>
      <c r="D982" s="44">
        <v>202109</v>
      </c>
      <c r="E982" s="44">
        <v>89.8</v>
      </c>
      <c r="F982" s="44">
        <v>89.8</v>
      </c>
      <c r="G982" s="44">
        <v>89.8</v>
      </c>
      <c r="H982" s="44">
        <v>89.8</v>
      </c>
      <c r="I982" s="44">
        <v>1.4</v>
      </c>
      <c r="J982" s="44">
        <v>1.58</v>
      </c>
      <c r="K982" s="44">
        <v>0</v>
      </c>
      <c r="L982" s="44">
        <v>89.8</v>
      </c>
      <c r="M982" s="44">
        <v>0</v>
      </c>
    </row>
    <row r="983" spans="1:13" x14ac:dyDescent="0.25">
      <c r="A983" s="45" t="s">
        <v>2026</v>
      </c>
      <c r="B983" s="44" t="s">
        <v>4395</v>
      </c>
      <c r="C983" s="47">
        <v>44250</v>
      </c>
      <c r="D983" s="44">
        <v>202112</v>
      </c>
      <c r="E983" s="44">
        <v>89.4</v>
      </c>
      <c r="F983" s="44">
        <v>89.4</v>
      </c>
      <c r="G983" s="44">
        <v>89.4</v>
      </c>
      <c r="H983" s="44">
        <v>89.4</v>
      </c>
      <c r="I983" s="44">
        <v>1.4</v>
      </c>
      <c r="J983" s="44">
        <v>1.59</v>
      </c>
      <c r="K983" s="44">
        <v>0</v>
      </c>
      <c r="L983" s="44">
        <v>89.4</v>
      </c>
      <c r="M983" s="44">
        <v>0</v>
      </c>
    </row>
    <row r="984" spans="1:13" x14ac:dyDescent="0.25">
      <c r="A984" s="45" t="s">
        <v>980</v>
      </c>
      <c r="B984" s="44" t="s">
        <v>4396</v>
      </c>
      <c r="C984" s="47">
        <v>44250</v>
      </c>
      <c r="D984" s="44">
        <v>202103</v>
      </c>
      <c r="E984" s="44">
        <v>14.45</v>
      </c>
      <c r="F984" s="44">
        <v>15.75</v>
      </c>
      <c r="G984" s="44">
        <v>14.25</v>
      </c>
      <c r="H984" s="44">
        <v>14.8</v>
      </c>
      <c r="I984" s="44">
        <v>0.45</v>
      </c>
      <c r="J984" s="44">
        <v>3.14</v>
      </c>
      <c r="K984" s="44">
        <v>8027</v>
      </c>
      <c r="L984" s="44">
        <v>14.8</v>
      </c>
      <c r="M984" s="44">
        <v>9844</v>
      </c>
    </row>
    <row r="985" spans="1:13" x14ac:dyDescent="0.25">
      <c r="A985" s="45" t="s">
        <v>2027</v>
      </c>
      <c r="B985" s="44" t="s">
        <v>4397</v>
      </c>
      <c r="C985" s="47">
        <v>44250</v>
      </c>
      <c r="D985" s="44">
        <v>202103</v>
      </c>
      <c r="E985" s="44">
        <v>14.45</v>
      </c>
      <c r="F985" s="44">
        <v>15.75</v>
      </c>
      <c r="G985" s="44">
        <v>14.25</v>
      </c>
      <c r="H985" s="44">
        <v>14.8</v>
      </c>
      <c r="I985" s="44">
        <v>0.45</v>
      </c>
      <c r="J985" s="44">
        <v>3.14</v>
      </c>
      <c r="K985" s="44">
        <v>8027</v>
      </c>
      <c r="L985" s="44">
        <v>14.8</v>
      </c>
      <c r="M985" s="44">
        <v>9844</v>
      </c>
    </row>
    <row r="986" spans="1:13" x14ac:dyDescent="0.25">
      <c r="A986" s="45" t="s">
        <v>2028</v>
      </c>
      <c r="B986" s="44" t="s">
        <v>4398</v>
      </c>
      <c r="C986" s="47">
        <v>44250</v>
      </c>
      <c r="D986" s="44">
        <v>202104</v>
      </c>
      <c r="E986" s="44">
        <v>14.45</v>
      </c>
      <c r="F986" s="44">
        <v>15.65</v>
      </c>
      <c r="G986" s="44">
        <v>14.2</v>
      </c>
      <c r="H986" s="44">
        <v>14.75</v>
      </c>
      <c r="I986" s="44">
        <v>0.45</v>
      </c>
      <c r="J986" s="44">
        <v>3.15</v>
      </c>
      <c r="K986" s="44">
        <v>3047</v>
      </c>
      <c r="L986" s="44">
        <v>14.75</v>
      </c>
      <c r="M986" s="44">
        <v>5050</v>
      </c>
    </row>
    <row r="987" spans="1:13" x14ac:dyDescent="0.25">
      <c r="A987" s="45" t="s">
        <v>2029</v>
      </c>
      <c r="B987" s="44" t="s">
        <v>4399</v>
      </c>
      <c r="C987" s="47">
        <v>44250</v>
      </c>
      <c r="D987" s="44">
        <v>202104</v>
      </c>
      <c r="E987" s="44">
        <v>14.45</v>
      </c>
      <c r="F987" s="44">
        <v>15.65</v>
      </c>
      <c r="G987" s="44">
        <v>14.2</v>
      </c>
      <c r="H987" s="44">
        <v>14.75</v>
      </c>
      <c r="I987" s="44">
        <v>0.45</v>
      </c>
      <c r="J987" s="44">
        <v>3.15</v>
      </c>
      <c r="K987" s="44">
        <v>3047</v>
      </c>
      <c r="L987" s="44">
        <v>14.75</v>
      </c>
      <c r="M987" s="44">
        <v>5050</v>
      </c>
    </row>
    <row r="988" spans="1:13" x14ac:dyDescent="0.25">
      <c r="A988" s="45" t="s">
        <v>2030</v>
      </c>
      <c r="C988" s="47"/>
    </row>
    <row r="989" spans="1:13" x14ac:dyDescent="0.25">
      <c r="A989" s="45" t="s">
        <v>2031</v>
      </c>
      <c r="C989" s="47"/>
    </row>
    <row r="990" spans="1:13" x14ac:dyDescent="0.25">
      <c r="A990" s="45" t="s">
        <v>2032</v>
      </c>
      <c r="B990" s="44" t="s">
        <v>4400</v>
      </c>
      <c r="C990" s="47">
        <v>44250</v>
      </c>
      <c r="D990" s="44">
        <v>202103</v>
      </c>
      <c r="E990" s="44">
        <v>14.45</v>
      </c>
      <c r="F990" s="44">
        <v>15.75</v>
      </c>
      <c r="G990" s="44">
        <v>14.25</v>
      </c>
      <c r="H990" s="44">
        <v>14.8</v>
      </c>
      <c r="I990" s="44">
        <v>0.45</v>
      </c>
      <c r="J990" s="44">
        <v>3.14</v>
      </c>
      <c r="K990" s="44">
        <v>8027</v>
      </c>
      <c r="L990" s="44">
        <v>14.8</v>
      </c>
      <c r="M990" s="44">
        <v>9844</v>
      </c>
    </row>
    <row r="991" spans="1:13" x14ac:dyDescent="0.25">
      <c r="A991" s="45" t="s">
        <v>2033</v>
      </c>
      <c r="B991" s="44" t="s">
        <v>4401</v>
      </c>
      <c r="C991" s="47">
        <v>44250</v>
      </c>
      <c r="D991" s="44">
        <v>202106</v>
      </c>
      <c r="E991" s="44">
        <v>15</v>
      </c>
      <c r="F991" s="44">
        <v>15</v>
      </c>
      <c r="G991" s="44">
        <v>14.75</v>
      </c>
      <c r="H991" s="44">
        <v>14.8</v>
      </c>
      <c r="I991" s="44">
        <v>0.75</v>
      </c>
      <c r="J991" s="44">
        <v>5.34</v>
      </c>
      <c r="K991" s="44">
        <v>12</v>
      </c>
      <c r="L991" s="44">
        <v>14.8</v>
      </c>
      <c r="M991" s="44">
        <v>169</v>
      </c>
    </row>
    <row r="992" spans="1:13" x14ac:dyDescent="0.25">
      <c r="A992" s="45" t="s">
        <v>2034</v>
      </c>
      <c r="B992" s="44" t="s">
        <v>4402</v>
      </c>
      <c r="C992" s="47">
        <v>44250</v>
      </c>
      <c r="D992" s="44">
        <v>202109</v>
      </c>
      <c r="E992" s="44">
        <v>14.5</v>
      </c>
      <c r="F992" s="44">
        <v>14.6</v>
      </c>
      <c r="G992" s="44">
        <v>14.3</v>
      </c>
      <c r="H992" s="44">
        <v>14.45</v>
      </c>
      <c r="I992" s="44">
        <v>0.55000000000000004</v>
      </c>
      <c r="J992" s="44">
        <v>3.96</v>
      </c>
      <c r="K992" s="44">
        <v>52</v>
      </c>
      <c r="L992" s="44">
        <v>14.45</v>
      </c>
      <c r="M992" s="44">
        <v>289</v>
      </c>
    </row>
    <row r="993" spans="1:13" x14ac:dyDescent="0.25">
      <c r="A993" s="45" t="s">
        <v>2035</v>
      </c>
      <c r="B993" s="44" t="s">
        <v>4403</v>
      </c>
      <c r="C993" s="47">
        <v>44250</v>
      </c>
      <c r="D993" s="44">
        <v>202112</v>
      </c>
      <c r="E993" s="44">
        <v>14.7</v>
      </c>
      <c r="F993" s="44">
        <v>14.7</v>
      </c>
      <c r="G993" s="44">
        <v>14.1</v>
      </c>
      <c r="H993" s="44">
        <v>14.25</v>
      </c>
      <c r="I993" s="44">
        <v>0.5</v>
      </c>
      <c r="J993" s="44">
        <v>3.64</v>
      </c>
      <c r="K993" s="44">
        <v>912</v>
      </c>
      <c r="L993" s="44">
        <v>14.25</v>
      </c>
      <c r="M993" s="44">
        <v>0</v>
      </c>
    </row>
    <row r="994" spans="1:13" x14ac:dyDescent="0.25">
      <c r="A994" s="45" t="s">
        <v>2036</v>
      </c>
      <c r="B994" s="44" t="s">
        <v>4404</v>
      </c>
      <c r="C994" s="47">
        <v>44250</v>
      </c>
      <c r="D994" s="44">
        <v>202103</v>
      </c>
      <c r="E994" s="44">
        <v>22.95</v>
      </c>
      <c r="F994" s="44">
        <v>22.95</v>
      </c>
      <c r="G994" s="44">
        <v>22.95</v>
      </c>
      <c r="H994" s="44">
        <v>22.95</v>
      </c>
      <c r="I994" s="44">
        <v>0.15</v>
      </c>
      <c r="J994" s="44">
        <v>0.66</v>
      </c>
      <c r="K994" s="44">
        <v>0</v>
      </c>
      <c r="L994" s="44">
        <v>22.95</v>
      </c>
      <c r="M994" s="44">
        <v>5</v>
      </c>
    </row>
    <row r="995" spans="1:13" x14ac:dyDescent="0.25">
      <c r="A995" s="45" t="s">
        <v>2037</v>
      </c>
      <c r="B995" s="44" t="s">
        <v>4405</v>
      </c>
      <c r="C995" s="47">
        <v>44250</v>
      </c>
      <c r="D995" s="44">
        <v>202103</v>
      </c>
      <c r="E995" s="44">
        <v>22.95</v>
      </c>
      <c r="F995" s="44">
        <v>22.95</v>
      </c>
      <c r="G995" s="44">
        <v>22.95</v>
      </c>
      <c r="H995" s="44">
        <v>22.95</v>
      </c>
      <c r="I995" s="44">
        <v>0.15</v>
      </c>
      <c r="J995" s="44">
        <v>0.66</v>
      </c>
      <c r="K995" s="44">
        <v>0</v>
      </c>
      <c r="L995" s="44">
        <v>22.95</v>
      </c>
      <c r="M995" s="44">
        <v>5</v>
      </c>
    </row>
    <row r="996" spans="1:13" x14ac:dyDescent="0.25">
      <c r="A996" s="45" t="s">
        <v>2038</v>
      </c>
      <c r="B996" s="44" t="s">
        <v>4406</v>
      </c>
      <c r="C996" s="47">
        <v>44250</v>
      </c>
      <c r="D996" s="44">
        <v>202103</v>
      </c>
      <c r="E996" s="44">
        <v>22.95</v>
      </c>
      <c r="F996" s="44">
        <v>22.95</v>
      </c>
      <c r="G996" s="44">
        <v>22.95</v>
      </c>
      <c r="H996" s="44">
        <v>22.95</v>
      </c>
      <c r="I996" s="44">
        <v>0.15</v>
      </c>
      <c r="J996" s="44">
        <v>0.66</v>
      </c>
      <c r="K996" s="44">
        <v>0</v>
      </c>
      <c r="L996" s="44">
        <v>22.95</v>
      </c>
      <c r="M996" s="44">
        <v>5</v>
      </c>
    </row>
    <row r="997" spans="1:13" x14ac:dyDescent="0.25">
      <c r="A997" s="45" t="s">
        <v>983</v>
      </c>
      <c r="B997" s="44" t="s">
        <v>4407</v>
      </c>
      <c r="C997" s="47">
        <v>44250</v>
      </c>
      <c r="D997" s="44">
        <v>202103</v>
      </c>
      <c r="E997" s="44">
        <v>23.05</v>
      </c>
      <c r="F997" s="44">
        <v>23.35</v>
      </c>
      <c r="G997" s="44">
        <v>22.85</v>
      </c>
      <c r="H997" s="44">
        <v>22.95</v>
      </c>
      <c r="I997" s="44">
        <v>0.15</v>
      </c>
      <c r="J997" s="44">
        <v>0.66</v>
      </c>
      <c r="K997" s="44">
        <v>27</v>
      </c>
      <c r="L997" s="44">
        <v>22.95</v>
      </c>
      <c r="M997" s="44">
        <v>397</v>
      </c>
    </row>
    <row r="998" spans="1:13" x14ac:dyDescent="0.25">
      <c r="A998" s="45" t="s">
        <v>2039</v>
      </c>
      <c r="B998" s="44" t="s">
        <v>4408</v>
      </c>
      <c r="C998" s="47">
        <v>44250</v>
      </c>
      <c r="D998" s="44">
        <v>202103</v>
      </c>
      <c r="E998" s="44">
        <v>23.05</v>
      </c>
      <c r="F998" s="44">
        <v>23.35</v>
      </c>
      <c r="G998" s="44">
        <v>22.85</v>
      </c>
      <c r="H998" s="44">
        <v>22.95</v>
      </c>
      <c r="I998" s="44">
        <v>0.15</v>
      </c>
      <c r="J998" s="44">
        <v>0.66</v>
      </c>
      <c r="K998" s="44">
        <v>27</v>
      </c>
      <c r="L998" s="44">
        <v>22.95</v>
      </c>
      <c r="M998" s="44">
        <v>397</v>
      </c>
    </row>
    <row r="999" spans="1:13" x14ac:dyDescent="0.25">
      <c r="A999" s="45" t="s">
        <v>2040</v>
      </c>
      <c r="B999" s="44" t="s">
        <v>4409</v>
      </c>
      <c r="C999" s="47">
        <v>44250</v>
      </c>
      <c r="D999" s="44">
        <v>202104</v>
      </c>
      <c r="E999" s="44">
        <v>23.65</v>
      </c>
      <c r="F999" s="44">
        <v>23.65</v>
      </c>
      <c r="G999" s="44">
        <v>22.95</v>
      </c>
      <c r="H999" s="44">
        <v>22.95</v>
      </c>
      <c r="I999" s="44">
        <v>0.15</v>
      </c>
      <c r="J999" s="44">
        <v>0.66</v>
      </c>
      <c r="K999" s="44">
        <v>11</v>
      </c>
      <c r="L999" s="44">
        <v>22.95</v>
      </c>
      <c r="M999" s="44">
        <v>11</v>
      </c>
    </row>
    <row r="1000" spans="1:13" x14ac:dyDescent="0.25">
      <c r="A1000" s="45" t="s">
        <v>2041</v>
      </c>
      <c r="B1000" s="44" t="s">
        <v>4410</v>
      </c>
      <c r="C1000" s="47">
        <v>44250</v>
      </c>
      <c r="D1000" s="44">
        <v>202104</v>
      </c>
      <c r="E1000" s="44">
        <v>23.65</v>
      </c>
      <c r="F1000" s="44">
        <v>23.65</v>
      </c>
      <c r="G1000" s="44">
        <v>22.95</v>
      </c>
      <c r="H1000" s="44">
        <v>22.95</v>
      </c>
      <c r="I1000" s="44">
        <v>0.15</v>
      </c>
      <c r="J1000" s="44">
        <v>0.66</v>
      </c>
      <c r="K1000" s="44">
        <v>11</v>
      </c>
      <c r="L1000" s="44">
        <v>22.95</v>
      </c>
      <c r="M1000" s="44">
        <v>11</v>
      </c>
    </row>
    <row r="1001" spans="1:13" x14ac:dyDescent="0.25">
      <c r="A1001" s="45" t="s">
        <v>2042</v>
      </c>
      <c r="C1001" s="47"/>
    </row>
    <row r="1002" spans="1:13" x14ac:dyDescent="0.25">
      <c r="A1002" s="45" t="s">
        <v>2043</v>
      </c>
      <c r="C1002" s="47"/>
    </row>
    <row r="1003" spans="1:13" x14ac:dyDescent="0.25">
      <c r="A1003" s="45" t="s">
        <v>2044</v>
      </c>
      <c r="B1003" s="44" t="s">
        <v>4411</v>
      </c>
      <c r="C1003" s="47">
        <v>44250</v>
      </c>
      <c r="D1003" s="44">
        <v>202103</v>
      </c>
      <c r="E1003" s="44">
        <v>23.05</v>
      </c>
      <c r="F1003" s="44">
        <v>23.35</v>
      </c>
      <c r="G1003" s="44">
        <v>22.85</v>
      </c>
      <c r="H1003" s="44">
        <v>22.95</v>
      </c>
      <c r="I1003" s="44">
        <v>0.15</v>
      </c>
      <c r="J1003" s="44">
        <v>0.66</v>
      </c>
      <c r="K1003" s="44">
        <v>27</v>
      </c>
      <c r="L1003" s="44">
        <v>22.95</v>
      </c>
      <c r="M1003" s="44">
        <v>397</v>
      </c>
    </row>
    <row r="1004" spans="1:13" x14ac:dyDescent="0.25">
      <c r="A1004" s="45" t="s">
        <v>2045</v>
      </c>
      <c r="B1004" s="44" t="s">
        <v>4412</v>
      </c>
      <c r="C1004" s="47">
        <v>44250</v>
      </c>
      <c r="D1004" s="44">
        <v>202106</v>
      </c>
      <c r="E1004" s="44">
        <v>22.95</v>
      </c>
      <c r="F1004" s="44">
        <v>22.95</v>
      </c>
      <c r="G1004" s="44">
        <v>22.95</v>
      </c>
      <c r="H1004" s="44">
        <v>22.95</v>
      </c>
      <c r="I1004" s="44">
        <v>0.15</v>
      </c>
      <c r="J1004" s="44">
        <v>0.66</v>
      </c>
      <c r="K1004" s="44">
        <v>0</v>
      </c>
      <c r="L1004" s="44">
        <v>22.95</v>
      </c>
      <c r="M1004" s="44">
        <v>82</v>
      </c>
    </row>
    <row r="1005" spans="1:13" x14ac:dyDescent="0.25">
      <c r="A1005" s="45" t="s">
        <v>2046</v>
      </c>
      <c r="B1005" s="44" t="s">
        <v>4413</v>
      </c>
      <c r="C1005" s="47">
        <v>44250</v>
      </c>
      <c r="D1005" s="44">
        <v>202109</v>
      </c>
      <c r="E1005" s="44">
        <v>23.1</v>
      </c>
      <c r="F1005" s="44">
        <v>23.1</v>
      </c>
      <c r="G1005" s="44">
        <v>23.1</v>
      </c>
      <c r="H1005" s="44">
        <v>23.1</v>
      </c>
      <c r="I1005" s="44">
        <v>-0.15</v>
      </c>
      <c r="J1005" s="44">
        <v>-0.65</v>
      </c>
      <c r="K1005" s="44">
        <v>0</v>
      </c>
      <c r="L1005" s="44">
        <v>23.1</v>
      </c>
      <c r="M1005" s="44">
        <v>1</v>
      </c>
    </row>
    <row r="1006" spans="1:13" x14ac:dyDescent="0.25">
      <c r="A1006" s="45" t="s">
        <v>2047</v>
      </c>
      <c r="B1006" s="44" t="s">
        <v>4414</v>
      </c>
      <c r="C1006" s="47">
        <v>44250</v>
      </c>
      <c r="D1006" s="44">
        <v>202112</v>
      </c>
      <c r="E1006" s="44">
        <v>23.15</v>
      </c>
      <c r="F1006" s="44">
        <v>23.15</v>
      </c>
      <c r="G1006" s="44">
        <v>23.15</v>
      </c>
      <c r="H1006" s="44">
        <v>23.15</v>
      </c>
      <c r="I1006" s="44">
        <v>0.05</v>
      </c>
      <c r="J1006" s="44">
        <v>0.22</v>
      </c>
      <c r="K1006" s="44">
        <v>0</v>
      </c>
      <c r="L1006" s="44">
        <v>23.15</v>
      </c>
      <c r="M1006" s="44">
        <v>0</v>
      </c>
    </row>
    <row r="1007" spans="1:13" x14ac:dyDescent="0.25">
      <c r="A1007" s="45" t="s">
        <v>2048</v>
      </c>
      <c r="B1007" s="44" t="s">
        <v>4415</v>
      </c>
      <c r="C1007" s="47">
        <v>44250</v>
      </c>
      <c r="D1007" s="44">
        <v>202103</v>
      </c>
      <c r="E1007" s="44">
        <v>9.51</v>
      </c>
      <c r="F1007" s="44">
        <v>9.51</v>
      </c>
      <c r="G1007" s="44">
        <v>9.51</v>
      </c>
      <c r="H1007" s="44">
        <v>9.51</v>
      </c>
      <c r="I1007" s="44">
        <v>0.04</v>
      </c>
      <c r="J1007" s="44">
        <v>0.42</v>
      </c>
      <c r="K1007" s="44">
        <v>0</v>
      </c>
      <c r="L1007" s="44">
        <v>9.51</v>
      </c>
      <c r="M1007" s="44">
        <v>51</v>
      </c>
    </row>
    <row r="1008" spans="1:13" x14ac:dyDescent="0.25">
      <c r="A1008" s="45" t="s">
        <v>2049</v>
      </c>
      <c r="B1008" s="44" t="s">
        <v>4416</v>
      </c>
      <c r="C1008" s="47">
        <v>44250</v>
      </c>
      <c r="D1008" s="44">
        <v>202103</v>
      </c>
      <c r="E1008" s="44">
        <v>9.51</v>
      </c>
      <c r="F1008" s="44">
        <v>9.51</v>
      </c>
      <c r="G1008" s="44">
        <v>9.51</v>
      </c>
      <c r="H1008" s="44">
        <v>9.51</v>
      </c>
      <c r="I1008" s="44">
        <v>0.04</v>
      </c>
      <c r="J1008" s="44">
        <v>0.42</v>
      </c>
      <c r="K1008" s="44">
        <v>0</v>
      </c>
      <c r="L1008" s="44">
        <v>9.51</v>
      </c>
      <c r="M1008" s="44">
        <v>51</v>
      </c>
    </row>
    <row r="1009" spans="1:13" x14ac:dyDescent="0.25">
      <c r="A1009" s="45" t="s">
        <v>2050</v>
      </c>
      <c r="B1009" s="44" t="s">
        <v>4417</v>
      </c>
      <c r="C1009" s="47">
        <v>44250</v>
      </c>
      <c r="D1009" s="44">
        <v>202103</v>
      </c>
      <c r="E1009" s="44">
        <v>9.51</v>
      </c>
      <c r="F1009" s="44">
        <v>9.51</v>
      </c>
      <c r="G1009" s="44">
        <v>9.51</v>
      </c>
      <c r="H1009" s="44">
        <v>9.51</v>
      </c>
      <c r="I1009" s="44">
        <v>0.04</v>
      </c>
      <c r="J1009" s="44">
        <v>0.42</v>
      </c>
      <c r="K1009" s="44">
        <v>0</v>
      </c>
      <c r="L1009" s="44">
        <v>9.51</v>
      </c>
      <c r="M1009" s="44">
        <v>51</v>
      </c>
    </row>
    <row r="1010" spans="1:13" x14ac:dyDescent="0.25">
      <c r="A1010" s="45" t="s">
        <v>984</v>
      </c>
      <c r="B1010" s="44" t="s">
        <v>4418</v>
      </c>
      <c r="C1010" s="47">
        <v>44250</v>
      </c>
      <c r="D1010" s="44">
        <v>202103</v>
      </c>
      <c r="E1010" s="44">
        <v>9.48</v>
      </c>
      <c r="F1010" s="44">
        <v>9.51</v>
      </c>
      <c r="G1010" s="44">
        <v>9.48</v>
      </c>
      <c r="H1010" s="44">
        <v>9.51</v>
      </c>
      <c r="I1010" s="44">
        <v>0.04</v>
      </c>
      <c r="J1010" s="44">
        <v>0.42</v>
      </c>
      <c r="K1010" s="44">
        <v>4</v>
      </c>
      <c r="L1010" s="44">
        <v>9.51</v>
      </c>
      <c r="M1010" s="44">
        <v>297</v>
      </c>
    </row>
    <row r="1011" spans="1:13" x14ac:dyDescent="0.25">
      <c r="A1011" s="45" t="s">
        <v>2051</v>
      </c>
      <c r="B1011" s="44" t="s">
        <v>4419</v>
      </c>
      <c r="C1011" s="47">
        <v>44250</v>
      </c>
      <c r="D1011" s="44">
        <v>202103</v>
      </c>
      <c r="E1011" s="44">
        <v>9.48</v>
      </c>
      <c r="F1011" s="44">
        <v>9.51</v>
      </c>
      <c r="G1011" s="44">
        <v>9.48</v>
      </c>
      <c r="H1011" s="44">
        <v>9.51</v>
      </c>
      <c r="I1011" s="44">
        <v>0.04</v>
      </c>
      <c r="J1011" s="44">
        <v>0.42</v>
      </c>
      <c r="K1011" s="44">
        <v>4</v>
      </c>
      <c r="L1011" s="44">
        <v>9.51</v>
      </c>
      <c r="M1011" s="44">
        <v>297</v>
      </c>
    </row>
    <row r="1012" spans="1:13" x14ac:dyDescent="0.25">
      <c r="A1012" s="45" t="s">
        <v>2052</v>
      </c>
      <c r="B1012" s="44" t="s">
        <v>4420</v>
      </c>
      <c r="C1012" s="47">
        <v>44250</v>
      </c>
      <c r="D1012" s="44">
        <v>202104</v>
      </c>
      <c r="E1012" s="44">
        <v>9.5</v>
      </c>
      <c r="F1012" s="44">
        <v>9.5</v>
      </c>
      <c r="G1012" s="44">
        <v>9.5</v>
      </c>
      <c r="H1012" s="44">
        <v>9.5</v>
      </c>
      <c r="I1012" s="44">
        <v>0.04</v>
      </c>
      <c r="J1012" s="44">
        <v>0.42</v>
      </c>
      <c r="K1012" s="44">
        <v>0</v>
      </c>
      <c r="L1012" s="44">
        <v>9.5</v>
      </c>
      <c r="M1012" s="44">
        <v>20</v>
      </c>
    </row>
    <row r="1013" spans="1:13" x14ac:dyDescent="0.25">
      <c r="A1013" s="45" t="s">
        <v>2053</v>
      </c>
      <c r="B1013" s="44" t="s">
        <v>4421</v>
      </c>
      <c r="C1013" s="47">
        <v>44250</v>
      </c>
      <c r="D1013" s="44">
        <v>202104</v>
      </c>
      <c r="E1013" s="44">
        <v>9.5</v>
      </c>
      <c r="F1013" s="44">
        <v>9.5</v>
      </c>
      <c r="G1013" s="44">
        <v>9.5</v>
      </c>
      <c r="H1013" s="44">
        <v>9.5</v>
      </c>
      <c r="I1013" s="44">
        <v>0.04</v>
      </c>
      <c r="J1013" s="44">
        <v>0.42</v>
      </c>
      <c r="K1013" s="44">
        <v>0</v>
      </c>
      <c r="L1013" s="44">
        <v>9.5</v>
      </c>
      <c r="M1013" s="44">
        <v>20</v>
      </c>
    </row>
    <row r="1014" spans="1:13" x14ac:dyDescent="0.25">
      <c r="A1014" s="45" t="s">
        <v>2054</v>
      </c>
      <c r="C1014" s="47"/>
    </row>
    <row r="1015" spans="1:13" x14ac:dyDescent="0.25">
      <c r="A1015" s="45" t="s">
        <v>2055</v>
      </c>
      <c r="C1015" s="47"/>
    </row>
    <row r="1016" spans="1:13" x14ac:dyDescent="0.25">
      <c r="A1016" s="45" t="s">
        <v>2056</v>
      </c>
      <c r="B1016" s="44" t="s">
        <v>4422</v>
      </c>
      <c r="C1016" s="47">
        <v>44250</v>
      </c>
      <c r="D1016" s="44">
        <v>202103</v>
      </c>
      <c r="E1016" s="44">
        <v>9.48</v>
      </c>
      <c r="F1016" s="44">
        <v>9.51</v>
      </c>
      <c r="G1016" s="44">
        <v>9.48</v>
      </c>
      <c r="H1016" s="44">
        <v>9.51</v>
      </c>
      <c r="I1016" s="44">
        <v>0.04</v>
      </c>
      <c r="J1016" s="44">
        <v>0.42</v>
      </c>
      <c r="K1016" s="44">
        <v>4</v>
      </c>
      <c r="L1016" s="44">
        <v>9.51</v>
      </c>
      <c r="M1016" s="44">
        <v>297</v>
      </c>
    </row>
    <row r="1017" spans="1:13" x14ac:dyDescent="0.25">
      <c r="A1017" s="45" t="s">
        <v>2057</v>
      </c>
      <c r="B1017" s="44" t="s">
        <v>4423</v>
      </c>
      <c r="C1017" s="47">
        <v>44250</v>
      </c>
      <c r="D1017" s="44">
        <v>202106</v>
      </c>
      <c r="E1017" s="44">
        <v>9.56</v>
      </c>
      <c r="F1017" s="44">
        <v>9.56</v>
      </c>
      <c r="G1017" s="44">
        <v>9.56</v>
      </c>
      <c r="H1017" s="44">
        <v>9.56</v>
      </c>
      <c r="I1017" s="44">
        <v>0.04</v>
      </c>
      <c r="J1017" s="44">
        <v>0.42</v>
      </c>
      <c r="K1017" s="44">
        <v>0</v>
      </c>
      <c r="L1017" s="44">
        <v>9.56</v>
      </c>
      <c r="M1017" s="44">
        <v>235</v>
      </c>
    </row>
    <row r="1018" spans="1:13" x14ac:dyDescent="0.25">
      <c r="A1018" s="45" t="s">
        <v>2058</v>
      </c>
      <c r="B1018" s="44" t="s">
        <v>4424</v>
      </c>
      <c r="C1018" s="47">
        <v>44250</v>
      </c>
      <c r="D1018" s="44">
        <v>202109</v>
      </c>
      <c r="E1018" s="44">
        <v>9.4600000000000009</v>
      </c>
      <c r="F1018" s="44">
        <v>9.4600000000000009</v>
      </c>
      <c r="G1018" s="44">
        <v>9.4600000000000009</v>
      </c>
      <c r="H1018" s="44">
        <v>9.4600000000000009</v>
      </c>
      <c r="I1018" s="44">
        <v>0.04</v>
      </c>
      <c r="J1018" s="44">
        <v>0.42</v>
      </c>
      <c r="K1018" s="44">
        <v>0</v>
      </c>
      <c r="L1018" s="44">
        <v>9.4600000000000009</v>
      </c>
      <c r="M1018" s="44">
        <v>6</v>
      </c>
    </row>
    <row r="1019" spans="1:13" x14ac:dyDescent="0.25">
      <c r="A1019" s="45" t="s">
        <v>2059</v>
      </c>
      <c r="B1019" s="44" t="s">
        <v>4425</v>
      </c>
      <c r="C1019" s="47">
        <v>44250</v>
      </c>
      <c r="D1019" s="44">
        <v>202112</v>
      </c>
      <c r="E1019" s="44">
        <v>9.5500000000000007</v>
      </c>
      <c r="F1019" s="44">
        <v>9.5500000000000007</v>
      </c>
      <c r="G1019" s="44">
        <v>9.5500000000000007</v>
      </c>
      <c r="H1019" s="44">
        <v>9.5500000000000007</v>
      </c>
      <c r="I1019" s="44">
        <v>0.04</v>
      </c>
      <c r="J1019" s="44">
        <v>0.42</v>
      </c>
      <c r="K1019" s="44">
        <v>0</v>
      </c>
      <c r="L1019" s="44">
        <v>9.5500000000000007</v>
      </c>
      <c r="M1019" s="44">
        <v>0</v>
      </c>
    </row>
    <row r="1020" spans="1:13" x14ac:dyDescent="0.25">
      <c r="A1020" s="45" t="s">
        <v>997</v>
      </c>
      <c r="B1020" s="44" t="s">
        <v>4426</v>
      </c>
      <c r="C1020" s="47">
        <v>44250</v>
      </c>
      <c r="D1020" s="44">
        <v>202103</v>
      </c>
      <c r="E1020" s="44">
        <v>16.850000000000001</v>
      </c>
      <c r="F1020" s="44">
        <v>16.850000000000001</v>
      </c>
      <c r="G1020" s="44">
        <v>16.850000000000001</v>
      </c>
      <c r="H1020" s="44">
        <v>16.850000000000001</v>
      </c>
      <c r="I1020" s="44">
        <v>0.05</v>
      </c>
      <c r="J1020" s="44">
        <v>0.3</v>
      </c>
      <c r="K1020" s="44">
        <v>2</v>
      </c>
      <c r="L1020" s="44">
        <v>16.850000000000001</v>
      </c>
      <c r="M1020" s="44">
        <v>418</v>
      </c>
    </row>
    <row r="1021" spans="1:13" x14ac:dyDescent="0.25">
      <c r="A1021" s="45" t="s">
        <v>2060</v>
      </c>
      <c r="B1021" s="44" t="s">
        <v>4427</v>
      </c>
      <c r="C1021" s="47">
        <v>44250</v>
      </c>
      <c r="D1021" s="44">
        <v>202103</v>
      </c>
      <c r="E1021" s="44">
        <v>16.850000000000001</v>
      </c>
      <c r="F1021" s="44">
        <v>16.850000000000001</v>
      </c>
      <c r="G1021" s="44">
        <v>16.850000000000001</v>
      </c>
      <c r="H1021" s="44">
        <v>16.850000000000001</v>
      </c>
      <c r="I1021" s="44">
        <v>0.05</v>
      </c>
      <c r="J1021" s="44">
        <v>0.3</v>
      </c>
      <c r="K1021" s="44">
        <v>2</v>
      </c>
      <c r="L1021" s="44">
        <v>16.850000000000001</v>
      </c>
      <c r="M1021" s="44">
        <v>418</v>
      </c>
    </row>
    <row r="1022" spans="1:13" x14ac:dyDescent="0.25">
      <c r="A1022" s="45" t="s">
        <v>2061</v>
      </c>
      <c r="B1022" s="44" t="s">
        <v>4428</v>
      </c>
      <c r="C1022" s="47">
        <v>44250</v>
      </c>
      <c r="D1022" s="44">
        <v>202104</v>
      </c>
      <c r="E1022" s="44">
        <v>16.95</v>
      </c>
      <c r="F1022" s="44">
        <v>16.95</v>
      </c>
      <c r="G1022" s="44">
        <v>16.95</v>
      </c>
      <c r="H1022" s="44">
        <v>16.95</v>
      </c>
      <c r="I1022" s="44">
        <v>0</v>
      </c>
      <c r="J1022" s="44">
        <v>0</v>
      </c>
      <c r="K1022" s="44">
        <v>1</v>
      </c>
      <c r="L1022" s="44">
        <v>16.95</v>
      </c>
      <c r="M1022" s="44">
        <v>1</v>
      </c>
    </row>
    <row r="1023" spans="1:13" x14ac:dyDescent="0.25">
      <c r="A1023" s="45" t="s">
        <v>2062</v>
      </c>
      <c r="B1023" s="44" t="s">
        <v>4429</v>
      </c>
      <c r="C1023" s="47">
        <v>44250</v>
      </c>
      <c r="D1023" s="44">
        <v>202104</v>
      </c>
      <c r="E1023" s="44">
        <v>16.95</v>
      </c>
      <c r="F1023" s="44">
        <v>16.95</v>
      </c>
      <c r="G1023" s="44">
        <v>16.95</v>
      </c>
      <c r="H1023" s="44">
        <v>16.95</v>
      </c>
      <c r="I1023" s="44">
        <v>0</v>
      </c>
      <c r="J1023" s="44">
        <v>0</v>
      </c>
      <c r="K1023" s="44">
        <v>1</v>
      </c>
      <c r="L1023" s="44">
        <v>16.95</v>
      </c>
      <c r="M1023" s="44">
        <v>1</v>
      </c>
    </row>
    <row r="1024" spans="1:13" x14ac:dyDescent="0.25">
      <c r="A1024" s="45" t="s">
        <v>2063</v>
      </c>
      <c r="C1024" s="47"/>
    </row>
    <row r="1025" spans="1:13" x14ac:dyDescent="0.25">
      <c r="A1025" s="45" t="s">
        <v>2064</v>
      </c>
      <c r="C1025" s="47"/>
    </row>
    <row r="1026" spans="1:13" x14ac:dyDescent="0.25">
      <c r="A1026" s="45" t="s">
        <v>2065</v>
      </c>
      <c r="B1026" s="44" t="s">
        <v>4430</v>
      </c>
      <c r="C1026" s="47">
        <v>44250</v>
      </c>
      <c r="D1026" s="44">
        <v>202103</v>
      </c>
      <c r="E1026" s="44">
        <v>16.850000000000001</v>
      </c>
      <c r="F1026" s="44">
        <v>16.850000000000001</v>
      </c>
      <c r="G1026" s="44">
        <v>16.850000000000001</v>
      </c>
      <c r="H1026" s="44">
        <v>16.850000000000001</v>
      </c>
      <c r="I1026" s="44">
        <v>0.05</v>
      </c>
      <c r="J1026" s="44">
        <v>0.3</v>
      </c>
      <c r="K1026" s="44">
        <v>2</v>
      </c>
      <c r="L1026" s="44">
        <v>16.850000000000001</v>
      </c>
      <c r="M1026" s="44">
        <v>418</v>
      </c>
    </row>
    <row r="1027" spans="1:13" x14ac:dyDescent="0.25">
      <c r="A1027" s="45" t="s">
        <v>2066</v>
      </c>
      <c r="B1027" s="44" t="s">
        <v>4431</v>
      </c>
      <c r="C1027" s="47">
        <v>44250</v>
      </c>
      <c r="D1027" s="44">
        <v>202106</v>
      </c>
      <c r="E1027" s="44">
        <v>17.149999999999999</v>
      </c>
      <c r="F1027" s="44">
        <v>17.149999999999999</v>
      </c>
      <c r="G1027" s="44">
        <v>17.149999999999999</v>
      </c>
      <c r="H1027" s="44">
        <v>17.149999999999999</v>
      </c>
      <c r="I1027" s="44">
        <v>0.05</v>
      </c>
      <c r="J1027" s="44">
        <v>0.28999999999999998</v>
      </c>
      <c r="K1027" s="44">
        <v>0</v>
      </c>
      <c r="L1027" s="44">
        <v>17.149999999999999</v>
      </c>
      <c r="M1027" s="44">
        <v>0</v>
      </c>
    </row>
    <row r="1028" spans="1:13" x14ac:dyDescent="0.25">
      <c r="A1028" s="45" t="s">
        <v>2067</v>
      </c>
      <c r="B1028" s="44" t="s">
        <v>4432</v>
      </c>
      <c r="C1028" s="47">
        <v>44250</v>
      </c>
      <c r="D1028" s="44">
        <v>202109</v>
      </c>
      <c r="E1028" s="44">
        <v>17.2</v>
      </c>
      <c r="F1028" s="44">
        <v>17.2</v>
      </c>
      <c r="G1028" s="44">
        <v>17.2</v>
      </c>
      <c r="H1028" s="44">
        <v>17.2</v>
      </c>
      <c r="I1028" s="44">
        <v>0.05</v>
      </c>
      <c r="J1028" s="44">
        <v>0.28999999999999998</v>
      </c>
      <c r="K1028" s="44">
        <v>0</v>
      </c>
      <c r="L1028" s="44">
        <v>17.2</v>
      </c>
      <c r="M1028" s="44">
        <v>0</v>
      </c>
    </row>
    <row r="1029" spans="1:13" x14ac:dyDescent="0.25">
      <c r="A1029" s="45" t="s">
        <v>2068</v>
      </c>
      <c r="B1029" s="44" t="s">
        <v>4433</v>
      </c>
      <c r="C1029" s="47">
        <v>44250</v>
      </c>
      <c r="D1029" s="44">
        <v>202112</v>
      </c>
      <c r="E1029" s="44">
        <v>17.2</v>
      </c>
      <c r="F1029" s="44">
        <v>17.2</v>
      </c>
      <c r="G1029" s="44">
        <v>17.2</v>
      </c>
      <c r="H1029" s="44">
        <v>17.2</v>
      </c>
      <c r="I1029" s="44">
        <v>0.05</v>
      </c>
      <c r="J1029" s="44">
        <v>0.28999999999999998</v>
      </c>
      <c r="K1029" s="44">
        <v>0</v>
      </c>
      <c r="L1029" s="44">
        <v>17.2</v>
      </c>
      <c r="M1029" s="44">
        <v>0</v>
      </c>
    </row>
    <row r="1030" spans="1:13" x14ac:dyDescent="0.25">
      <c r="A1030" s="45" t="s">
        <v>999</v>
      </c>
      <c r="B1030" s="44" t="s">
        <v>4434</v>
      </c>
      <c r="C1030" s="47">
        <v>44250</v>
      </c>
      <c r="D1030" s="44">
        <v>202103</v>
      </c>
      <c r="E1030" s="44">
        <v>82.7</v>
      </c>
      <c r="F1030" s="44">
        <v>87.8</v>
      </c>
      <c r="G1030" s="44">
        <v>80.7</v>
      </c>
      <c r="H1030" s="44">
        <v>86.5</v>
      </c>
      <c r="I1030" s="44">
        <v>3.8</v>
      </c>
      <c r="J1030" s="44">
        <v>4.59</v>
      </c>
      <c r="K1030" s="44">
        <v>3980</v>
      </c>
      <c r="L1030" s="44">
        <v>86.6</v>
      </c>
      <c r="M1030" s="44">
        <v>1628</v>
      </c>
    </row>
    <row r="1031" spans="1:13" x14ac:dyDescent="0.25">
      <c r="A1031" s="45" t="s">
        <v>2069</v>
      </c>
      <c r="B1031" s="44" t="s">
        <v>4435</v>
      </c>
      <c r="C1031" s="47">
        <v>44250</v>
      </c>
      <c r="D1031" s="44">
        <v>202103</v>
      </c>
      <c r="E1031" s="44">
        <v>82.7</v>
      </c>
      <c r="F1031" s="44">
        <v>87.8</v>
      </c>
      <c r="G1031" s="44">
        <v>80.7</v>
      </c>
      <c r="H1031" s="44">
        <v>86.5</v>
      </c>
      <c r="I1031" s="44">
        <v>3.8</v>
      </c>
      <c r="J1031" s="44">
        <v>4.59</v>
      </c>
      <c r="K1031" s="44">
        <v>3980</v>
      </c>
      <c r="L1031" s="44">
        <v>86.6</v>
      </c>
      <c r="M1031" s="44">
        <v>1628</v>
      </c>
    </row>
    <row r="1032" spans="1:13" x14ac:dyDescent="0.25">
      <c r="A1032" s="45" t="s">
        <v>2070</v>
      </c>
      <c r="B1032" s="44" t="s">
        <v>4436</v>
      </c>
      <c r="C1032" s="47">
        <v>44250</v>
      </c>
      <c r="D1032" s="44">
        <v>202104</v>
      </c>
      <c r="E1032" s="44">
        <v>83.7</v>
      </c>
      <c r="F1032" s="44">
        <v>87</v>
      </c>
      <c r="G1032" s="44">
        <v>81.5</v>
      </c>
      <c r="H1032" s="44">
        <v>86.3</v>
      </c>
      <c r="I1032" s="44">
        <v>4.4000000000000004</v>
      </c>
      <c r="J1032" s="44">
        <v>5.37</v>
      </c>
      <c r="K1032" s="44">
        <v>37</v>
      </c>
      <c r="L1032" s="44">
        <v>86.3</v>
      </c>
      <c r="M1032" s="44">
        <v>32</v>
      </c>
    </row>
    <row r="1033" spans="1:13" x14ac:dyDescent="0.25">
      <c r="A1033" s="45" t="s">
        <v>2071</v>
      </c>
      <c r="B1033" s="44" t="s">
        <v>4437</v>
      </c>
      <c r="C1033" s="47">
        <v>44250</v>
      </c>
      <c r="D1033" s="44">
        <v>202104</v>
      </c>
      <c r="E1033" s="44">
        <v>83.7</v>
      </c>
      <c r="F1033" s="44">
        <v>87</v>
      </c>
      <c r="G1033" s="44">
        <v>81.5</v>
      </c>
      <c r="H1033" s="44">
        <v>86.3</v>
      </c>
      <c r="I1033" s="44">
        <v>4.4000000000000004</v>
      </c>
      <c r="J1033" s="44">
        <v>5.37</v>
      </c>
      <c r="K1033" s="44">
        <v>37</v>
      </c>
      <c r="L1033" s="44">
        <v>86.3</v>
      </c>
      <c r="M1033" s="44">
        <v>32</v>
      </c>
    </row>
    <row r="1034" spans="1:13" x14ac:dyDescent="0.25">
      <c r="A1034" s="45" t="s">
        <v>2072</v>
      </c>
      <c r="C1034" s="47"/>
    </row>
    <row r="1035" spans="1:13" x14ac:dyDescent="0.25">
      <c r="A1035" s="45" t="s">
        <v>2073</v>
      </c>
      <c r="C1035" s="47"/>
    </row>
    <row r="1036" spans="1:13" x14ac:dyDescent="0.25">
      <c r="A1036" s="45" t="s">
        <v>2074</v>
      </c>
      <c r="B1036" s="44" t="s">
        <v>4438</v>
      </c>
      <c r="C1036" s="47">
        <v>44250</v>
      </c>
      <c r="D1036" s="44">
        <v>202103</v>
      </c>
      <c r="E1036" s="44">
        <v>82.7</v>
      </c>
      <c r="F1036" s="44">
        <v>87.8</v>
      </c>
      <c r="G1036" s="44">
        <v>80.7</v>
      </c>
      <c r="H1036" s="44">
        <v>86.5</v>
      </c>
      <c r="I1036" s="44">
        <v>3.8</v>
      </c>
      <c r="J1036" s="44">
        <v>4.59</v>
      </c>
      <c r="K1036" s="44">
        <v>3980</v>
      </c>
      <c r="L1036" s="44">
        <v>86.6</v>
      </c>
      <c r="M1036" s="44">
        <v>1628</v>
      </c>
    </row>
    <row r="1037" spans="1:13" x14ac:dyDescent="0.25">
      <c r="A1037" s="45" t="s">
        <v>2075</v>
      </c>
      <c r="B1037" s="44" t="s">
        <v>4439</v>
      </c>
      <c r="C1037" s="47">
        <v>44250</v>
      </c>
      <c r="D1037" s="44">
        <v>202106</v>
      </c>
      <c r="E1037" s="44">
        <v>86.1</v>
      </c>
      <c r="F1037" s="44">
        <v>86.1</v>
      </c>
      <c r="G1037" s="44">
        <v>86.1</v>
      </c>
      <c r="H1037" s="44">
        <v>86.1</v>
      </c>
      <c r="I1037" s="44">
        <v>3.9</v>
      </c>
      <c r="J1037" s="44">
        <v>4.74</v>
      </c>
      <c r="K1037" s="44">
        <v>0</v>
      </c>
      <c r="L1037" s="44">
        <v>86.1</v>
      </c>
      <c r="M1037" s="44">
        <v>0</v>
      </c>
    </row>
    <row r="1038" spans="1:13" x14ac:dyDescent="0.25">
      <c r="A1038" s="45" t="s">
        <v>2076</v>
      </c>
      <c r="B1038" s="44" t="s">
        <v>4440</v>
      </c>
      <c r="C1038" s="47">
        <v>44250</v>
      </c>
      <c r="D1038" s="44">
        <v>202109</v>
      </c>
      <c r="E1038" s="44">
        <v>86.7</v>
      </c>
      <c r="F1038" s="44">
        <v>86.7</v>
      </c>
      <c r="G1038" s="44">
        <v>86.7</v>
      </c>
      <c r="H1038" s="44">
        <v>86.7</v>
      </c>
      <c r="I1038" s="44">
        <v>3.9</v>
      </c>
      <c r="J1038" s="44">
        <v>4.71</v>
      </c>
      <c r="K1038" s="44">
        <v>0</v>
      </c>
      <c r="L1038" s="44">
        <v>86.7</v>
      </c>
      <c r="M1038" s="44">
        <v>0</v>
      </c>
    </row>
    <row r="1039" spans="1:13" x14ac:dyDescent="0.25">
      <c r="A1039" s="45" t="s">
        <v>2077</v>
      </c>
      <c r="B1039" s="44" t="s">
        <v>4441</v>
      </c>
      <c r="C1039" s="47">
        <v>44250</v>
      </c>
      <c r="D1039" s="44">
        <v>202112</v>
      </c>
      <c r="E1039" s="44">
        <v>86.5</v>
      </c>
      <c r="F1039" s="44">
        <v>86.5</v>
      </c>
      <c r="G1039" s="44">
        <v>86.5</v>
      </c>
      <c r="H1039" s="44">
        <v>86.5</v>
      </c>
      <c r="I1039" s="44">
        <v>3.9</v>
      </c>
      <c r="J1039" s="44">
        <v>4.72</v>
      </c>
      <c r="K1039" s="44">
        <v>0</v>
      </c>
      <c r="L1039" s="44">
        <v>86.5</v>
      </c>
      <c r="M1039" s="44">
        <v>0</v>
      </c>
    </row>
    <row r="1040" spans="1:13" x14ac:dyDescent="0.25">
      <c r="A1040" s="45" t="s">
        <v>1000</v>
      </c>
      <c r="B1040" s="44" t="s">
        <v>4442</v>
      </c>
      <c r="C1040" s="47">
        <v>44250</v>
      </c>
      <c r="D1040" s="44">
        <v>202103</v>
      </c>
      <c r="E1040" s="44">
        <v>3545</v>
      </c>
      <c r="F1040" s="44">
        <v>3545</v>
      </c>
      <c r="G1040" s="44">
        <v>3530</v>
      </c>
      <c r="H1040" s="44">
        <v>3545</v>
      </c>
      <c r="I1040" s="44">
        <v>20</v>
      </c>
      <c r="J1040" s="44">
        <v>0.56999999999999995</v>
      </c>
      <c r="K1040" s="44">
        <v>19</v>
      </c>
      <c r="L1040" s="44">
        <v>3545</v>
      </c>
      <c r="M1040" s="44">
        <v>163</v>
      </c>
    </row>
    <row r="1041" spans="1:13" x14ac:dyDescent="0.25">
      <c r="A1041" s="45" t="s">
        <v>2078</v>
      </c>
      <c r="B1041" s="44" t="s">
        <v>4443</v>
      </c>
      <c r="C1041" s="47">
        <v>44250</v>
      </c>
      <c r="D1041" s="44">
        <v>202103</v>
      </c>
      <c r="E1041" s="44">
        <v>3545</v>
      </c>
      <c r="F1041" s="44">
        <v>3545</v>
      </c>
      <c r="G1041" s="44">
        <v>3530</v>
      </c>
      <c r="H1041" s="44">
        <v>3545</v>
      </c>
      <c r="I1041" s="44">
        <v>20</v>
      </c>
      <c r="J1041" s="44">
        <v>0.56999999999999995</v>
      </c>
      <c r="K1041" s="44">
        <v>19</v>
      </c>
      <c r="L1041" s="44">
        <v>3545</v>
      </c>
      <c r="M1041" s="44">
        <v>163</v>
      </c>
    </row>
    <row r="1042" spans="1:13" x14ac:dyDescent="0.25">
      <c r="A1042" s="45" t="s">
        <v>2079</v>
      </c>
      <c r="B1042" s="44" t="s">
        <v>4444</v>
      </c>
      <c r="C1042" s="47">
        <v>44250</v>
      </c>
      <c r="D1042" s="44">
        <v>202104</v>
      </c>
      <c r="E1042" s="44">
        <v>3510</v>
      </c>
      <c r="F1042" s="44">
        <v>3510</v>
      </c>
      <c r="G1042" s="44">
        <v>3510</v>
      </c>
      <c r="H1042" s="44">
        <v>3510</v>
      </c>
      <c r="I1042" s="44">
        <v>0</v>
      </c>
      <c r="J1042" s="44">
        <v>0</v>
      </c>
      <c r="K1042" s="44">
        <v>10</v>
      </c>
      <c r="L1042" s="44">
        <v>3540</v>
      </c>
      <c r="M1042" s="44">
        <v>20</v>
      </c>
    </row>
    <row r="1043" spans="1:13" x14ac:dyDescent="0.25">
      <c r="A1043" s="45" t="s">
        <v>2080</v>
      </c>
      <c r="B1043" s="44" t="s">
        <v>4445</v>
      </c>
      <c r="C1043" s="47">
        <v>44250</v>
      </c>
      <c r="D1043" s="44">
        <v>202104</v>
      </c>
      <c r="E1043" s="44">
        <v>3510</v>
      </c>
      <c r="F1043" s="44">
        <v>3510</v>
      </c>
      <c r="G1043" s="44">
        <v>3510</v>
      </c>
      <c r="H1043" s="44">
        <v>3510</v>
      </c>
      <c r="I1043" s="44">
        <v>0</v>
      </c>
      <c r="J1043" s="44">
        <v>0</v>
      </c>
      <c r="K1043" s="44">
        <v>10</v>
      </c>
      <c r="L1043" s="44">
        <v>3540</v>
      </c>
      <c r="M1043" s="44">
        <v>20</v>
      </c>
    </row>
    <row r="1044" spans="1:13" x14ac:dyDescent="0.25">
      <c r="A1044" s="45" t="s">
        <v>2081</v>
      </c>
      <c r="C1044" s="47"/>
    </row>
    <row r="1045" spans="1:13" x14ac:dyDescent="0.25">
      <c r="A1045" s="45" t="s">
        <v>2082</v>
      </c>
      <c r="B1045" s="44" t="s">
        <v>4446</v>
      </c>
      <c r="C1045" s="47">
        <v>44250</v>
      </c>
      <c r="D1045" s="44">
        <v>202103</v>
      </c>
      <c r="E1045" s="44">
        <v>3545</v>
      </c>
      <c r="F1045" s="44">
        <v>3545</v>
      </c>
      <c r="G1045" s="44">
        <v>3530</v>
      </c>
      <c r="H1045" s="44">
        <v>3545</v>
      </c>
      <c r="I1045" s="44">
        <v>20</v>
      </c>
      <c r="J1045" s="44">
        <v>0.56999999999999995</v>
      </c>
      <c r="K1045" s="44">
        <v>19</v>
      </c>
      <c r="L1045" s="44">
        <v>3545</v>
      </c>
      <c r="M1045" s="44">
        <v>163</v>
      </c>
    </row>
    <row r="1046" spans="1:13" x14ac:dyDescent="0.25">
      <c r="A1046" s="45" t="s">
        <v>2083</v>
      </c>
      <c r="B1046" s="44" t="s">
        <v>4447</v>
      </c>
      <c r="C1046" s="47">
        <v>44250</v>
      </c>
      <c r="D1046" s="44">
        <v>202106</v>
      </c>
      <c r="E1046" s="44">
        <v>3535</v>
      </c>
      <c r="F1046" s="44">
        <v>3535</v>
      </c>
      <c r="G1046" s="44">
        <v>3535</v>
      </c>
      <c r="H1046" s="44">
        <v>3535</v>
      </c>
      <c r="I1046" s="44">
        <v>20</v>
      </c>
      <c r="J1046" s="44">
        <v>0.56999999999999995</v>
      </c>
      <c r="K1046" s="44">
        <v>0</v>
      </c>
      <c r="L1046" s="44">
        <v>3535</v>
      </c>
      <c r="M1046" s="44">
        <v>0</v>
      </c>
    </row>
    <row r="1047" spans="1:13" x14ac:dyDescent="0.25">
      <c r="A1047" s="45" t="s">
        <v>2084</v>
      </c>
      <c r="B1047" s="44" t="s">
        <v>4448</v>
      </c>
      <c r="C1047" s="47">
        <v>44250</v>
      </c>
      <c r="D1047" s="44">
        <v>202109</v>
      </c>
      <c r="E1047" s="44">
        <v>3535</v>
      </c>
      <c r="F1047" s="44">
        <v>3535</v>
      </c>
      <c r="G1047" s="44">
        <v>3535</v>
      </c>
      <c r="H1047" s="44">
        <v>3535</v>
      </c>
      <c r="I1047" s="44">
        <v>20</v>
      </c>
      <c r="J1047" s="44">
        <v>0.56999999999999995</v>
      </c>
      <c r="K1047" s="44">
        <v>0</v>
      </c>
      <c r="L1047" s="44">
        <v>3535</v>
      </c>
      <c r="M1047" s="44">
        <v>0</v>
      </c>
    </row>
    <row r="1048" spans="1:13" x14ac:dyDescent="0.25">
      <c r="A1048" s="45" t="s">
        <v>2085</v>
      </c>
      <c r="B1048" s="44" t="s">
        <v>4449</v>
      </c>
      <c r="C1048" s="47">
        <v>44250</v>
      </c>
      <c r="D1048" s="44">
        <v>202112</v>
      </c>
      <c r="E1048" s="44">
        <v>3525</v>
      </c>
      <c r="F1048" s="44">
        <v>3525</v>
      </c>
      <c r="G1048" s="44">
        <v>3525</v>
      </c>
      <c r="H1048" s="44">
        <v>3525</v>
      </c>
      <c r="I1048" s="44">
        <v>20</v>
      </c>
      <c r="J1048" s="44">
        <v>0.56999999999999995</v>
      </c>
      <c r="K1048" s="44">
        <v>0</v>
      </c>
      <c r="L1048" s="44">
        <v>3525</v>
      </c>
      <c r="M1048" s="44">
        <v>0</v>
      </c>
    </row>
    <row r="1049" spans="1:13" x14ac:dyDescent="0.25">
      <c r="A1049" s="45" t="s">
        <v>1002</v>
      </c>
      <c r="B1049" s="44" t="s">
        <v>4450</v>
      </c>
      <c r="C1049" s="47">
        <v>44250</v>
      </c>
      <c r="D1049" s="44">
        <v>202103</v>
      </c>
      <c r="E1049" s="44">
        <v>96.1</v>
      </c>
      <c r="F1049" s="44">
        <v>96.1</v>
      </c>
      <c r="G1049" s="44">
        <v>91</v>
      </c>
      <c r="H1049" s="44">
        <v>93.7</v>
      </c>
      <c r="I1049" s="44">
        <v>-2.4</v>
      </c>
      <c r="J1049" s="44">
        <v>-2.5</v>
      </c>
      <c r="K1049" s="44">
        <v>2300</v>
      </c>
      <c r="L1049" s="44">
        <v>93.7</v>
      </c>
      <c r="M1049" s="44">
        <v>1174</v>
      </c>
    </row>
    <row r="1050" spans="1:13" x14ac:dyDescent="0.25">
      <c r="A1050" s="45" t="s">
        <v>2086</v>
      </c>
      <c r="B1050" s="44" t="s">
        <v>4451</v>
      </c>
      <c r="C1050" s="47">
        <v>44250</v>
      </c>
      <c r="D1050" s="44">
        <v>202103</v>
      </c>
      <c r="E1050" s="44">
        <v>96.1</v>
      </c>
      <c r="F1050" s="44">
        <v>96.1</v>
      </c>
      <c r="G1050" s="44">
        <v>91</v>
      </c>
      <c r="H1050" s="44">
        <v>93.7</v>
      </c>
      <c r="I1050" s="44">
        <v>-2.4</v>
      </c>
      <c r="J1050" s="44">
        <v>-2.5</v>
      </c>
      <c r="K1050" s="44">
        <v>2300</v>
      </c>
      <c r="L1050" s="44">
        <v>93.7</v>
      </c>
      <c r="M1050" s="44">
        <v>1174</v>
      </c>
    </row>
    <row r="1051" spans="1:13" x14ac:dyDescent="0.25">
      <c r="A1051" s="45" t="s">
        <v>2087</v>
      </c>
      <c r="B1051" s="44" t="s">
        <v>4452</v>
      </c>
      <c r="C1051" s="47">
        <v>44250</v>
      </c>
      <c r="D1051" s="44">
        <v>202104</v>
      </c>
      <c r="E1051" s="44">
        <v>92.5</v>
      </c>
      <c r="F1051" s="44">
        <v>94.5</v>
      </c>
      <c r="G1051" s="44">
        <v>91.6</v>
      </c>
      <c r="H1051" s="44">
        <v>94.1</v>
      </c>
      <c r="I1051" s="44">
        <v>-1.9</v>
      </c>
      <c r="J1051" s="44">
        <v>-1.98</v>
      </c>
      <c r="K1051" s="44">
        <v>33</v>
      </c>
      <c r="L1051" s="44">
        <v>93.6</v>
      </c>
      <c r="M1051" s="44">
        <v>43</v>
      </c>
    </row>
    <row r="1052" spans="1:13" x14ac:dyDescent="0.25">
      <c r="A1052" s="45" t="s">
        <v>2088</v>
      </c>
      <c r="B1052" s="44" t="s">
        <v>4453</v>
      </c>
      <c r="C1052" s="47">
        <v>44250</v>
      </c>
      <c r="D1052" s="44">
        <v>202104</v>
      </c>
      <c r="E1052" s="44">
        <v>92.5</v>
      </c>
      <c r="F1052" s="44">
        <v>94.5</v>
      </c>
      <c r="G1052" s="44">
        <v>91.6</v>
      </c>
      <c r="H1052" s="44">
        <v>94.1</v>
      </c>
      <c r="I1052" s="44">
        <v>-1.9</v>
      </c>
      <c r="J1052" s="44">
        <v>-1.98</v>
      </c>
      <c r="K1052" s="44">
        <v>33</v>
      </c>
      <c r="L1052" s="44">
        <v>93.6</v>
      </c>
      <c r="M1052" s="44">
        <v>43</v>
      </c>
    </row>
    <row r="1053" spans="1:13" x14ac:dyDescent="0.25">
      <c r="A1053" s="45" t="s">
        <v>2089</v>
      </c>
      <c r="C1053" s="47"/>
    </row>
    <row r="1054" spans="1:13" x14ac:dyDescent="0.25">
      <c r="A1054" s="45" t="s">
        <v>2090</v>
      </c>
      <c r="C1054" s="47"/>
    </row>
    <row r="1055" spans="1:13" x14ac:dyDescent="0.25">
      <c r="A1055" s="45" t="s">
        <v>2091</v>
      </c>
      <c r="B1055" s="44" t="s">
        <v>4454</v>
      </c>
      <c r="C1055" s="47">
        <v>44250</v>
      </c>
      <c r="D1055" s="44">
        <v>202103</v>
      </c>
      <c r="E1055" s="44">
        <v>96.1</v>
      </c>
      <c r="F1055" s="44">
        <v>96.1</v>
      </c>
      <c r="G1055" s="44">
        <v>91</v>
      </c>
      <c r="H1055" s="44">
        <v>93.7</v>
      </c>
      <c r="I1055" s="44">
        <v>-2.4</v>
      </c>
      <c r="J1055" s="44">
        <v>-2.5</v>
      </c>
      <c r="K1055" s="44">
        <v>2300</v>
      </c>
      <c r="L1055" s="44">
        <v>93.7</v>
      </c>
      <c r="M1055" s="44">
        <v>1174</v>
      </c>
    </row>
    <row r="1056" spans="1:13" x14ac:dyDescent="0.25">
      <c r="A1056" s="45" t="s">
        <v>2092</v>
      </c>
      <c r="B1056" s="44" t="s">
        <v>4455</v>
      </c>
      <c r="C1056" s="47">
        <v>44250</v>
      </c>
      <c r="D1056" s="44">
        <v>202106</v>
      </c>
      <c r="E1056" s="44">
        <v>93.3</v>
      </c>
      <c r="F1056" s="44">
        <v>93.3</v>
      </c>
      <c r="G1056" s="44">
        <v>93.3</v>
      </c>
      <c r="H1056" s="44">
        <v>93.3</v>
      </c>
      <c r="I1056" s="44">
        <v>-2.4</v>
      </c>
      <c r="J1056" s="44">
        <v>-2.5099999999999998</v>
      </c>
      <c r="K1056" s="44">
        <v>0</v>
      </c>
      <c r="L1056" s="44">
        <v>93.3</v>
      </c>
      <c r="M1056" s="44">
        <v>2</v>
      </c>
    </row>
    <row r="1057" spans="1:13" x14ac:dyDescent="0.25">
      <c r="A1057" s="45" t="s">
        <v>2093</v>
      </c>
      <c r="B1057" s="44" t="s">
        <v>4456</v>
      </c>
      <c r="C1057" s="47">
        <v>44250</v>
      </c>
      <c r="D1057" s="44">
        <v>202109</v>
      </c>
      <c r="E1057" s="44">
        <v>93.3</v>
      </c>
      <c r="F1057" s="44">
        <v>93.3</v>
      </c>
      <c r="G1057" s="44">
        <v>93.3</v>
      </c>
      <c r="H1057" s="44">
        <v>93.3</v>
      </c>
      <c r="I1057" s="44">
        <v>-2.4</v>
      </c>
      <c r="J1057" s="44">
        <v>-2.5099999999999998</v>
      </c>
      <c r="K1057" s="44">
        <v>0</v>
      </c>
      <c r="L1057" s="44">
        <v>93.3</v>
      </c>
      <c r="M1057" s="44">
        <v>0</v>
      </c>
    </row>
    <row r="1058" spans="1:13" x14ac:dyDescent="0.25">
      <c r="A1058" s="45" t="s">
        <v>2094</v>
      </c>
      <c r="B1058" s="44" t="s">
        <v>4457</v>
      </c>
      <c r="C1058" s="47">
        <v>44250</v>
      </c>
      <c r="D1058" s="44">
        <v>202112</v>
      </c>
      <c r="E1058" s="44">
        <v>92.6</v>
      </c>
      <c r="F1058" s="44">
        <v>92.6</v>
      </c>
      <c r="G1058" s="44">
        <v>92.6</v>
      </c>
      <c r="H1058" s="44">
        <v>92.6</v>
      </c>
      <c r="I1058" s="44">
        <v>-2.4</v>
      </c>
      <c r="J1058" s="44">
        <v>-2.5299999999999998</v>
      </c>
      <c r="K1058" s="44">
        <v>0</v>
      </c>
      <c r="L1058" s="44">
        <v>92.6</v>
      </c>
      <c r="M1058" s="44">
        <v>0</v>
      </c>
    </row>
    <row r="1059" spans="1:13" x14ac:dyDescent="0.25">
      <c r="A1059" s="45" t="s">
        <v>1003</v>
      </c>
      <c r="B1059" s="44" t="s">
        <v>4458</v>
      </c>
      <c r="C1059" s="47">
        <v>44250</v>
      </c>
      <c r="D1059" s="44">
        <v>202103</v>
      </c>
      <c r="E1059" s="44">
        <v>525</v>
      </c>
      <c r="F1059" s="44">
        <v>525</v>
      </c>
      <c r="G1059" s="44">
        <v>504</v>
      </c>
      <c r="H1059" s="44">
        <v>514</v>
      </c>
      <c r="I1059" s="44">
        <v>-18</v>
      </c>
      <c r="J1059" s="44">
        <v>-3.38</v>
      </c>
      <c r="K1059" s="44">
        <v>930</v>
      </c>
      <c r="L1059" s="44">
        <v>514</v>
      </c>
      <c r="M1059" s="44">
        <v>1519</v>
      </c>
    </row>
    <row r="1060" spans="1:13" x14ac:dyDescent="0.25">
      <c r="A1060" s="45" t="s">
        <v>2095</v>
      </c>
      <c r="B1060" s="44" t="s">
        <v>4459</v>
      </c>
      <c r="C1060" s="47">
        <v>44250</v>
      </c>
      <c r="D1060" s="44">
        <v>202103</v>
      </c>
      <c r="E1060" s="44">
        <v>525</v>
      </c>
      <c r="F1060" s="44">
        <v>525</v>
      </c>
      <c r="G1060" s="44">
        <v>504</v>
      </c>
      <c r="H1060" s="44">
        <v>514</v>
      </c>
      <c r="I1060" s="44">
        <v>-18</v>
      </c>
      <c r="J1060" s="44">
        <v>-3.38</v>
      </c>
      <c r="K1060" s="44">
        <v>930</v>
      </c>
      <c r="L1060" s="44">
        <v>514</v>
      </c>
      <c r="M1060" s="44">
        <v>1519</v>
      </c>
    </row>
    <row r="1061" spans="1:13" x14ac:dyDescent="0.25">
      <c r="A1061" s="45" t="s">
        <v>2096</v>
      </c>
      <c r="B1061" s="44" t="s">
        <v>4460</v>
      </c>
      <c r="C1061" s="47">
        <v>44250</v>
      </c>
      <c r="D1061" s="44">
        <v>202104</v>
      </c>
      <c r="E1061" s="44">
        <v>520</v>
      </c>
      <c r="F1061" s="44">
        <v>520</v>
      </c>
      <c r="G1061" s="44">
        <v>508</v>
      </c>
      <c r="H1061" s="44">
        <v>513</v>
      </c>
      <c r="I1061" s="44">
        <v>-16</v>
      </c>
      <c r="J1061" s="44">
        <v>-3.02</v>
      </c>
      <c r="K1061" s="44">
        <v>133</v>
      </c>
      <c r="L1061" s="44">
        <v>513</v>
      </c>
      <c r="M1061" s="44">
        <v>295</v>
      </c>
    </row>
    <row r="1062" spans="1:13" x14ac:dyDescent="0.25">
      <c r="A1062" s="45" t="s">
        <v>2097</v>
      </c>
      <c r="B1062" s="44" t="s">
        <v>4461</v>
      </c>
      <c r="C1062" s="47">
        <v>44250</v>
      </c>
      <c r="D1062" s="44">
        <v>202104</v>
      </c>
      <c r="E1062" s="44">
        <v>520</v>
      </c>
      <c r="F1062" s="44">
        <v>520</v>
      </c>
      <c r="G1062" s="44">
        <v>508</v>
      </c>
      <c r="H1062" s="44">
        <v>513</v>
      </c>
      <c r="I1062" s="44">
        <v>-16</v>
      </c>
      <c r="J1062" s="44">
        <v>-3.02</v>
      </c>
      <c r="K1062" s="44">
        <v>133</v>
      </c>
      <c r="L1062" s="44">
        <v>513</v>
      </c>
      <c r="M1062" s="44">
        <v>295</v>
      </c>
    </row>
    <row r="1063" spans="1:13" x14ac:dyDescent="0.25">
      <c r="A1063" s="45" t="s">
        <v>2098</v>
      </c>
      <c r="C1063" s="47"/>
    </row>
    <row r="1064" spans="1:13" x14ac:dyDescent="0.25">
      <c r="A1064" s="45" t="s">
        <v>2099</v>
      </c>
      <c r="C1064" s="47"/>
    </row>
    <row r="1065" spans="1:13" x14ac:dyDescent="0.25">
      <c r="A1065" s="45" t="s">
        <v>2100</v>
      </c>
      <c r="C1065" s="47"/>
    </row>
    <row r="1066" spans="1:13" x14ac:dyDescent="0.25">
      <c r="A1066" s="45" t="s">
        <v>2101</v>
      </c>
      <c r="B1066" s="44" t="s">
        <v>4462</v>
      </c>
      <c r="C1066" s="47">
        <v>44250</v>
      </c>
      <c r="D1066" s="44">
        <v>202103</v>
      </c>
      <c r="E1066" s="44">
        <v>525</v>
      </c>
      <c r="F1066" s="44">
        <v>525</v>
      </c>
      <c r="G1066" s="44">
        <v>504</v>
      </c>
      <c r="H1066" s="44">
        <v>514</v>
      </c>
      <c r="I1066" s="44">
        <v>-18</v>
      </c>
      <c r="J1066" s="44">
        <v>-3.38</v>
      </c>
      <c r="K1066" s="44">
        <v>930</v>
      </c>
      <c r="L1066" s="44">
        <v>514</v>
      </c>
      <c r="M1066" s="44">
        <v>1519</v>
      </c>
    </row>
    <row r="1067" spans="1:13" x14ac:dyDescent="0.25">
      <c r="A1067" s="45" t="s">
        <v>2102</v>
      </c>
      <c r="B1067" s="44" t="s">
        <v>4463</v>
      </c>
      <c r="C1067" s="47">
        <v>44250</v>
      </c>
      <c r="D1067" s="44">
        <v>202106</v>
      </c>
      <c r="E1067" s="44">
        <v>512</v>
      </c>
      <c r="F1067" s="44">
        <v>512</v>
      </c>
      <c r="G1067" s="44">
        <v>512</v>
      </c>
      <c r="H1067" s="44">
        <v>512</v>
      </c>
      <c r="I1067" s="44">
        <v>-18</v>
      </c>
      <c r="J1067" s="44">
        <v>-3.4</v>
      </c>
      <c r="K1067" s="44">
        <v>0</v>
      </c>
      <c r="L1067" s="44">
        <v>512</v>
      </c>
      <c r="M1067" s="44">
        <v>39</v>
      </c>
    </row>
    <row r="1068" spans="1:13" x14ac:dyDescent="0.25">
      <c r="A1068" s="45" t="s">
        <v>2103</v>
      </c>
      <c r="C1068" s="47"/>
    </row>
    <row r="1069" spans="1:13" x14ac:dyDescent="0.25">
      <c r="A1069" s="45" t="s">
        <v>2104</v>
      </c>
      <c r="B1069" s="44" t="s">
        <v>4464</v>
      </c>
      <c r="C1069" s="47">
        <v>44250</v>
      </c>
      <c r="D1069" s="44">
        <v>202109</v>
      </c>
      <c r="E1069" s="44">
        <v>510</v>
      </c>
      <c r="F1069" s="44">
        <v>510</v>
      </c>
      <c r="G1069" s="44">
        <v>510</v>
      </c>
      <c r="H1069" s="44">
        <v>510</v>
      </c>
      <c r="I1069" s="44">
        <v>-18</v>
      </c>
      <c r="J1069" s="44">
        <v>-3.41</v>
      </c>
      <c r="K1069" s="44">
        <v>0</v>
      </c>
      <c r="L1069" s="44">
        <v>510</v>
      </c>
      <c r="M1069" s="44">
        <v>58</v>
      </c>
    </row>
    <row r="1070" spans="1:13" x14ac:dyDescent="0.25">
      <c r="A1070" s="45" t="s">
        <v>2105</v>
      </c>
      <c r="B1070" s="44" t="s">
        <v>4465</v>
      </c>
      <c r="C1070" s="47">
        <v>44250</v>
      </c>
      <c r="D1070" s="44">
        <v>202112</v>
      </c>
      <c r="E1070" s="44">
        <v>508</v>
      </c>
      <c r="F1070" s="44">
        <v>508</v>
      </c>
      <c r="G1070" s="44">
        <v>508</v>
      </c>
      <c r="H1070" s="44">
        <v>508</v>
      </c>
      <c r="I1070" s="44">
        <v>-18</v>
      </c>
      <c r="J1070" s="44">
        <v>-3.42</v>
      </c>
      <c r="K1070" s="44">
        <v>0</v>
      </c>
      <c r="L1070" s="44">
        <v>508</v>
      </c>
      <c r="M1070" s="44">
        <v>0</v>
      </c>
    </row>
    <row r="1071" spans="1:13" x14ac:dyDescent="0.25">
      <c r="A1071" s="45" t="s">
        <v>1005</v>
      </c>
      <c r="B1071" s="44" t="s">
        <v>4466</v>
      </c>
      <c r="C1071" s="47">
        <v>44250</v>
      </c>
      <c r="D1071" s="44">
        <v>202103</v>
      </c>
      <c r="E1071" s="44">
        <v>56.5</v>
      </c>
      <c r="F1071" s="44">
        <v>56.8</v>
      </c>
      <c r="G1071" s="44">
        <v>55</v>
      </c>
      <c r="H1071" s="44">
        <v>55.4</v>
      </c>
      <c r="I1071" s="44">
        <v>-2</v>
      </c>
      <c r="J1071" s="44">
        <v>-3.48</v>
      </c>
      <c r="K1071" s="44">
        <v>302</v>
      </c>
      <c r="L1071" s="44">
        <v>55.4</v>
      </c>
      <c r="M1071" s="44">
        <v>371</v>
      </c>
    </row>
    <row r="1072" spans="1:13" x14ac:dyDescent="0.25">
      <c r="A1072" s="45" t="s">
        <v>2106</v>
      </c>
      <c r="B1072" s="44" t="s">
        <v>4467</v>
      </c>
      <c r="C1072" s="47">
        <v>44250</v>
      </c>
      <c r="D1072" s="44">
        <v>202103</v>
      </c>
      <c r="E1072" s="44">
        <v>56.5</v>
      </c>
      <c r="F1072" s="44">
        <v>56.8</v>
      </c>
      <c r="G1072" s="44">
        <v>55</v>
      </c>
      <c r="H1072" s="44">
        <v>55.4</v>
      </c>
      <c r="I1072" s="44">
        <v>-2</v>
      </c>
      <c r="J1072" s="44">
        <v>-3.48</v>
      </c>
      <c r="K1072" s="44">
        <v>302</v>
      </c>
      <c r="L1072" s="44">
        <v>55.4</v>
      </c>
      <c r="M1072" s="44">
        <v>371</v>
      </c>
    </row>
    <row r="1073" spans="1:13" x14ac:dyDescent="0.25">
      <c r="A1073" s="45" t="s">
        <v>2107</v>
      </c>
      <c r="B1073" s="44" t="s">
        <v>4468</v>
      </c>
      <c r="C1073" s="47">
        <v>44250</v>
      </c>
      <c r="D1073" s="44">
        <v>202104</v>
      </c>
      <c r="E1073" s="44">
        <v>56</v>
      </c>
      <c r="F1073" s="44">
        <v>56</v>
      </c>
      <c r="G1073" s="44">
        <v>55.4</v>
      </c>
      <c r="H1073" s="44">
        <v>55.6</v>
      </c>
      <c r="I1073" s="44">
        <v>-1.8</v>
      </c>
      <c r="J1073" s="44">
        <v>-3.14</v>
      </c>
      <c r="K1073" s="44">
        <v>37</v>
      </c>
      <c r="L1073" s="44">
        <v>55.6</v>
      </c>
      <c r="M1073" s="44">
        <v>21</v>
      </c>
    </row>
    <row r="1074" spans="1:13" x14ac:dyDescent="0.25">
      <c r="A1074" s="45" t="s">
        <v>2108</v>
      </c>
      <c r="B1074" s="44" t="s">
        <v>4469</v>
      </c>
      <c r="C1074" s="47">
        <v>44250</v>
      </c>
      <c r="D1074" s="44">
        <v>202104</v>
      </c>
      <c r="E1074" s="44">
        <v>56</v>
      </c>
      <c r="F1074" s="44">
        <v>56</v>
      </c>
      <c r="G1074" s="44">
        <v>55.4</v>
      </c>
      <c r="H1074" s="44">
        <v>55.6</v>
      </c>
      <c r="I1074" s="44">
        <v>-1.8</v>
      </c>
      <c r="J1074" s="44">
        <v>-3.14</v>
      </c>
      <c r="K1074" s="44">
        <v>37</v>
      </c>
      <c r="L1074" s="44">
        <v>55.6</v>
      </c>
      <c r="M1074" s="44">
        <v>21</v>
      </c>
    </row>
    <row r="1075" spans="1:13" x14ac:dyDescent="0.25">
      <c r="A1075" s="45" t="s">
        <v>2109</v>
      </c>
      <c r="C1075" s="47"/>
    </row>
    <row r="1076" spans="1:13" x14ac:dyDescent="0.25">
      <c r="A1076" s="45" t="s">
        <v>2110</v>
      </c>
      <c r="C1076" s="47"/>
    </row>
    <row r="1077" spans="1:13" x14ac:dyDescent="0.25">
      <c r="A1077" s="45" t="s">
        <v>2111</v>
      </c>
      <c r="B1077" s="44" t="s">
        <v>4470</v>
      </c>
      <c r="C1077" s="47">
        <v>44250</v>
      </c>
      <c r="D1077" s="44">
        <v>202103</v>
      </c>
      <c r="E1077" s="44">
        <v>56.5</v>
      </c>
      <c r="F1077" s="44">
        <v>56.8</v>
      </c>
      <c r="G1077" s="44">
        <v>55</v>
      </c>
      <c r="H1077" s="44">
        <v>55.4</v>
      </c>
      <c r="I1077" s="44">
        <v>-2</v>
      </c>
      <c r="J1077" s="44">
        <v>-3.48</v>
      </c>
      <c r="K1077" s="44">
        <v>302</v>
      </c>
      <c r="L1077" s="44">
        <v>55.4</v>
      </c>
      <c r="M1077" s="44">
        <v>371</v>
      </c>
    </row>
    <row r="1078" spans="1:13" x14ac:dyDescent="0.25">
      <c r="A1078" s="45" t="s">
        <v>2112</v>
      </c>
      <c r="B1078" s="44" t="s">
        <v>4471</v>
      </c>
      <c r="C1078" s="47">
        <v>44250</v>
      </c>
      <c r="D1078" s="44">
        <v>202106</v>
      </c>
      <c r="E1078" s="44">
        <v>55.5</v>
      </c>
      <c r="F1078" s="44">
        <v>55.5</v>
      </c>
      <c r="G1078" s="44">
        <v>55.5</v>
      </c>
      <c r="H1078" s="44">
        <v>55.5</v>
      </c>
      <c r="I1078" s="44">
        <v>-2</v>
      </c>
      <c r="J1078" s="44">
        <v>-3.48</v>
      </c>
      <c r="K1078" s="44">
        <v>0</v>
      </c>
      <c r="L1078" s="44">
        <v>55.5</v>
      </c>
      <c r="M1078" s="44">
        <v>0</v>
      </c>
    </row>
    <row r="1079" spans="1:13" x14ac:dyDescent="0.25">
      <c r="A1079" s="45" t="s">
        <v>2113</v>
      </c>
      <c r="B1079" s="44" t="s">
        <v>4472</v>
      </c>
      <c r="C1079" s="47">
        <v>44250</v>
      </c>
      <c r="D1079" s="44">
        <v>202109</v>
      </c>
      <c r="E1079" s="44">
        <v>54.9</v>
      </c>
      <c r="F1079" s="44">
        <v>54.9</v>
      </c>
      <c r="G1079" s="44">
        <v>54.9</v>
      </c>
      <c r="H1079" s="44">
        <v>54.9</v>
      </c>
      <c r="I1079" s="44">
        <v>-2</v>
      </c>
      <c r="J1079" s="44">
        <v>-3.51</v>
      </c>
      <c r="K1079" s="44">
        <v>0</v>
      </c>
      <c r="L1079" s="44">
        <v>54.9</v>
      </c>
      <c r="M1079" s="44">
        <v>0</v>
      </c>
    </row>
    <row r="1080" spans="1:13" x14ac:dyDescent="0.25">
      <c r="A1080" s="45" t="s">
        <v>2114</v>
      </c>
      <c r="B1080" s="44" t="s">
        <v>4473</v>
      </c>
      <c r="C1080" s="47">
        <v>44250</v>
      </c>
      <c r="D1080" s="44">
        <v>202112</v>
      </c>
      <c r="E1080" s="44">
        <v>55.4</v>
      </c>
      <c r="F1080" s="44">
        <v>55.4</v>
      </c>
      <c r="G1080" s="44">
        <v>55.4</v>
      </c>
      <c r="H1080" s="44">
        <v>55.4</v>
      </c>
      <c r="I1080" s="44">
        <v>-2</v>
      </c>
      <c r="J1080" s="44">
        <v>-3.48</v>
      </c>
      <c r="K1080" s="44">
        <v>0</v>
      </c>
      <c r="L1080" s="44">
        <v>55.4</v>
      </c>
      <c r="M1080" s="44">
        <v>0</v>
      </c>
    </row>
    <row r="1081" spans="1:13" x14ac:dyDescent="0.25">
      <c r="A1081" s="45" t="s">
        <v>1006</v>
      </c>
      <c r="B1081" s="44" t="s">
        <v>4474</v>
      </c>
      <c r="C1081" s="47">
        <v>44250</v>
      </c>
      <c r="D1081" s="44">
        <v>202103</v>
      </c>
      <c r="E1081" s="44">
        <v>44.05</v>
      </c>
      <c r="F1081" s="44">
        <v>44.3</v>
      </c>
      <c r="G1081" s="44">
        <v>43.85</v>
      </c>
      <c r="H1081" s="44">
        <v>44.3</v>
      </c>
      <c r="I1081" s="44">
        <v>-0.15</v>
      </c>
      <c r="J1081" s="44">
        <v>-0.34</v>
      </c>
      <c r="K1081" s="44">
        <v>27</v>
      </c>
      <c r="L1081" s="44">
        <v>44.3</v>
      </c>
      <c r="M1081" s="44">
        <v>98</v>
      </c>
    </row>
    <row r="1082" spans="1:13" x14ac:dyDescent="0.25">
      <c r="A1082" s="45" t="s">
        <v>2115</v>
      </c>
      <c r="B1082" s="44" t="s">
        <v>4475</v>
      </c>
      <c r="C1082" s="47">
        <v>44250</v>
      </c>
      <c r="D1082" s="44">
        <v>202103</v>
      </c>
      <c r="E1082" s="44">
        <v>44.05</v>
      </c>
      <c r="F1082" s="44">
        <v>44.3</v>
      </c>
      <c r="G1082" s="44">
        <v>43.85</v>
      </c>
      <c r="H1082" s="44">
        <v>44.3</v>
      </c>
      <c r="I1082" s="44">
        <v>-0.15</v>
      </c>
      <c r="J1082" s="44">
        <v>-0.34</v>
      </c>
      <c r="K1082" s="44">
        <v>27</v>
      </c>
      <c r="L1082" s="44">
        <v>44.3</v>
      </c>
      <c r="M1082" s="44">
        <v>98</v>
      </c>
    </row>
    <row r="1083" spans="1:13" x14ac:dyDescent="0.25">
      <c r="A1083" s="45" t="s">
        <v>2116</v>
      </c>
      <c r="B1083" s="44" t="s">
        <v>4476</v>
      </c>
      <c r="C1083" s="47">
        <v>44250</v>
      </c>
      <c r="D1083" s="44">
        <v>202104</v>
      </c>
      <c r="E1083" s="44">
        <v>44.4</v>
      </c>
      <c r="F1083" s="44">
        <v>44.4</v>
      </c>
      <c r="G1083" s="44">
        <v>44.4</v>
      </c>
      <c r="H1083" s="44">
        <v>44.4</v>
      </c>
      <c r="I1083" s="44">
        <v>0</v>
      </c>
      <c r="J1083" s="44">
        <v>0</v>
      </c>
      <c r="K1083" s="44">
        <v>8</v>
      </c>
      <c r="L1083" s="44">
        <v>44.25</v>
      </c>
      <c r="M1083" s="44">
        <v>10</v>
      </c>
    </row>
    <row r="1084" spans="1:13" x14ac:dyDescent="0.25">
      <c r="A1084" s="45" t="s">
        <v>2117</v>
      </c>
      <c r="B1084" s="44" t="s">
        <v>4477</v>
      </c>
      <c r="C1084" s="47">
        <v>44250</v>
      </c>
      <c r="D1084" s="44">
        <v>202104</v>
      </c>
      <c r="E1084" s="44">
        <v>44.4</v>
      </c>
      <c r="F1084" s="44">
        <v>44.4</v>
      </c>
      <c r="G1084" s="44">
        <v>44.4</v>
      </c>
      <c r="H1084" s="44">
        <v>44.4</v>
      </c>
      <c r="I1084" s="44">
        <v>0</v>
      </c>
      <c r="J1084" s="44">
        <v>0</v>
      </c>
      <c r="K1084" s="44">
        <v>8</v>
      </c>
      <c r="L1084" s="44">
        <v>44.25</v>
      </c>
      <c r="M1084" s="44">
        <v>10</v>
      </c>
    </row>
    <row r="1085" spans="1:13" x14ac:dyDescent="0.25">
      <c r="A1085" s="45" t="s">
        <v>2118</v>
      </c>
      <c r="C1085" s="47"/>
    </row>
    <row r="1086" spans="1:13" x14ac:dyDescent="0.25">
      <c r="A1086" s="45" t="s">
        <v>2119</v>
      </c>
      <c r="C1086" s="47"/>
    </row>
    <row r="1087" spans="1:13" x14ac:dyDescent="0.25">
      <c r="A1087" s="45" t="s">
        <v>2120</v>
      </c>
      <c r="B1087" s="44" t="s">
        <v>4478</v>
      </c>
      <c r="C1087" s="47">
        <v>44250</v>
      </c>
      <c r="D1087" s="44">
        <v>202103</v>
      </c>
      <c r="E1087" s="44">
        <v>44.05</v>
      </c>
      <c r="F1087" s="44">
        <v>44.3</v>
      </c>
      <c r="G1087" s="44">
        <v>43.85</v>
      </c>
      <c r="H1087" s="44">
        <v>44.3</v>
      </c>
      <c r="I1087" s="44">
        <v>-0.15</v>
      </c>
      <c r="J1087" s="44">
        <v>-0.34</v>
      </c>
      <c r="K1087" s="44">
        <v>27</v>
      </c>
      <c r="L1087" s="44">
        <v>44.3</v>
      </c>
      <c r="M1087" s="44">
        <v>98</v>
      </c>
    </row>
    <row r="1088" spans="1:13" x14ac:dyDescent="0.25">
      <c r="A1088" s="45" t="s">
        <v>2121</v>
      </c>
      <c r="B1088" s="44" t="s">
        <v>4479</v>
      </c>
      <c r="C1088" s="47">
        <v>44250</v>
      </c>
      <c r="D1088" s="44">
        <v>202106</v>
      </c>
      <c r="E1088" s="44">
        <v>44.5</v>
      </c>
      <c r="F1088" s="44">
        <v>44.5</v>
      </c>
      <c r="G1088" s="44">
        <v>44.5</v>
      </c>
      <c r="H1088" s="44">
        <v>44.5</v>
      </c>
      <c r="I1088" s="44">
        <v>-0.15</v>
      </c>
      <c r="J1088" s="44">
        <v>-0.34</v>
      </c>
      <c r="K1088" s="44">
        <v>0</v>
      </c>
      <c r="L1088" s="44">
        <v>44.5</v>
      </c>
      <c r="M1088" s="44">
        <v>0</v>
      </c>
    </row>
    <row r="1089" spans="1:13" x14ac:dyDescent="0.25">
      <c r="A1089" s="45" t="s">
        <v>2122</v>
      </c>
      <c r="B1089" s="44" t="s">
        <v>4480</v>
      </c>
      <c r="C1089" s="47">
        <v>44250</v>
      </c>
      <c r="D1089" s="44">
        <v>202109</v>
      </c>
      <c r="E1089" s="44">
        <v>44.65</v>
      </c>
      <c r="F1089" s="44">
        <v>44.65</v>
      </c>
      <c r="G1089" s="44">
        <v>44.65</v>
      </c>
      <c r="H1089" s="44">
        <v>44.65</v>
      </c>
      <c r="I1089" s="44">
        <v>-0.15</v>
      </c>
      <c r="J1089" s="44">
        <v>-0.33</v>
      </c>
      <c r="K1089" s="44">
        <v>0</v>
      </c>
      <c r="L1089" s="44">
        <v>44.65</v>
      </c>
      <c r="M1089" s="44">
        <v>0</v>
      </c>
    </row>
    <row r="1090" spans="1:13" x14ac:dyDescent="0.25">
      <c r="A1090" s="45" t="s">
        <v>2123</v>
      </c>
      <c r="B1090" s="44" t="s">
        <v>4481</v>
      </c>
      <c r="C1090" s="47">
        <v>44250</v>
      </c>
      <c r="D1090" s="44">
        <v>202112</v>
      </c>
      <c r="E1090" s="44">
        <v>44.55</v>
      </c>
      <c r="F1090" s="44">
        <v>44.55</v>
      </c>
      <c r="G1090" s="44">
        <v>44.55</v>
      </c>
      <c r="H1090" s="44">
        <v>44.55</v>
      </c>
      <c r="I1090" s="44">
        <v>-0.15</v>
      </c>
      <c r="J1090" s="44">
        <v>-0.34</v>
      </c>
      <c r="K1090" s="44">
        <v>0</v>
      </c>
      <c r="L1090" s="44">
        <v>44.55</v>
      </c>
      <c r="M1090" s="44">
        <v>0</v>
      </c>
    </row>
    <row r="1091" spans="1:13" x14ac:dyDescent="0.25">
      <c r="A1091" s="45" t="s">
        <v>1007</v>
      </c>
      <c r="B1091" s="44" t="s">
        <v>4482</v>
      </c>
      <c r="C1091" s="47">
        <v>44250</v>
      </c>
      <c r="D1091" s="44">
        <v>202103</v>
      </c>
      <c r="E1091" s="44">
        <v>97</v>
      </c>
      <c r="F1091" s="44">
        <v>103</v>
      </c>
      <c r="G1091" s="44">
        <v>95.7</v>
      </c>
      <c r="H1091" s="44">
        <v>100.5</v>
      </c>
      <c r="I1091" s="44">
        <v>4.5999999999999996</v>
      </c>
      <c r="J1091" s="44">
        <v>4.8</v>
      </c>
      <c r="K1091" s="44">
        <v>6901</v>
      </c>
      <c r="L1091" s="44">
        <v>100.5</v>
      </c>
      <c r="M1091" s="44">
        <v>2882</v>
      </c>
    </row>
    <row r="1092" spans="1:13" x14ac:dyDescent="0.25">
      <c r="A1092" s="45" t="s">
        <v>2124</v>
      </c>
      <c r="B1092" s="44" t="s">
        <v>4483</v>
      </c>
      <c r="C1092" s="47">
        <v>44250</v>
      </c>
      <c r="D1092" s="44">
        <v>202103</v>
      </c>
      <c r="E1092" s="44">
        <v>97</v>
      </c>
      <c r="F1092" s="44">
        <v>103</v>
      </c>
      <c r="G1092" s="44">
        <v>95.7</v>
      </c>
      <c r="H1092" s="44">
        <v>100.5</v>
      </c>
      <c r="I1092" s="44">
        <v>4.5999999999999996</v>
      </c>
      <c r="J1092" s="44">
        <v>4.8</v>
      </c>
      <c r="K1092" s="44">
        <v>6901</v>
      </c>
      <c r="L1092" s="44">
        <v>100.5</v>
      </c>
      <c r="M1092" s="44">
        <v>2882</v>
      </c>
    </row>
    <row r="1093" spans="1:13" x14ac:dyDescent="0.25">
      <c r="A1093" s="45" t="s">
        <v>2125</v>
      </c>
      <c r="B1093" s="44" t="s">
        <v>4484</v>
      </c>
      <c r="C1093" s="47">
        <v>44250</v>
      </c>
      <c r="D1093" s="44">
        <v>202104</v>
      </c>
      <c r="E1093" s="44">
        <v>97.8</v>
      </c>
      <c r="F1093" s="44">
        <v>102.5</v>
      </c>
      <c r="G1093" s="44">
        <v>97.8</v>
      </c>
      <c r="H1093" s="44">
        <v>100</v>
      </c>
      <c r="I1093" s="44">
        <v>4.3</v>
      </c>
      <c r="J1093" s="44">
        <v>4.49</v>
      </c>
      <c r="K1093" s="44">
        <v>152</v>
      </c>
      <c r="L1093" s="44">
        <v>100</v>
      </c>
      <c r="M1093" s="44">
        <v>97</v>
      </c>
    </row>
    <row r="1094" spans="1:13" x14ac:dyDescent="0.25">
      <c r="A1094" s="45" t="s">
        <v>2126</v>
      </c>
      <c r="B1094" s="44" t="s">
        <v>4485</v>
      </c>
      <c r="C1094" s="47">
        <v>44250</v>
      </c>
      <c r="D1094" s="44">
        <v>202104</v>
      </c>
      <c r="E1094" s="44">
        <v>97.8</v>
      </c>
      <c r="F1094" s="44">
        <v>102.5</v>
      </c>
      <c r="G1094" s="44">
        <v>97.8</v>
      </c>
      <c r="H1094" s="44">
        <v>100</v>
      </c>
      <c r="I1094" s="44">
        <v>4.3</v>
      </c>
      <c r="J1094" s="44">
        <v>4.49</v>
      </c>
      <c r="K1094" s="44">
        <v>152</v>
      </c>
      <c r="L1094" s="44">
        <v>100</v>
      </c>
      <c r="M1094" s="44">
        <v>97</v>
      </c>
    </row>
    <row r="1095" spans="1:13" x14ac:dyDescent="0.25">
      <c r="A1095" s="45" t="s">
        <v>2127</v>
      </c>
      <c r="C1095" s="47"/>
    </row>
    <row r="1096" spans="1:13" x14ac:dyDescent="0.25">
      <c r="A1096" s="45" t="s">
        <v>2128</v>
      </c>
      <c r="C1096" s="47"/>
    </row>
    <row r="1097" spans="1:13" x14ac:dyDescent="0.25">
      <c r="A1097" s="45" t="s">
        <v>2129</v>
      </c>
      <c r="B1097" s="44" t="s">
        <v>4486</v>
      </c>
      <c r="C1097" s="47">
        <v>44250</v>
      </c>
      <c r="D1097" s="44">
        <v>202103</v>
      </c>
      <c r="E1097" s="44">
        <v>97</v>
      </c>
      <c r="F1097" s="44">
        <v>103</v>
      </c>
      <c r="G1097" s="44">
        <v>95.7</v>
      </c>
      <c r="H1097" s="44">
        <v>100.5</v>
      </c>
      <c r="I1097" s="44">
        <v>4.5999999999999996</v>
      </c>
      <c r="J1097" s="44">
        <v>4.8</v>
      </c>
      <c r="K1097" s="44">
        <v>6901</v>
      </c>
      <c r="L1097" s="44">
        <v>100.5</v>
      </c>
      <c r="M1097" s="44">
        <v>2882</v>
      </c>
    </row>
    <row r="1098" spans="1:13" x14ac:dyDescent="0.25">
      <c r="A1098" s="45" t="s">
        <v>2130</v>
      </c>
      <c r="B1098" s="44" t="s">
        <v>4487</v>
      </c>
      <c r="C1098" s="47">
        <v>44250</v>
      </c>
      <c r="D1098" s="44">
        <v>202106</v>
      </c>
      <c r="E1098" s="44">
        <v>100</v>
      </c>
      <c r="F1098" s="44">
        <v>100</v>
      </c>
      <c r="G1098" s="44">
        <v>100</v>
      </c>
      <c r="H1098" s="44">
        <v>100</v>
      </c>
      <c r="I1098" s="44">
        <v>4.5</v>
      </c>
      <c r="J1098" s="44">
        <v>4.71</v>
      </c>
      <c r="K1098" s="44">
        <v>0</v>
      </c>
      <c r="L1098" s="44">
        <v>100</v>
      </c>
      <c r="M1098" s="44">
        <v>6</v>
      </c>
    </row>
    <row r="1099" spans="1:13" x14ac:dyDescent="0.25">
      <c r="A1099" s="45" t="s">
        <v>2131</v>
      </c>
      <c r="B1099" s="44" t="s">
        <v>4488</v>
      </c>
      <c r="C1099" s="47">
        <v>44250</v>
      </c>
      <c r="D1099" s="44">
        <v>202109</v>
      </c>
      <c r="E1099" s="44">
        <v>99.1</v>
      </c>
      <c r="F1099" s="44">
        <v>99.1</v>
      </c>
      <c r="G1099" s="44">
        <v>99.1</v>
      </c>
      <c r="H1099" s="44">
        <v>99.1</v>
      </c>
      <c r="I1099" s="44">
        <v>4.5999999999999996</v>
      </c>
      <c r="J1099" s="44">
        <v>4.87</v>
      </c>
      <c r="K1099" s="44">
        <v>0</v>
      </c>
      <c r="L1099" s="44">
        <v>99.1</v>
      </c>
      <c r="M1099" s="44">
        <v>4</v>
      </c>
    </row>
    <row r="1100" spans="1:13" x14ac:dyDescent="0.25">
      <c r="A1100" s="45" t="s">
        <v>2132</v>
      </c>
      <c r="B1100" s="44" t="s">
        <v>4489</v>
      </c>
      <c r="C1100" s="47">
        <v>44250</v>
      </c>
      <c r="D1100" s="44">
        <v>202112</v>
      </c>
      <c r="E1100" s="44">
        <v>99.5</v>
      </c>
      <c r="F1100" s="44">
        <v>99.5</v>
      </c>
      <c r="G1100" s="44">
        <v>99.5</v>
      </c>
      <c r="H1100" s="44">
        <v>99.5</v>
      </c>
      <c r="I1100" s="44">
        <v>4.5999999999999996</v>
      </c>
      <c r="J1100" s="44">
        <v>4.8499999999999996</v>
      </c>
      <c r="K1100" s="44">
        <v>0</v>
      </c>
      <c r="L1100" s="44">
        <v>99.5</v>
      </c>
      <c r="M1100" s="44">
        <v>0</v>
      </c>
    </row>
    <row r="1101" spans="1:13" x14ac:dyDescent="0.25">
      <c r="A1101" s="45" t="s">
        <v>1008</v>
      </c>
      <c r="B1101" s="44" t="s">
        <v>4490</v>
      </c>
      <c r="C1101" s="47">
        <v>44250</v>
      </c>
      <c r="D1101" s="44">
        <v>202103</v>
      </c>
      <c r="E1101" s="44">
        <v>105</v>
      </c>
      <c r="F1101" s="44">
        <v>106.5</v>
      </c>
      <c r="G1101" s="44">
        <v>101.5</v>
      </c>
      <c r="H1101" s="44">
        <v>104.5</v>
      </c>
      <c r="I1101" s="44">
        <v>-1.5</v>
      </c>
      <c r="J1101" s="44">
        <v>-1.42</v>
      </c>
      <c r="K1101" s="44">
        <v>498</v>
      </c>
      <c r="L1101" s="44">
        <v>104.5</v>
      </c>
      <c r="M1101" s="44">
        <v>819</v>
      </c>
    </row>
    <row r="1102" spans="1:13" x14ac:dyDescent="0.25">
      <c r="A1102" s="45" t="s">
        <v>2133</v>
      </c>
      <c r="B1102" s="44" t="s">
        <v>4491</v>
      </c>
      <c r="C1102" s="47">
        <v>44250</v>
      </c>
      <c r="D1102" s="44">
        <v>202103</v>
      </c>
      <c r="E1102" s="44">
        <v>105</v>
      </c>
      <c r="F1102" s="44">
        <v>106.5</v>
      </c>
      <c r="G1102" s="44">
        <v>101.5</v>
      </c>
      <c r="H1102" s="44">
        <v>104.5</v>
      </c>
      <c r="I1102" s="44">
        <v>-1.5</v>
      </c>
      <c r="J1102" s="44">
        <v>-1.42</v>
      </c>
      <c r="K1102" s="44">
        <v>498</v>
      </c>
      <c r="L1102" s="44">
        <v>104.5</v>
      </c>
      <c r="M1102" s="44">
        <v>819</v>
      </c>
    </row>
    <row r="1103" spans="1:13" x14ac:dyDescent="0.25">
      <c r="A1103" s="45" t="s">
        <v>2134</v>
      </c>
      <c r="B1103" s="44" t="s">
        <v>4492</v>
      </c>
      <c r="C1103" s="47">
        <v>44250</v>
      </c>
      <c r="D1103" s="44">
        <v>202104</v>
      </c>
      <c r="E1103" s="44">
        <v>105</v>
      </c>
      <c r="F1103" s="44">
        <v>105</v>
      </c>
      <c r="G1103" s="44">
        <v>103</v>
      </c>
      <c r="H1103" s="44">
        <v>104</v>
      </c>
      <c r="I1103" s="44">
        <v>-1.5</v>
      </c>
      <c r="J1103" s="44">
        <v>-1.42</v>
      </c>
      <c r="K1103" s="44">
        <v>14</v>
      </c>
      <c r="L1103" s="44">
        <v>104</v>
      </c>
      <c r="M1103" s="44">
        <v>15</v>
      </c>
    </row>
    <row r="1104" spans="1:13" x14ac:dyDescent="0.25">
      <c r="A1104" s="45" t="s">
        <v>2135</v>
      </c>
      <c r="B1104" s="44" t="s">
        <v>4493</v>
      </c>
      <c r="C1104" s="47">
        <v>44250</v>
      </c>
      <c r="D1104" s="44">
        <v>202104</v>
      </c>
      <c r="E1104" s="44">
        <v>105</v>
      </c>
      <c r="F1104" s="44">
        <v>105</v>
      </c>
      <c r="G1104" s="44">
        <v>103</v>
      </c>
      <c r="H1104" s="44">
        <v>104</v>
      </c>
      <c r="I1104" s="44">
        <v>-1.5</v>
      </c>
      <c r="J1104" s="44">
        <v>-1.42</v>
      </c>
      <c r="K1104" s="44">
        <v>14</v>
      </c>
      <c r="L1104" s="44">
        <v>104</v>
      </c>
      <c r="M1104" s="44">
        <v>15</v>
      </c>
    </row>
    <row r="1105" spans="1:13" x14ac:dyDescent="0.25">
      <c r="A1105" s="45" t="s">
        <v>2136</v>
      </c>
      <c r="C1105" s="47"/>
    </row>
    <row r="1106" spans="1:13" x14ac:dyDescent="0.25">
      <c r="A1106" s="45" t="s">
        <v>2137</v>
      </c>
      <c r="C1106" s="47"/>
    </row>
    <row r="1107" spans="1:13" x14ac:dyDescent="0.25">
      <c r="A1107" s="45" t="s">
        <v>2138</v>
      </c>
      <c r="B1107" s="44" t="s">
        <v>4494</v>
      </c>
      <c r="C1107" s="47">
        <v>44250</v>
      </c>
      <c r="D1107" s="44">
        <v>202103</v>
      </c>
      <c r="E1107" s="44">
        <v>105</v>
      </c>
      <c r="F1107" s="44">
        <v>106.5</v>
      </c>
      <c r="G1107" s="44">
        <v>101.5</v>
      </c>
      <c r="H1107" s="44">
        <v>104.5</v>
      </c>
      <c r="I1107" s="44">
        <v>-1.5</v>
      </c>
      <c r="J1107" s="44">
        <v>-1.42</v>
      </c>
      <c r="K1107" s="44">
        <v>498</v>
      </c>
      <c r="L1107" s="44">
        <v>104.5</v>
      </c>
      <c r="M1107" s="44">
        <v>819</v>
      </c>
    </row>
    <row r="1108" spans="1:13" x14ac:dyDescent="0.25">
      <c r="A1108" s="45" t="s">
        <v>2139</v>
      </c>
      <c r="B1108" s="44" t="s">
        <v>4495</v>
      </c>
      <c r="C1108" s="47">
        <v>44250</v>
      </c>
      <c r="D1108" s="44">
        <v>202106</v>
      </c>
      <c r="E1108" s="44">
        <v>104</v>
      </c>
      <c r="F1108" s="44">
        <v>104</v>
      </c>
      <c r="G1108" s="44">
        <v>104</v>
      </c>
      <c r="H1108" s="44">
        <v>104</v>
      </c>
      <c r="I1108" s="44">
        <v>-1.5</v>
      </c>
      <c r="J1108" s="44">
        <v>-1.42</v>
      </c>
      <c r="K1108" s="44">
        <v>0</v>
      </c>
      <c r="L1108" s="44">
        <v>104</v>
      </c>
      <c r="M1108" s="44">
        <v>2</v>
      </c>
    </row>
    <row r="1109" spans="1:13" x14ac:dyDescent="0.25">
      <c r="A1109" s="45" t="s">
        <v>2140</v>
      </c>
      <c r="B1109" s="44" t="s">
        <v>4496</v>
      </c>
      <c r="C1109" s="47">
        <v>44250</v>
      </c>
      <c r="D1109" s="44">
        <v>202109</v>
      </c>
      <c r="E1109" s="44">
        <v>103.5</v>
      </c>
      <c r="F1109" s="44">
        <v>103.5</v>
      </c>
      <c r="G1109" s="44">
        <v>103.5</v>
      </c>
      <c r="H1109" s="44">
        <v>103.5</v>
      </c>
      <c r="I1109" s="44">
        <v>-1.5</v>
      </c>
      <c r="J1109" s="44">
        <v>-1.43</v>
      </c>
      <c r="K1109" s="44">
        <v>0</v>
      </c>
      <c r="L1109" s="44">
        <v>103.5</v>
      </c>
      <c r="M1109" s="44">
        <v>0</v>
      </c>
    </row>
    <row r="1110" spans="1:13" x14ac:dyDescent="0.25">
      <c r="A1110" s="45" t="s">
        <v>2141</v>
      </c>
      <c r="B1110" s="44" t="s">
        <v>4497</v>
      </c>
      <c r="C1110" s="47">
        <v>44250</v>
      </c>
      <c r="D1110" s="44">
        <v>202112</v>
      </c>
      <c r="E1110" s="44">
        <v>103.5</v>
      </c>
      <c r="F1110" s="44">
        <v>103.5</v>
      </c>
      <c r="G1110" s="44">
        <v>103.5</v>
      </c>
      <c r="H1110" s="44">
        <v>103.5</v>
      </c>
      <c r="I1110" s="44">
        <v>-1.5</v>
      </c>
      <c r="J1110" s="44">
        <v>-1.43</v>
      </c>
      <c r="K1110" s="44">
        <v>0</v>
      </c>
      <c r="L1110" s="44">
        <v>103.5</v>
      </c>
      <c r="M1110" s="44">
        <v>0</v>
      </c>
    </row>
    <row r="1111" spans="1:13" x14ac:dyDescent="0.25">
      <c r="A1111" s="45" t="s">
        <v>1015</v>
      </c>
      <c r="B1111" s="44" t="s">
        <v>4498</v>
      </c>
      <c r="C1111" s="47">
        <v>44250</v>
      </c>
      <c r="D1111" s="44">
        <v>202103</v>
      </c>
      <c r="E1111" s="44">
        <v>98.7</v>
      </c>
      <c r="F1111" s="44">
        <v>101</v>
      </c>
      <c r="G1111" s="44">
        <v>95</v>
      </c>
      <c r="H1111" s="44">
        <v>96.1</v>
      </c>
      <c r="I1111" s="44">
        <v>-2.6</v>
      </c>
      <c r="J1111" s="44">
        <v>-2.63</v>
      </c>
      <c r="K1111" s="44">
        <v>1529</v>
      </c>
      <c r="L1111" s="44">
        <v>96.1</v>
      </c>
      <c r="M1111" s="44">
        <v>666</v>
      </c>
    </row>
    <row r="1112" spans="1:13" x14ac:dyDescent="0.25">
      <c r="A1112" s="45" t="s">
        <v>2142</v>
      </c>
      <c r="B1112" s="44" t="s">
        <v>4499</v>
      </c>
      <c r="C1112" s="47">
        <v>44250</v>
      </c>
      <c r="D1112" s="44">
        <v>202103</v>
      </c>
      <c r="E1112" s="44">
        <v>98.7</v>
      </c>
      <c r="F1112" s="44">
        <v>101</v>
      </c>
      <c r="G1112" s="44">
        <v>95</v>
      </c>
      <c r="H1112" s="44">
        <v>96.1</v>
      </c>
      <c r="I1112" s="44">
        <v>-2.6</v>
      </c>
      <c r="J1112" s="44">
        <v>-2.63</v>
      </c>
      <c r="K1112" s="44">
        <v>1529</v>
      </c>
      <c r="L1112" s="44">
        <v>96.1</v>
      </c>
      <c r="M1112" s="44">
        <v>666</v>
      </c>
    </row>
    <row r="1113" spans="1:13" x14ac:dyDescent="0.25">
      <c r="A1113" s="45" t="s">
        <v>2143</v>
      </c>
      <c r="B1113" s="44" t="s">
        <v>4500</v>
      </c>
      <c r="C1113" s="47">
        <v>44250</v>
      </c>
      <c r="D1113" s="44">
        <v>202104</v>
      </c>
      <c r="E1113" s="44">
        <v>99.2</v>
      </c>
      <c r="F1113" s="44">
        <v>100</v>
      </c>
      <c r="G1113" s="44">
        <v>95</v>
      </c>
      <c r="H1113" s="44">
        <v>96</v>
      </c>
      <c r="I1113" s="44">
        <v>-2.4</v>
      </c>
      <c r="J1113" s="44">
        <v>-2.44</v>
      </c>
      <c r="K1113" s="44">
        <v>61</v>
      </c>
      <c r="L1113" s="44">
        <v>96</v>
      </c>
      <c r="M1113" s="44">
        <v>51</v>
      </c>
    </row>
    <row r="1114" spans="1:13" x14ac:dyDescent="0.25">
      <c r="A1114" s="45" t="s">
        <v>2144</v>
      </c>
      <c r="B1114" s="44" t="s">
        <v>4501</v>
      </c>
      <c r="C1114" s="47">
        <v>44250</v>
      </c>
      <c r="D1114" s="44">
        <v>202104</v>
      </c>
      <c r="E1114" s="44">
        <v>99.2</v>
      </c>
      <c r="F1114" s="44">
        <v>100</v>
      </c>
      <c r="G1114" s="44">
        <v>95</v>
      </c>
      <c r="H1114" s="44">
        <v>96</v>
      </c>
      <c r="I1114" s="44">
        <v>-2.4</v>
      </c>
      <c r="J1114" s="44">
        <v>-2.44</v>
      </c>
      <c r="K1114" s="44">
        <v>61</v>
      </c>
      <c r="L1114" s="44">
        <v>96</v>
      </c>
      <c r="M1114" s="44">
        <v>51</v>
      </c>
    </row>
    <row r="1115" spans="1:13" x14ac:dyDescent="0.25">
      <c r="A1115" s="45" t="s">
        <v>2145</v>
      </c>
      <c r="C1115" s="47"/>
    </row>
    <row r="1116" spans="1:13" x14ac:dyDescent="0.25">
      <c r="A1116" s="45" t="s">
        <v>2146</v>
      </c>
      <c r="C1116" s="47"/>
    </row>
    <row r="1117" spans="1:13" x14ac:dyDescent="0.25">
      <c r="A1117" s="45" t="s">
        <v>2147</v>
      </c>
      <c r="B1117" s="44" t="s">
        <v>4502</v>
      </c>
      <c r="C1117" s="47">
        <v>44250</v>
      </c>
      <c r="D1117" s="44">
        <v>202103</v>
      </c>
      <c r="E1117" s="44">
        <v>98.7</v>
      </c>
      <c r="F1117" s="44">
        <v>101</v>
      </c>
      <c r="G1117" s="44">
        <v>95</v>
      </c>
      <c r="H1117" s="44">
        <v>96.1</v>
      </c>
      <c r="I1117" s="44">
        <v>-2.6</v>
      </c>
      <c r="J1117" s="44">
        <v>-2.63</v>
      </c>
      <c r="K1117" s="44">
        <v>1529</v>
      </c>
      <c r="L1117" s="44">
        <v>96.1</v>
      </c>
      <c r="M1117" s="44">
        <v>666</v>
      </c>
    </row>
    <row r="1118" spans="1:13" x14ac:dyDescent="0.25">
      <c r="A1118" s="45" t="s">
        <v>2148</v>
      </c>
      <c r="B1118" s="44" t="s">
        <v>4503</v>
      </c>
      <c r="C1118" s="47">
        <v>44250</v>
      </c>
      <c r="D1118" s="44">
        <v>202106</v>
      </c>
      <c r="E1118" s="44">
        <v>95.7</v>
      </c>
      <c r="F1118" s="44">
        <v>95.7</v>
      </c>
      <c r="G1118" s="44">
        <v>95.7</v>
      </c>
      <c r="H1118" s="44">
        <v>95.7</v>
      </c>
      <c r="I1118" s="44">
        <v>-2.6</v>
      </c>
      <c r="J1118" s="44">
        <v>-2.64</v>
      </c>
      <c r="K1118" s="44">
        <v>0</v>
      </c>
      <c r="L1118" s="44">
        <v>95.7</v>
      </c>
      <c r="M1118" s="44">
        <v>0</v>
      </c>
    </row>
    <row r="1119" spans="1:13" x14ac:dyDescent="0.25">
      <c r="A1119" s="45" t="s">
        <v>2149</v>
      </c>
      <c r="B1119" s="44" t="s">
        <v>4504</v>
      </c>
      <c r="C1119" s="47">
        <v>44250</v>
      </c>
      <c r="D1119" s="44">
        <v>202109</v>
      </c>
      <c r="E1119" s="44">
        <v>95.6</v>
      </c>
      <c r="F1119" s="44">
        <v>95.6</v>
      </c>
      <c r="G1119" s="44">
        <v>95.6</v>
      </c>
      <c r="H1119" s="44">
        <v>95.6</v>
      </c>
      <c r="I1119" s="44">
        <v>-2.6</v>
      </c>
      <c r="J1119" s="44">
        <v>-2.65</v>
      </c>
      <c r="K1119" s="44">
        <v>0</v>
      </c>
      <c r="L1119" s="44">
        <v>95.6</v>
      </c>
      <c r="M1119" s="44">
        <v>0</v>
      </c>
    </row>
    <row r="1120" spans="1:13" x14ac:dyDescent="0.25">
      <c r="A1120" s="45" t="s">
        <v>2150</v>
      </c>
      <c r="B1120" s="44" t="s">
        <v>4505</v>
      </c>
      <c r="C1120" s="47">
        <v>44250</v>
      </c>
      <c r="D1120" s="44">
        <v>202112</v>
      </c>
      <c r="E1120" s="44">
        <v>95.6</v>
      </c>
      <c r="F1120" s="44">
        <v>95.6</v>
      </c>
      <c r="G1120" s="44">
        <v>95.6</v>
      </c>
      <c r="H1120" s="44">
        <v>95.6</v>
      </c>
      <c r="I1120" s="44">
        <v>-2.6</v>
      </c>
      <c r="J1120" s="44">
        <v>-2.65</v>
      </c>
      <c r="K1120" s="44">
        <v>0</v>
      </c>
      <c r="L1120" s="44">
        <v>95.6</v>
      </c>
      <c r="M1120" s="44">
        <v>0</v>
      </c>
    </row>
    <row r="1121" spans="1:13" x14ac:dyDescent="0.25">
      <c r="A1121" s="45" t="s">
        <v>1026</v>
      </c>
      <c r="B1121" s="44" t="s">
        <v>4506</v>
      </c>
      <c r="C1121" s="47">
        <v>44250</v>
      </c>
      <c r="D1121" s="44">
        <v>202103</v>
      </c>
      <c r="E1121" s="44">
        <v>130</v>
      </c>
      <c r="F1121" s="44">
        <v>131</v>
      </c>
      <c r="G1121" s="44">
        <v>130</v>
      </c>
      <c r="H1121" s="44">
        <v>130.5</v>
      </c>
      <c r="I1121" s="44">
        <v>-1</v>
      </c>
      <c r="J1121" s="44">
        <v>-0.76</v>
      </c>
      <c r="K1121" s="44">
        <v>181</v>
      </c>
      <c r="L1121" s="44">
        <v>130.5</v>
      </c>
      <c r="M1121" s="44">
        <v>316</v>
      </c>
    </row>
    <row r="1122" spans="1:13" x14ac:dyDescent="0.25">
      <c r="A1122" s="45" t="s">
        <v>2151</v>
      </c>
      <c r="B1122" s="44" t="s">
        <v>4507</v>
      </c>
      <c r="C1122" s="47">
        <v>44250</v>
      </c>
      <c r="D1122" s="44">
        <v>202103</v>
      </c>
      <c r="E1122" s="44">
        <v>130</v>
      </c>
      <c r="F1122" s="44">
        <v>131</v>
      </c>
      <c r="G1122" s="44">
        <v>130</v>
      </c>
      <c r="H1122" s="44">
        <v>130.5</v>
      </c>
      <c r="I1122" s="44">
        <v>-1</v>
      </c>
      <c r="J1122" s="44">
        <v>-0.76</v>
      </c>
      <c r="K1122" s="44">
        <v>181</v>
      </c>
      <c r="L1122" s="44">
        <v>130.5</v>
      </c>
      <c r="M1122" s="44">
        <v>316</v>
      </c>
    </row>
    <row r="1123" spans="1:13" x14ac:dyDescent="0.25">
      <c r="A1123" s="45" t="s">
        <v>2152</v>
      </c>
      <c r="B1123" s="44" t="s">
        <v>4508</v>
      </c>
      <c r="C1123" s="47">
        <v>44250</v>
      </c>
      <c r="D1123" s="44">
        <v>202104</v>
      </c>
      <c r="E1123" s="44">
        <v>131</v>
      </c>
      <c r="F1123" s="44">
        <v>131</v>
      </c>
      <c r="G1123" s="44">
        <v>131</v>
      </c>
      <c r="H1123" s="44">
        <v>131</v>
      </c>
      <c r="I1123" s="44">
        <v>0</v>
      </c>
      <c r="J1123" s="44">
        <v>0</v>
      </c>
      <c r="K1123" s="44">
        <v>168</v>
      </c>
      <c r="L1123" s="44">
        <v>130</v>
      </c>
      <c r="M1123" s="44">
        <v>160</v>
      </c>
    </row>
    <row r="1124" spans="1:13" x14ac:dyDescent="0.25">
      <c r="A1124" s="45" t="s">
        <v>2153</v>
      </c>
      <c r="B1124" s="44" t="s">
        <v>4509</v>
      </c>
      <c r="C1124" s="47">
        <v>44250</v>
      </c>
      <c r="D1124" s="44">
        <v>202104</v>
      </c>
      <c r="E1124" s="44">
        <v>131</v>
      </c>
      <c r="F1124" s="44">
        <v>131</v>
      </c>
      <c r="G1124" s="44">
        <v>131</v>
      </c>
      <c r="H1124" s="44">
        <v>131</v>
      </c>
      <c r="I1124" s="44">
        <v>0</v>
      </c>
      <c r="J1124" s="44">
        <v>0</v>
      </c>
      <c r="K1124" s="44">
        <v>168</v>
      </c>
      <c r="L1124" s="44">
        <v>130</v>
      </c>
      <c r="M1124" s="44">
        <v>160</v>
      </c>
    </row>
    <row r="1125" spans="1:13" x14ac:dyDescent="0.25">
      <c r="A1125" s="45" t="s">
        <v>2154</v>
      </c>
      <c r="C1125" s="47"/>
    </row>
    <row r="1126" spans="1:13" x14ac:dyDescent="0.25">
      <c r="A1126" s="45" t="s">
        <v>2155</v>
      </c>
      <c r="C1126" s="47"/>
    </row>
    <row r="1127" spans="1:13" x14ac:dyDescent="0.25">
      <c r="A1127" s="45" t="s">
        <v>2156</v>
      </c>
      <c r="B1127" s="44" t="s">
        <v>4510</v>
      </c>
      <c r="C1127" s="47">
        <v>44250</v>
      </c>
      <c r="D1127" s="44">
        <v>202103</v>
      </c>
      <c r="E1127" s="44">
        <v>130</v>
      </c>
      <c r="F1127" s="44">
        <v>131</v>
      </c>
      <c r="G1127" s="44">
        <v>130</v>
      </c>
      <c r="H1127" s="44">
        <v>130.5</v>
      </c>
      <c r="I1127" s="44">
        <v>-1</v>
      </c>
      <c r="J1127" s="44">
        <v>-0.76</v>
      </c>
      <c r="K1127" s="44">
        <v>181</v>
      </c>
      <c r="L1127" s="44">
        <v>130.5</v>
      </c>
      <c r="M1127" s="44">
        <v>316</v>
      </c>
    </row>
    <row r="1128" spans="1:13" x14ac:dyDescent="0.25">
      <c r="A1128" s="45" t="s">
        <v>2157</v>
      </c>
      <c r="B1128" s="44" t="s">
        <v>4511</v>
      </c>
      <c r="C1128" s="47">
        <v>44250</v>
      </c>
      <c r="D1128" s="44">
        <v>202106</v>
      </c>
      <c r="E1128" s="44">
        <v>130</v>
      </c>
      <c r="F1128" s="44">
        <v>130</v>
      </c>
      <c r="G1128" s="44">
        <v>130</v>
      </c>
      <c r="H1128" s="44">
        <v>130</v>
      </c>
      <c r="I1128" s="44">
        <v>-1</v>
      </c>
      <c r="J1128" s="44">
        <v>-0.76</v>
      </c>
      <c r="K1128" s="44">
        <v>0</v>
      </c>
      <c r="L1128" s="44">
        <v>130</v>
      </c>
      <c r="M1128" s="44">
        <v>2</v>
      </c>
    </row>
    <row r="1129" spans="1:13" x14ac:dyDescent="0.25">
      <c r="A1129" s="45" t="s">
        <v>2158</v>
      </c>
      <c r="B1129" s="44" t="s">
        <v>4512</v>
      </c>
      <c r="C1129" s="47">
        <v>44250</v>
      </c>
      <c r="D1129" s="44">
        <v>202109</v>
      </c>
      <c r="E1129" s="44">
        <v>130.5</v>
      </c>
      <c r="F1129" s="44">
        <v>130.5</v>
      </c>
      <c r="G1129" s="44">
        <v>130.5</v>
      </c>
      <c r="H1129" s="44">
        <v>130.5</v>
      </c>
      <c r="I1129" s="44">
        <v>-1</v>
      </c>
      <c r="J1129" s="44">
        <v>-0.76</v>
      </c>
      <c r="K1129" s="44">
        <v>0</v>
      </c>
      <c r="L1129" s="44">
        <v>130.5</v>
      </c>
      <c r="M1129" s="44">
        <v>0</v>
      </c>
    </row>
    <row r="1130" spans="1:13" x14ac:dyDescent="0.25">
      <c r="A1130" s="45" t="s">
        <v>2159</v>
      </c>
      <c r="B1130" s="44" t="s">
        <v>4513</v>
      </c>
      <c r="C1130" s="47">
        <v>44250</v>
      </c>
      <c r="D1130" s="44">
        <v>202112</v>
      </c>
      <c r="E1130" s="44">
        <v>130.5</v>
      </c>
      <c r="F1130" s="44">
        <v>130.5</v>
      </c>
      <c r="G1130" s="44">
        <v>130.5</v>
      </c>
      <c r="H1130" s="44">
        <v>130.5</v>
      </c>
      <c r="I1130" s="44">
        <v>-1</v>
      </c>
      <c r="J1130" s="44">
        <v>-0.76</v>
      </c>
      <c r="K1130" s="44">
        <v>0</v>
      </c>
      <c r="L1130" s="44">
        <v>130.5</v>
      </c>
      <c r="M1130" s="44">
        <v>0</v>
      </c>
    </row>
    <row r="1131" spans="1:13" x14ac:dyDescent="0.25">
      <c r="A1131" s="45" t="s">
        <v>1027</v>
      </c>
      <c r="B1131" s="44" t="s">
        <v>4514</v>
      </c>
      <c r="C1131" s="47">
        <v>44250</v>
      </c>
      <c r="D1131" s="44">
        <v>202103</v>
      </c>
      <c r="E1131" s="44">
        <v>35.5</v>
      </c>
      <c r="F1131" s="44">
        <v>36.5</v>
      </c>
      <c r="G1131" s="44">
        <v>35.200000000000003</v>
      </c>
      <c r="H1131" s="44">
        <v>36.25</v>
      </c>
      <c r="I1131" s="44">
        <v>0.7</v>
      </c>
      <c r="J1131" s="44">
        <v>1.97</v>
      </c>
      <c r="K1131" s="44">
        <v>101</v>
      </c>
      <c r="L1131" s="44">
        <v>36.25</v>
      </c>
      <c r="M1131" s="44">
        <v>399</v>
      </c>
    </row>
    <row r="1132" spans="1:13" x14ac:dyDescent="0.25">
      <c r="A1132" s="45" t="s">
        <v>2160</v>
      </c>
      <c r="B1132" s="44" t="s">
        <v>4515</v>
      </c>
      <c r="C1132" s="47">
        <v>44250</v>
      </c>
      <c r="D1132" s="44">
        <v>202103</v>
      </c>
      <c r="E1132" s="44">
        <v>35.5</v>
      </c>
      <c r="F1132" s="44">
        <v>36.5</v>
      </c>
      <c r="G1132" s="44">
        <v>35.200000000000003</v>
      </c>
      <c r="H1132" s="44">
        <v>36.25</v>
      </c>
      <c r="I1132" s="44">
        <v>0.7</v>
      </c>
      <c r="J1132" s="44">
        <v>1.97</v>
      </c>
      <c r="K1132" s="44">
        <v>101</v>
      </c>
      <c r="L1132" s="44">
        <v>36.25</v>
      </c>
      <c r="M1132" s="44">
        <v>399</v>
      </c>
    </row>
    <row r="1133" spans="1:13" x14ac:dyDescent="0.25">
      <c r="A1133" s="45" t="s">
        <v>2161</v>
      </c>
      <c r="B1133" s="44" t="s">
        <v>4516</v>
      </c>
      <c r="C1133" s="47">
        <v>44250</v>
      </c>
      <c r="D1133" s="44">
        <v>202104</v>
      </c>
      <c r="E1133" s="44">
        <v>36.299999999999997</v>
      </c>
      <c r="F1133" s="44">
        <v>36.299999999999997</v>
      </c>
      <c r="G1133" s="44">
        <v>36.299999999999997</v>
      </c>
      <c r="H1133" s="44">
        <v>36.299999999999997</v>
      </c>
      <c r="I1133" s="44">
        <v>0.7</v>
      </c>
      <c r="J1133" s="44">
        <v>1.97</v>
      </c>
      <c r="K1133" s="44">
        <v>0</v>
      </c>
      <c r="L1133" s="44">
        <v>36.299999999999997</v>
      </c>
      <c r="M1133" s="44">
        <v>7</v>
      </c>
    </row>
    <row r="1134" spans="1:13" x14ac:dyDescent="0.25">
      <c r="A1134" s="45" t="s">
        <v>2162</v>
      </c>
      <c r="B1134" s="44" t="s">
        <v>4517</v>
      </c>
      <c r="C1134" s="47">
        <v>44250</v>
      </c>
      <c r="D1134" s="44">
        <v>202104</v>
      </c>
      <c r="E1134" s="44">
        <v>36.299999999999997</v>
      </c>
      <c r="F1134" s="44">
        <v>36.299999999999997</v>
      </c>
      <c r="G1134" s="44">
        <v>36.299999999999997</v>
      </c>
      <c r="H1134" s="44">
        <v>36.299999999999997</v>
      </c>
      <c r="I1134" s="44">
        <v>0.7</v>
      </c>
      <c r="J1134" s="44">
        <v>1.97</v>
      </c>
      <c r="K1134" s="44">
        <v>0</v>
      </c>
      <c r="L1134" s="44">
        <v>36.299999999999997</v>
      </c>
      <c r="M1134" s="44">
        <v>7</v>
      </c>
    </row>
    <row r="1135" spans="1:13" x14ac:dyDescent="0.25">
      <c r="A1135" s="45" t="s">
        <v>2163</v>
      </c>
      <c r="C1135" s="47"/>
    </row>
    <row r="1136" spans="1:13" x14ac:dyDescent="0.25">
      <c r="A1136" s="45" t="s">
        <v>2164</v>
      </c>
      <c r="C1136" s="47"/>
    </row>
    <row r="1137" spans="1:13" x14ac:dyDescent="0.25">
      <c r="A1137" s="45" t="s">
        <v>2165</v>
      </c>
      <c r="B1137" s="44" t="s">
        <v>4518</v>
      </c>
      <c r="C1137" s="47">
        <v>44250</v>
      </c>
      <c r="D1137" s="44">
        <v>202103</v>
      </c>
      <c r="E1137" s="44">
        <v>35.5</v>
      </c>
      <c r="F1137" s="44">
        <v>36.5</v>
      </c>
      <c r="G1137" s="44">
        <v>35.200000000000003</v>
      </c>
      <c r="H1137" s="44">
        <v>36.25</v>
      </c>
      <c r="I1137" s="44">
        <v>0.7</v>
      </c>
      <c r="J1137" s="44">
        <v>1.97</v>
      </c>
      <c r="K1137" s="44">
        <v>101</v>
      </c>
      <c r="L1137" s="44">
        <v>36.25</v>
      </c>
      <c r="M1137" s="44">
        <v>399</v>
      </c>
    </row>
    <row r="1138" spans="1:13" x14ac:dyDescent="0.25">
      <c r="A1138" s="45" t="s">
        <v>2166</v>
      </c>
      <c r="B1138" s="44" t="s">
        <v>4519</v>
      </c>
      <c r="C1138" s="47">
        <v>44250</v>
      </c>
      <c r="D1138" s="44">
        <v>202106</v>
      </c>
      <c r="E1138" s="44">
        <v>35.85</v>
      </c>
      <c r="F1138" s="44">
        <v>35.85</v>
      </c>
      <c r="G1138" s="44">
        <v>35.85</v>
      </c>
      <c r="H1138" s="44">
        <v>35.85</v>
      </c>
      <c r="I1138" s="44">
        <v>0.7</v>
      </c>
      <c r="J1138" s="44">
        <v>1.99</v>
      </c>
      <c r="K1138" s="44">
        <v>0</v>
      </c>
      <c r="L1138" s="44">
        <v>35.85</v>
      </c>
      <c r="M1138" s="44">
        <v>0</v>
      </c>
    </row>
    <row r="1139" spans="1:13" x14ac:dyDescent="0.25">
      <c r="A1139" s="45" t="s">
        <v>2167</v>
      </c>
      <c r="B1139" s="44" t="s">
        <v>4520</v>
      </c>
      <c r="C1139" s="47">
        <v>44250</v>
      </c>
      <c r="D1139" s="44">
        <v>202109</v>
      </c>
      <c r="E1139" s="44">
        <v>36.049999999999997</v>
      </c>
      <c r="F1139" s="44">
        <v>36.049999999999997</v>
      </c>
      <c r="G1139" s="44">
        <v>36.049999999999997</v>
      </c>
      <c r="H1139" s="44">
        <v>36.049999999999997</v>
      </c>
      <c r="I1139" s="44">
        <v>0.7</v>
      </c>
      <c r="J1139" s="44">
        <v>1.98</v>
      </c>
      <c r="K1139" s="44">
        <v>0</v>
      </c>
      <c r="L1139" s="44">
        <v>36.049999999999997</v>
      </c>
      <c r="M1139" s="44">
        <v>0</v>
      </c>
    </row>
    <row r="1140" spans="1:13" x14ac:dyDescent="0.25">
      <c r="A1140" s="45" t="s">
        <v>2168</v>
      </c>
      <c r="B1140" s="44" t="s">
        <v>4521</v>
      </c>
      <c r="C1140" s="47">
        <v>44250</v>
      </c>
      <c r="D1140" s="44">
        <v>202112</v>
      </c>
      <c r="E1140" s="44">
        <v>36.1</v>
      </c>
      <c r="F1140" s="44">
        <v>36.1</v>
      </c>
      <c r="G1140" s="44">
        <v>36.1</v>
      </c>
      <c r="H1140" s="44">
        <v>36.1</v>
      </c>
      <c r="I1140" s="44">
        <v>0.7</v>
      </c>
      <c r="J1140" s="44">
        <v>1.98</v>
      </c>
      <c r="K1140" s="44">
        <v>0</v>
      </c>
      <c r="L1140" s="44">
        <v>36.1</v>
      </c>
      <c r="M1140" s="44">
        <v>0</v>
      </c>
    </row>
    <row r="1141" spans="1:13" x14ac:dyDescent="0.25">
      <c r="A1141" s="45" t="s">
        <v>1030</v>
      </c>
      <c r="B1141" s="44" t="s">
        <v>4522</v>
      </c>
      <c r="C1141" s="47">
        <v>44250</v>
      </c>
      <c r="D1141" s="44">
        <v>202103</v>
      </c>
      <c r="E1141" s="44">
        <v>479</v>
      </c>
      <c r="F1141" s="44">
        <v>479</v>
      </c>
      <c r="G1141" s="44">
        <v>458</v>
      </c>
      <c r="H1141" s="44">
        <v>463.5</v>
      </c>
      <c r="I1141" s="44">
        <v>-19</v>
      </c>
      <c r="J1141" s="44">
        <v>-3.94</v>
      </c>
      <c r="K1141" s="44">
        <v>871</v>
      </c>
      <c r="L1141" s="44">
        <v>463.5</v>
      </c>
      <c r="M1141" s="44">
        <v>466</v>
      </c>
    </row>
    <row r="1142" spans="1:13" x14ac:dyDescent="0.25">
      <c r="A1142" s="45" t="s">
        <v>2169</v>
      </c>
      <c r="B1142" s="44" t="s">
        <v>4523</v>
      </c>
      <c r="C1142" s="47">
        <v>44250</v>
      </c>
      <c r="D1142" s="44">
        <v>202103</v>
      </c>
      <c r="E1142" s="44">
        <v>479</v>
      </c>
      <c r="F1142" s="44">
        <v>479</v>
      </c>
      <c r="G1142" s="44">
        <v>458</v>
      </c>
      <c r="H1142" s="44">
        <v>463.5</v>
      </c>
      <c r="I1142" s="44">
        <v>-19</v>
      </c>
      <c r="J1142" s="44">
        <v>-3.94</v>
      </c>
      <c r="K1142" s="44">
        <v>871</v>
      </c>
      <c r="L1142" s="44">
        <v>463.5</v>
      </c>
      <c r="M1142" s="44">
        <v>466</v>
      </c>
    </row>
    <row r="1143" spans="1:13" x14ac:dyDescent="0.25">
      <c r="A1143" s="45" t="s">
        <v>2170</v>
      </c>
      <c r="B1143" s="44" t="s">
        <v>4524</v>
      </c>
      <c r="C1143" s="47">
        <v>44250</v>
      </c>
      <c r="D1143" s="44">
        <v>202104</v>
      </c>
      <c r="E1143" s="44">
        <v>464.5</v>
      </c>
      <c r="F1143" s="44">
        <v>465</v>
      </c>
      <c r="G1143" s="44">
        <v>457</v>
      </c>
      <c r="H1143" s="44">
        <v>462.5</v>
      </c>
      <c r="I1143" s="44">
        <v>-17.5</v>
      </c>
      <c r="J1143" s="44">
        <v>-3.65</v>
      </c>
      <c r="K1143" s="44">
        <v>9</v>
      </c>
      <c r="L1143" s="44">
        <v>462.5</v>
      </c>
      <c r="M1143" s="44">
        <v>10</v>
      </c>
    </row>
    <row r="1144" spans="1:13" x14ac:dyDescent="0.25">
      <c r="A1144" s="45" t="s">
        <v>2171</v>
      </c>
      <c r="B1144" s="44" t="s">
        <v>4525</v>
      </c>
      <c r="C1144" s="47">
        <v>44250</v>
      </c>
      <c r="D1144" s="44">
        <v>202104</v>
      </c>
      <c r="E1144" s="44">
        <v>464.5</v>
      </c>
      <c r="F1144" s="44">
        <v>465</v>
      </c>
      <c r="G1144" s="44">
        <v>457</v>
      </c>
      <c r="H1144" s="44">
        <v>462.5</v>
      </c>
      <c r="I1144" s="44">
        <v>-17.5</v>
      </c>
      <c r="J1144" s="44">
        <v>-3.65</v>
      </c>
      <c r="K1144" s="44">
        <v>9</v>
      </c>
      <c r="L1144" s="44">
        <v>462.5</v>
      </c>
      <c r="M1144" s="44">
        <v>10</v>
      </c>
    </row>
    <row r="1145" spans="1:13" x14ac:dyDescent="0.25">
      <c r="A1145" s="45" t="s">
        <v>2172</v>
      </c>
      <c r="C1145" s="47"/>
    </row>
    <row r="1146" spans="1:13" x14ac:dyDescent="0.25">
      <c r="A1146" s="45" t="s">
        <v>2173</v>
      </c>
      <c r="C1146" s="47"/>
    </row>
    <row r="1147" spans="1:13" x14ac:dyDescent="0.25">
      <c r="A1147" s="45" t="s">
        <v>2174</v>
      </c>
      <c r="B1147" s="44" t="s">
        <v>4526</v>
      </c>
      <c r="C1147" s="47">
        <v>44250</v>
      </c>
      <c r="D1147" s="44">
        <v>202103</v>
      </c>
      <c r="E1147" s="44">
        <v>479</v>
      </c>
      <c r="F1147" s="44">
        <v>479</v>
      </c>
      <c r="G1147" s="44">
        <v>458</v>
      </c>
      <c r="H1147" s="44">
        <v>463.5</v>
      </c>
      <c r="I1147" s="44">
        <v>-19</v>
      </c>
      <c r="J1147" s="44">
        <v>-3.94</v>
      </c>
      <c r="K1147" s="44">
        <v>871</v>
      </c>
      <c r="L1147" s="44">
        <v>463.5</v>
      </c>
      <c r="M1147" s="44">
        <v>466</v>
      </c>
    </row>
    <row r="1148" spans="1:13" x14ac:dyDescent="0.25">
      <c r="A1148" s="45" t="s">
        <v>2175</v>
      </c>
      <c r="B1148" s="44" t="s">
        <v>4527</v>
      </c>
      <c r="C1148" s="47">
        <v>44250</v>
      </c>
      <c r="D1148" s="44">
        <v>202106</v>
      </c>
      <c r="E1148" s="44">
        <v>459</v>
      </c>
      <c r="F1148" s="44">
        <v>459</v>
      </c>
      <c r="G1148" s="44">
        <v>459</v>
      </c>
      <c r="H1148" s="44">
        <v>459</v>
      </c>
      <c r="I1148" s="44">
        <v>-19</v>
      </c>
      <c r="J1148" s="44">
        <v>-3.97</v>
      </c>
      <c r="K1148" s="44">
        <v>0</v>
      </c>
      <c r="L1148" s="44">
        <v>459</v>
      </c>
      <c r="M1148" s="44">
        <v>2</v>
      </c>
    </row>
    <row r="1149" spans="1:13" x14ac:dyDescent="0.25">
      <c r="A1149" s="45" t="s">
        <v>2176</v>
      </c>
      <c r="B1149" s="44" t="s">
        <v>4528</v>
      </c>
      <c r="C1149" s="47">
        <v>44250</v>
      </c>
      <c r="D1149" s="44">
        <v>202109</v>
      </c>
      <c r="E1149" s="44">
        <v>458.5</v>
      </c>
      <c r="F1149" s="44">
        <v>458.5</v>
      </c>
      <c r="G1149" s="44">
        <v>458.5</v>
      </c>
      <c r="H1149" s="44">
        <v>458.5</v>
      </c>
      <c r="I1149" s="44">
        <v>-19</v>
      </c>
      <c r="J1149" s="44">
        <v>-3.98</v>
      </c>
      <c r="K1149" s="44">
        <v>0</v>
      </c>
      <c r="L1149" s="44">
        <v>458.5</v>
      </c>
      <c r="M1149" s="44">
        <v>1</v>
      </c>
    </row>
    <row r="1150" spans="1:13" x14ac:dyDescent="0.25">
      <c r="A1150" s="45" t="s">
        <v>2177</v>
      </c>
      <c r="B1150" s="44" t="s">
        <v>4529</v>
      </c>
      <c r="C1150" s="47">
        <v>44250</v>
      </c>
      <c r="D1150" s="44">
        <v>202112</v>
      </c>
      <c r="E1150" s="44">
        <v>457.5</v>
      </c>
      <c r="F1150" s="44">
        <v>457.5</v>
      </c>
      <c r="G1150" s="44">
        <v>457.5</v>
      </c>
      <c r="H1150" s="44">
        <v>457.5</v>
      </c>
      <c r="I1150" s="44">
        <v>-19</v>
      </c>
      <c r="J1150" s="44">
        <v>-3.99</v>
      </c>
      <c r="K1150" s="44">
        <v>0</v>
      </c>
      <c r="L1150" s="44">
        <v>457.5</v>
      </c>
      <c r="M1150" s="44">
        <v>0</v>
      </c>
    </row>
    <row r="1151" spans="1:13" x14ac:dyDescent="0.25">
      <c r="A1151" s="45" t="s">
        <v>1035</v>
      </c>
      <c r="B1151" s="44" t="s">
        <v>4530</v>
      </c>
      <c r="C1151" s="47">
        <v>44250</v>
      </c>
      <c r="D1151" s="44">
        <v>202103</v>
      </c>
      <c r="E1151" s="44">
        <v>527</v>
      </c>
      <c r="F1151" s="44">
        <v>527</v>
      </c>
      <c r="G1151" s="44">
        <v>519</v>
      </c>
      <c r="H1151" s="44">
        <v>526</v>
      </c>
      <c r="I1151" s="44">
        <v>-9</v>
      </c>
      <c r="J1151" s="44">
        <v>-1.68</v>
      </c>
      <c r="K1151" s="44">
        <v>163</v>
      </c>
      <c r="L1151" s="44">
        <v>526</v>
      </c>
      <c r="M1151" s="44">
        <v>322</v>
      </c>
    </row>
    <row r="1152" spans="1:13" x14ac:dyDescent="0.25">
      <c r="A1152" s="45" t="s">
        <v>2178</v>
      </c>
      <c r="B1152" s="44" t="s">
        <v>4531</v>
      </c>
      <c r="C1152" s="47">
        <v>44250</v>
      </c>
      <c r="D1152" s="44">
        <v>202103</v>
      </c>
      <c r="E1152" s="44">
        <v>527</v>
      </c>
      <c r="F1152" s="44">
        <v>527</v>
      </c>
      <c r="G1152" s="44">
        <v>519</v>
      </c>
      <c r="H1152" s="44">
        <v>526</v>
      </c>
      <c r="I1152" s="44">
        <v>-9</v>
      </c>
      <c r="J1152" s="44">
        <v>-1.68</v>
      </c>
      <c r="K1152" s="44">
        <v>163</v>
      </c>
      <c r="L1152" s="44">
        <v>526</v>
      </c>
      <c r="M1152" s="44">
        <v>322</v>
      </c>
    </row>
    <row r="1153" spans="1:13" x14ac:dyDescent="0.25">
      <c r="A1153" s="45" t="s">
        <v>2179</v>
      </c>
      <c r="B1153" s="44" t="s">
        <v>4532</v>
      </c>
      <c r="C1153" s="47">
        <v>44250</v>
      </c>
      <c r="D1153" s="44">
        <v>202104</v>
      </c>
      <c r="E1153" s="44">
        <v>519</v>
      </c>
      <c r="F1153" s="44">
        <v>519</v>
      </c>
      <c r="G1153" s="44">
        <v>519</v>
      </c>
      <c r="H1153" s="44">
        <v>519</v>
      </c>
      <c r="I1153" s="44">
        <v>-15</v>
      </c>
      <c r="J1153" s="44">
        <v>-2.81</v>
      </c>
      <c r="K1153" s="44">
        <v>111</v>
      </c>
      <c r="L1153" s="44">
        <v>526</v>
      </c>
      <c r="M1153" s="44">
        <v>125</v>
      </c>
    </row>
    <row r="1154" spans="1:13" x14ac:dyDescent="0.25">
      <c r="A1154" s="45" t="s">
        <v>2180</v>
      </c>
      <c r="B1154" s="44" t="s">
        <v>4533</v>
      </c>
      <c r="C1154" s="47">
        <v>44250</v>
      </c>
      <c r="D1154" s="44">
        <v>202104</v>
      </c>
      <c r="E1154" s="44">
        <v>519</v>
      </c>
      <c r="F1154" s="44">
        <v>519</v>
      </c>
      <c r="G1154" s="44">
        <v>519</v>
      </c>
      <c r="H1154" s="44">
        <v>519</v>
      </c>
      <c r="I1154" s="44">
        <v>-15</v>
      </c>
      <c r="J1154" s="44">
        <v>-2.81</v>
      </c>
      <c r="K1154" s="44">
        <v>111</v>
      </c>
      <c r="L1154" s="44">
        <v>526</v>
      </c>
      <c r="M1154" s="44">
        <v>125</v>
      </c>
    </row>
    <row r="1155" spans="1:13" x14ac:dyDescent="0.25">
      <c r="A1155" s="45" t="s">
        <v>2181</v>
      </c>
      <c r="C1155" s="47"/>
    </row>
    <row r="1156" spans="1:13" x14ac:dyDescent="0.25">
      <c r="A1156" s="45" t="s">
        <v>2182</v>
      </c>
      <c r="C1156" s="47"/>
    </row>
    <row r="1157" spans="1:13" x14ac:dyDescent="0.25">
      <c r="A1157" s="45" t="s">
        <v>2183</v>
      </c>
      <c r="B1157" s="44" t="s">
        <v>4534</v>
      </c>
      <c r="C1157" s="47">
        <v>44250</v>
      </c>
      <c r="D1157" s="44">
        <v>202103</v>
      </c>
      <c r="E1157" s="44">
        <v>527</v>
      </c>
      <c r="F1157" s="44">
        <v>527</v>
      </c>
      <c r="G1157" s="44">
        <v>519</v>
      </c>
      <c r="H1157" s="44">
        <v>526</v>
      </c>
      <c r="I1157" s="44">
        <v>-9</v>
      </c>
      <c r="J1157" s="44">
        <v>-1.68</v>
      </c>
      <c r="K1157" s="44">
        <v>163</v>
      </c>
      <c r="L1157" s="44">
        <v>526</v>
      </c>
      <c r="M1157" s="44">
        <v>322</v>
      </c>
    </row>
    <row r="1158" spans="1:13" x14ac:dyDescent="0.25">
      <c r="A1158" s="45" t="s">
        <v>2184</v>
      </c>
      <c r="B1158" s="44" t="s">
        <v>4535</v>
      </c>
      <c r="C1158" s="47">
        <v>44250</v>
      </c>
      <c r="D1158" s="44">
        <v>202106</v>
      </c>
      <c r="E1158" s="44">
        <v>524</v>
      </c>
      <c r="F1158" s="44">
        <v>524</v>
      </c>
      <c r="G1158" s="44">
        <v>524</v>
      </c>
      <c r="H1158" s="44">
        <v>524</v>
      </c>
      <c r="I1158" s="44">
        <v>-8</v>
      </c>
      <c r="J1158" s="44">
        <v>-1.5</v>
      </c>
      <c r="K1158" s="44">
        <v>0</v>
      </c>
      <c r="L1158" s="44">
        <v>524</v>
      </c>
      <c r="M1158" s="44">
        <v>1</v>
      </c>
    </row>
    <row r="1159" spans="1:13" x14ac:dyDescent="0.25">
      <c r="A1159" s="45" t="s">
        <v>2185</v>
      </c>
      <c r="B1159" s="44" t="s">
        <v>4536</v>
      </c>
      <c r="C1159" s="47">
        <v>44250</v>
      </c>
      <c r="D1159" s="44">
        <v>202109</v>
      </c>
      <c r="E1159" s="44">
        <v>522</v>
      </c>
      <c r="F1159" s="44">
        <v>522</v>
      </c>
      <c r="G1159" s="44">
        <v>522</v>
      </c>
      <c r="H1159" s="44">
        <v>522</v>
      </c>
      <c r="I1159" s="44">
        <v>-9</v>
      </c>
      <c r="J1159" s="44">
        <v>-1.69</v>
      </c>
      <c r="K1159" s="44">
        <v>0</v>
      </c>
      <c r="L1159" s="44">
        <v>522</v>
      </c>
      <c r="M1159" s="44">
        <v>0</v>
      </c>
    </row>
    <row r="1160" spans="1:13" x14ac:dyDescent="0.25">
      <c r="A1160" s="45" t="s">
        <v>2186</v>
      </c>
      <c r="B1160" s="44" t="s">
        <v>4537</v>
      </c>
      <c r="C1160" s="47">
        <v>44250</v>
      </c>
      <c r="D1160" s="44">
        <v>202112</v>
      </c>
      <c r="E1160" s="44">
        <v>524</v>
      </c>
      <c r="F1160" s="44">
        <v>524</v>
      </c>
      <c r="G1160" s="44">
        <v>524</v>
      </c>
      <c r="H1160" s="44">
        <v>524</v>
      </c>
      <c r="I1160" s="44">
        <v>-8</v>
      </c>
      <c r="J1160" s="44">
        <v>-1.5</v>
      </c>
      <c r="K1160" s="44">
        <v>0</v>
      </c>
      <c r="L1160" s="44">
        <v>524</v>
      </c>
      <c r="M1160" s="44">
        <v>0</v>
      </c>
    </row>
    <row r="1161" spans="1:13" x14ac:dyDescent="0.25">
      <c r="A1161" s="45" t="s">
        <v>1038</v>
      </c>
      <c r="B1161" s="44" t="s">
        <v>4538</v>
      </c>
      <c r="C1161" s="47">
        <v>44250</v>
      </c>
      <c r="D1161" s="44">
        <v>202103</v>
      </c>
      <c r="E1161" s="44">
        <v>342.5</v>
      </c>
      <c r="F1161" s="44">
        <v>342.5</v>
      </c>
      <c r="G1161" s="44">
        <v>328.5</v>
      </c>
      <c r="H1161" s="44">
        <v>333.5</v>
      </c>
      <c r="I1161" s="44">
        <v>-9.5</v>
      </c>
      <c r="J1161" s="44">
        <v>-2.77</v>
      </c>
      <c r="K1161" s="44">
        <v>76</v>
      </c>
      <c r="L1161" s="44">
        <v>333.5</v>
      </c>
      <c r="M1161" s="44">
        <v>113</v>
      </c>
    </row>
    <row r="1162" spans="1:13" x14ac:dyDescent="0.25">
      <c r="A1162" s="45" t="s">
        <v>2187</v>
      </c>
      <c r="B1162" s="44" t="s">
        <v>4539</v>
      </c>
      <c r="C1162" s="47">
        <v>44250</v>
      </c>
      <c r="D1162" s="44">
        <v>202103</v>
      </c>
      <c r="E1162" s="44">
        <v>342.5</v>
      </c>
      <c r="F1162" s="44">
        <v>342.5</v>
      </c>
      <c r="G1162" s="44">
        <v>328.5</v>
      </c>
      <c r="H1162" s="44">
        <v>333.5</v>
      </c>
      <c r="I1162" s="44">
        <v>-9.5</v>
      </c>
      <c r="J1162" s="44">
        <v>-2.77</v>
      </c>
      <c r="K1162" s="44">
        <v>76</v>
      </c>
      <c r="L1162" s="44">
        <v>333.5</v>
      </c>
      <c r="M1162" s="44">
        <v>113</v>
      </c>
    </row>
    <row r="1163" spans="1:13" x14ac:dyDescent="0.25">
      <c r="A1163" s="45" t="s">
        <v>2188</v>
      </c>
      <c r="B1163" s="44" t="s">
        <v>4540</v>
      </c>
      <c r="C1163" s="47">
        <v>44250</v>
      </c>
      <c r="D1163" s="44">
        <v>202104</v>
      </c>
      <c r="E1163" s="44">
        <v>333.5</v>
      </c>
      <c r="F1163" s="44">
        <v>333.5</v>
      </c>
      <c r="G1163" s="44">
        <v>333.5</v>
      </c>
      <c r="H1163" s="44">
        <v>333.5</v>
      </c>
      <c r="I1163" s="44">
        <v>-9.5</v>
      </c>
      <c r="J1163" s="44">
        <v>-2.77</v>
      </c>
      <c r="K1163" s="44">
        <v>0</v>
      </c>
      <c r="L1163" s="44">
        <v>333.5</v>
      </c>
      <c r="M1163" s="44">
        <v>8</v>
      </c>
    </row>
    <row r="1164" spans="1:13" x14ac:dyDescent="0.25">
      <c r="A1164" s="45" t="s">
        <v>2189</v>
      </c>
      <c r="B1164" s="44" t="s">
        <v>4541</v>
      </c>
      <c r="C1164" s="47">
        <v>44250</v>
      </c>
      <c r="D1164" s="44">
        <v>202104</v>
      </c>
      <c r="E1164" s="44">
        <v>333.5</v>
      </c>
      <c r="F1164" s="44">
        <v>333.5</v>
      </c>
      <c r="G1164" s="44">
        <v>333.5</v>
      </c>
      <c r="H1164" s="44">
        <v>333.5</v>
      </c>
      <c r="I1164" s="44">
        <v>-9.5</v>
      </c>
      <c r="J1164" s="44">
        <v>-2.77</v>
      </c>
      <c r="K1164" s="44">
        <v>0</v>
      </c>
      <c r="L1164" s="44">
        <v>333.5</v>
      </c>
      <c r="M1164" s="44">
        <v>8</v>
      </c>
    </row>
    <row r="1165" spans="1:13" x14ac:dyDescent="0.25">
      <c r="A1165" s="45" t="s">
        <v>2190</v>
      </c>
      <c r="C1165" s="47"/>
    </row>
    <row r="1166" spans="1:13" x14ac:dyDescent="0.25">
      <c r="A1166" s="45" t="s">
        <v>2191</v>
      </c>
      <c r="C1166" s="47"/>
    </row>
    <row r="1167" spans="1:13" x14ac:dyDescent="0.25">
      <c r="A1167" s="45" t="s">
        <v>2192</v>
      </c>
      <c r="B1167" s="44" t="s">
        <v>4542</v>
      </c>
      <c r="C1167" s="47">
        <v>44250</v>
      </c>
      <c r="D1167" s="44">
        <v>202103</v>
      </c>
      <c r="E1167" s="44">
        <v>342.5</v>
      </c>
      <c r="F1167" s="44">
        <v>342.5</v>
      </c>
      <c r="G1167" s="44">
        <v>328.5</v>
      </c>
      <c r="H1167" s="44">
        <v>333.5</v>
      </c>
      <c r="I1167" s="44">
        <v>-9.5</v>
      </c>
      <c r="J1167" s="44">
        <v>-2.77</v>
      </c>
      <c r="K1167" s="44">
        <v>76</v>
      </c>
      <c r="L1167" s="44">
        <v>333.5</v>
      </c>
      <c r="M1167" s="44">
        <v>113</v>
      </c>
    </row>
    <row r="1168" spans="1:13" x14ac:dyDescent="0.25">
      <c r="A1168" s="45" t="s">
        <v>2193</v>
      </c>
      <c r="B1168" s="44" t="s">
        <v>4543</v>
      </c>
      <c r="C1168" s="47">
        <v>44250</v>
      </c>
      <c r="D1168" s="44">
        <v>202106</v>
      </c>
      <c r="E1168" s="44">
        <v>330</v>
      </c>
      <c r="F1168" s="44">
        <v>330</v>
      </c>
      <c r="G1168" s="44">
        <v>330</v>
      </c>
      <c r="H1168" s="44">
        <v>330</v>
      </c>
      <c r="I1168" s="44">
        <v>-9.5</v>
      </c>
      <c r="J1168" s="44">
        <v>-2.8</v>
      </c>
      <c r="K1168" s="44">
        <v>0</v>
      </c>
      <c r="L1168" s="44">
        <v>330</v>
      </c>
      <c r="M1168" s="44">
        <v>0</v>
      </c>
    </row>
    <row r="1169" spans="1:13" x14ac:dyDescent="0.25">
      <c r="A1169" s="45" t="s">
        <v>2194</v>
      </c>
      <c r="B1169" s="44" t="s">
        <v>4544</v>
      </c>
      <c r="C1169" s="47">
        <v>44250</v>
      </c>
      <c r="D1169" s="44">
        <v>202109</v>
      </c>
      <c r="E1169" s="44">
        <v>331.5</v>
      </c>
      <c r="F1169" s="44">
        <v>331.5</v>
      </c>
      <c r="G1169" s="44">
        <v>331.5</v>
      </c>
      <c r="H1169" s="44">
        <v>331.5</v>
      </c>
      <c r="I1169" s="44">
        <v>-9.5</v>
      </c>
      <c r="J1169" s="44">
        <v>-2.79</v>
      </c>
      <c r="K1169" s="44">
        <v>0</v>
      </c>
      <c r="L1169" s="44">
        <v>331.5</v>
      </c>
      <c r="M1169" s="44">
        <v>3</v>
      </c>
    </row>
    <row r="1170" spans="1:13" x14ac:dyDescent="0.25">
      <c r="A1170" s="45" t="s">
        <v>2195</v>
      </c>
      <c r="B1170" s="44" t="s">
        <v>4545</v>
      </c>
      <c r="C1170" s="47">
        <v>44250</v>
      </c>
      <c r="D1170" s="44">
        <v>202112</v>
      </c>
      <c r="E1170" s="44">
        <v>331</v>
      </c>
      <c r="F1170" s="44">
        <v>331</v>
      </c>
      <c r="G1170" s="44">
        <v>331</v>
      </c>
      <c r="H1170" s="44">
        <v>331</v>
      </c>
      <c r="I1170" s="44">
        <v>-9.5</v>
      </c>
      <c r="J1170" s="44">
        <v>-2.79</v>
      </c>
      <c r="K1170" s="44">
        <v>0</v>
      </c>
      <c r="L1170" s="44">
        <v>331</v>
      </c>
      <c r="M1170" s="44">
        <v>0</v>
      </c>
    </row>
    <row r="1171" spans="1:13" x14ac:dyDescent="0.25">
      <c r="A1171" s="45" t="s">
        <v>1039</v>
      </c>
      <c r="B1171" s="44" t="s">
        <v>4546</v>
      </c>
      <c r="C1171" s="47">
        <v>44250</v>
      </c>
      <c r="D1171" s="44">
        <v>202103</v>
      </c>
      <c r="E1171" s="44">
        <v>45.5</v>
      </c>
      <c r="F1171" s="44">
        <v>45.95</v>
      </c>
      <c r="G1171" s="44">
        <v>45.15</v>
      </c>
      <c r="H1171" s="44">
        <v>45.9</v>
      </c>
      <c r="I1171" s="44">
        <v>0</v>
      </c>
      <c r="J1171" s="44">
        <v>0</v>
      </c>
      <c r="K1171" s="44">
        <v>80</v>
      </c>
      <c r="L1171" s="44">
        <v>45.9</v>
      </c>
      <c r="M1171" s="44">
        <v>457</v>
      </c>
    </row>
    <row r="1172" spans="1:13" x14ac:dyDescent="0.25">
      <c r="A1172" s="45" t="s">
        <v>2196</v>
      </c>
      <c r="B1172" s="44" t="s">
        <v>4547</v>
      </c>
      <c r="C1172" s="47">
        <v>44250</v>
      </c>
      <c r="D1172" s="44">
        <v>202103</v>
      </c>
      <c r="E1172" s="44">
        <v>45.5</v>
      </c>
      <c r="F1172" s="44">
        <v>45.95</v>
      </c>
      <c r="G1172" s="44">
        <v>45.15</v>
      </c>
      <c r="H1172" s="44">
        <v>45.9</v>
      </c>
      <c r="I1172" s="44">
        <v>0</v>
      </c>
      <c r="J1172" s="44">
        <v>0</v>
      </c>
      <c r="K1172" s="44">
        <v>80</v>
      </c>
      <c r="L1172" s="44">
        <v>45.9</v>
      </c>
      <c r="M1172" s="44">
        <v>457</v>
      </c>
    </row>
    <row r="1173" spans="1:13" x14ac:dyDescent="0.25">
      <c r="A1173" s="45" t="s">
        <v>2197</v>
      </c>
      <c r="B1173" s="44" t="s">
        <v>4548</v>
      </c>
      <c r="C1173" s="47">
        <v>44250</v>
      </c>
      <c r="D1173" s="44">
        <v>202104</v>
      </c>
      <c r="E1173" s="44">
        <v>45.4</v>
      </c>
      <c r="F1173" s="44">
        <v>45.55</v>
      </c>
      <c r="G1173" s="44">
        <v>45.4</v>
      </c>
      <c r="H1173" s="44">
        <v>45.55</v>
      </c>
      <c r="I1173" s="44">
        <v>-0.15</v>
      </c>
      <c r="J1173" s="44">
        <v>-0.33</v>
      </c>
      <c r="K1173" s="44">
        <v>4</v>
      </c>
      <c r="L1173" s="44">
        <v>45.8</v>
      </c>
      <c r="M1173" s="44">
        <v>20</v>
      </c>
    </row>
    <row r="1174" spans="1:13" x14ac:dyDescent="0.25">
      <c r="A1174" s="45" t="s">
        <v>2198</v>
      </c>
      <c r="B1174" s="44" t="s">
        <v>4549</v>
      </c>
      <c r="C1174" s="47">
        <v>44250</v>
      </c>
      <c r="D1174" s="44">
        <v>202104</v>
      </c>
      <c r="E1174" s="44">
        <v>45.4</v>
      </c>
      <c r="F1174" s="44">
        <v>45.55</v>
      </c>
      <c r="G1174" s="44">
        <v>45.4</v>
      </c>
      <c r="H1174" s="44">
        <v>45.55</v>
      </c>
      <c r="I1174" s="44">
        <v>-0.15</v>
      </c>
      <c r="J1174" s="44">
        <v>-0.33</v>
      </c>
      <c r="K1174" s="44">
        <v>4</v>
      </c>
      <c r="L1174" s="44">
        <v>45.8</v>
      </c>
      <c r="M1174" s="44">
        <v>20</v>
      </c>
    </row>
    <row r="1175" spans="1:13" x14ac:dyDescent="0.25">
      <c r="A1175" s="45" t="s">
        <v>2199</v>
      </c>
      <c r="C1175" s="47"/>
    </row>
    <row r="1176" spans="1:13" x14ac:dyDescent="0.25">
      <c r="A1176" s="45" t="s">
        <v>2200</v>
      </c>
      <c r="C1176" s="47"/>
    </row>
    <row r="1177" spans="1:13" x14ac:dyDescent="0.25">
      <c r="A1177" s="45" t="s">
        <v>2201</v>
      </c>
      <c r="B1177" s="44" t="s">
        <v>4550</v>
      </c>
      <c r="C1177" s="47">
        <v>44250</v>
      </c>
      <c r="D1177" s="44">
        <v>202103</v>
      </c>
      <c r="E1177" s="44">
        <v>45.5</v>
      </c>
      <c r="F1177" s="44">
        <v>45.95</v>
      </c>
      <c r="G1177" s="44">
        <v>45.15</v>
      </c>
      <c r="H1177" s="44">
        <v>45.9</v>
      </c>
      <c r="I1177" s="44">
        <v>0</v>
      </c>
      <c r="J1177" s="44">
        <v>0</v>
      </c>
      <c r="K1177" s="44">
        <v>80</v>
      </c>
      <c r="L1177" s="44">
        <v>45.9</v>
      </c>
      <c r="M1177" s="44">
        <v>457</v>
      </c>
    </row>
    <row r="1178" spans="1:13" x14ac:dyDescent="0.25">
      <c r="A1178" s="45" t="s">
        <v>2202</v>
      </c>
      <c r="B1178" s="44" t="s">
        <v>4551</v>
      </c>
      <c r="C1178" s="47">
        <v>44250</v>
      </c>
      <c r="D1178" s="44">
        <v>202106</v>
      </c>
      <c r="E1178" s="44">
        <v>45.65</v>
      </c>
      <c r="F1178" s="44">
        <v>45.65</v>
      </c>
      <c r="G1178" s="44">
        <v>45.65</v>
      </c>
      <c r="H1178" s="44">
        <v>45.65</v>
      </c>
      <c r="I1178" s="44">
        <v>0</v>
      </c>
      <c r="J1178" s="44">
        <v>0</v>
      </c>
      <c r="K1178" s="44">
        <v>0</v>
      </c>
      <c r="L1178" s="44">
        <v>45.65</v>
      </c>
      <c r="M1178" s="44">
        <v>5</v>
      </c>
    </row>
    <row r="1179" spans="1:13" x14ac:dyDescent="0.25">
      <c r="A1179" s="45" t="s">
        <v>2203</v>
      </c>
      <c r="B1179" s="44" t="s">
        <v>4552</v>
      </c>
      <c r="C1179" s="47">
        <v>44250</v>
      </c>
      <c r="D1179" s="44">
        <v>202109</v>
      </c>
      <c r="E1179" s="44">
        <v>45.85</v>
      </c>
      <c r="F1179" s="44">
        <v>45.85</v>
      </c>
      <c r="G1179" s="44">
        <v>45.85</v>
      </c>
      <c r="H1179" s="44">
        <v>45.85</v>
      </c>
      <c r="I1179" s="44">
        <v>0</v>
      </c>
      <c r="J1179" s="44">
        <v>0</v>
      </c>
      <c r="K1179" s="44">
        <v>0</v>
      </c>
      <c r="L1179" s="44">
        <v>45.85</v>
      </c>
      <c r="M1179" s="44">
        <v>6</v>
      </c>
    </row>
    <row r="1180" spans="1:13" x14ac:dyDescent="0.25">
      <c r="A1180" s="45" t="s">
        <v>2204</v>
      </c>
      <c r="B1180" s="44" t="s">
        <v>4553</v>
      </c>
      <c r="C1180" s="47">
        <v>44250</v>
      </c>
      <c r="D1180" s="44">
        <v>202112</v>
      </c>
      <c r="E1180" s="44">
        <v>45.9</v>
      </c>
      <c r="F1180" s="44">
        <v>45.9</v>
      </c>
      <c r="G1180" s="44">
        <v>45.9</v>
      </c>
      <c r="H1180" s="44">
        <v>45.9</v>
      </c>
      <c r="I1180" s="44">
        <v>0</v>
      </c>
      <c r="J1180" s="44">
        <v>0</v>
      </c>
      <c r="K1180" s="44">
        <v>0</v>
      </c>
      <c r="L1180" s="44">
        <v>45.9</v>
      </c>
      <c r="M1180" s="44">
        <v>0</v>
      </c>
    </row>
    <row r="1181" spans="1:13" x14ac:dyDescent="0.25">
      <c r="A1181" s="45" t="s">
        <v>1041</v>
      </c>
      <c r="B1181" s="44" t="s">
        <v>4554</v>
      </c>
      <c r="C1181" s="47">
        <v>44250</v>
      </c>
      <c r="D1181" s="44">
        <v>202103</v>
      </c>
      <c r="E1181" s="44">
        <v>44.9</v>
      </c>
      <c r="F1181" s="44">
        <v>45.2</v>
      </c>
      <c r="G1181" s="44">
        <v>44.75</v>
      </c>
      <c r="H1181" s="44">
        <v>45.2</v>
      </c>
      <c r="I1181" s="44">
        <v>0.6</v>
      </c>
      <c r="J1181" s="44">
        <v>1.35</v>
      </c>
      <c r="K1181" s="44">
        <v>15</v>
      </c>
      <c r="L1181" s="44">
        <v>45.2</v>
      </c>
      <c r="M1181" s="44">
        <v>97</v>
      </c>
    </row>
    <row r="1182" spans="1:13" x14ac:dyDescent="0.25">
      <c r="A1182" s="45" t="s">
        <v>2205</v>
      </c>
      <c r="B1182" s="44" t="s">
        <v>4555</v>
      </c>
      <c r="C1182" s="47">
        <v>44250</v>
      </c>
      <c r="D1182" s="44">
        <v>202103</v>
      </c>
      <c r="E1182" s="44">
        <v>44.9</v>
      </c>
      <c r="F1182" s="44">
        <v>45.2</v>
      </c>
      <c r="G1182" s="44">
        <v>44.75</v>
      </c>
      <c r="H1182" s="44">
        <v>45.2</v>
      </c>
      <c r="I1182" s="44">
        <v>0.6</v>
      </c>
      <c r="J1182" s="44">
        <v>1.35</v>
      </c>
      <c r="K1182" s="44">
        <v>15</v>
      </c>
      <c r="L1182" s="44">
        <v>45.2</v>
      </c>
      <c r="M1182" s="44">
        <v>97</v>
      </c>
    </row>
    <row r="1183" spans="1:13" x14ac:dyDescent="0.25">
      <c r="A1183" s="45" t="s">
        <v>2206</v>
      </c>
      <c r="B1183" s="44" t="s">
        <v>4556</v>
      </c>
      <c r="C1183" s="47">
        <v>44250</v>
      </c>
      <c r="D1183" s="44">
        <v>202104</v>
      </c>
      <c r="E1183" s="44">
        <v>45.05</v>
      </c>
      <c r="F1183" s="44">
        <v>45.05</v>
      </c>
      <c r="G1183" s="44">
        <v>45.05</v>
      </c>
      <c r="H1183" s="44">
        <v>45.05</v>
      </c>
      <c r="I1183" s="44">
        <v>0.6</v>
      </c>
      <c r="J1183" s="44">
        <v>1.35</v>
      </c>
      <c r="K1183" s="44">
        <v>0</v>
      </c>
      <c r="L1183" s="44">
        <v>45.05</v>
      </c>
      <c r="M1183" s="44">
        <v>3</v>
      </c>
    </row>
    <row r="1184" spans="1:13" x14ac:dyDescent="0.25">
      <c r="A1184" s="45" t="s">
        <v>2207</v>
      </c>
      <c r="B1184" s="44" t="s">
        <v>4557</v>
      </c>
      <c r="C1184" s="47">
        <v>44250</v>
      </c>
      <c r="D1184" s="44">
        <v>202104</v>
      </c>
      <c r="E1184" s="44">
        <v>45.05</v>
      </c>
      <c r="F1184" s="44">
        <v>45.05</v>
      </c>
      <c r="G1184" s="44">
        <v>45.05</v>
      </c>
      <c r="H1184" s="44">
        <v>45.05</v>
      </c>
      <c r="I1184" s="44">
        <v>0.6</v>
      </c>
      <c r="J1184" s="44">
        <v>1.35</v>
      </c>
      <c r="K1184" s="44">
        <v>0</v>
      </c>
      <c r="L1184" s="44">
        <v>45.05</v>
      </c>
      <c r="M1184" s="44">
        <v>3</v>
      </c>
    </row>
    <row r="1185" spans="1:13" x14ac:dyDescent="0.25">
      <c r="A1185" s="45" t="s">
        <v>2208</v>
      </c>
      <c r="C1185" s="47"/>
    </row>
    <row r="1186" spans="1:13" x14ac:dyDescent="0.25">
      <c r="A1186" s="45" t="s">
        <v>2209</v>
      </c>
      <c r="C1186" s="47"/>
    </row>
    <row r="1187" spans="1:13" x14ac:dyDescent="0.25">
      <c r="A1187" s="45" t="s">
        <v>2210</v>
      </c>
      <c r="B1187" s="44" t="s">
        <v>4558</v>
      </c>
      <c r="C1187" s="47">
        <v>44250</v>
      </c>
      <c r="D1187" s="44">
        <v>202103</v>
      </c>
      <c r="E1187" s="44">
        <v>44.9</v>
      </c>
      <c r="F1187" s="44">
        <v>45.2</v>
      </c>
      <c r="G1187" s="44">
        <v>44.75</v>
      </c>
      <c r="H1187" s="44">
        <v>45.2</v>
      </c>
      <c r="I1187" s="44">
        <v>0.6</v>
      </c>
      <c r="J1187" s="44">
        <v>1.35</v>
      </c>
      <c r="K1187" s="44">
        <v>15</v>
      </c>
      <c r="L1187" s="44">
        <v>45.2</v>
      </c>
      <c r="M1187" s="44">
        <v>97</v>
      </c>
    </row>
    <row r="1188" spans="1:13" x14ac:dyDescent="0.25">
      <c r="A1188" s="45" t="s">
        <v>2211</v>
      </c>
      <c r="B1188" s="44" t="s">
        <v>4559</v>
      </c>
      <c r="C1188" s="47">
        <v>44250</v>
      </c>
      <c r="D1188" s="44">
        <v>202106</v>
      </c>
      <c r="E1188" s="44">
        <v>45.05</v>
      </c>
      <c r="F1188" s="44">
        <v>45.05</v>
      </c>
      <c r="G1188" s="44">
        <v>45.05</v>
      </c>
      <c r="H1188" s="44">
        <v>45.05</v>
      </c>
      <c r="I1188" s="44">
        <v>0.6</v>
      </c>
      <c r="J1188" s="44">
        <v>1.35</v>
      </c>
      <c r="K1188" s="44">
        <v>0</v>
      </c>
      <c r="L1188" s="44">
        <v>45.05</v>
      </c>
      <c r="M1188" s="44">
        <v>0</v>
      </c>
    </row>
    <row r="1189" spans="1:13" x14ac:dyDescent="0.25">
      <c r="A1189" s="45" t="s">
        <v>2212</v>
      </c>
      <c r="B1189" s="44" t="s">
        <v>4560</v>
      </c>
      <c r="C1189" s="47">
        <v>44250</v>
      </c>
      <c r="D1189" s="44">
        <v>202109</v>
      </c>
      <c r="E1189" s="44">
        <v>45.15</v>
      </c>
      <c r="F1189" s="44">
        <v>45.15</v>
      </c>
      <c r="G1189" s="44">
        <v>45.15</v>
      </c>
      <c r="H1189" s="44">
        <v>45.15</v>
      </c>
      <c r="I1189" s="44">
        <v>0.6</v>
      </c>
      <c r="J1189" s="44">
        <v>1.35</v>
      </c>
      <c r="K1189" s="44">
        <v>0</v>
      </c>
      <c r="L1189" s="44">
        <v>45.15</v>
      </c>
      <c r="M1189" s="44">
        <v>0</v>
      </c>
    </row>
    <row r="1190" spans="1:13" x14ac:dyDescent="0.25">
      <c r="A1190" s="45" t="s">
        <v>2213</v>
      </c>
      <c r="B1190" s="44" t="s">
        <v>4561</v>
      </c>
      <c r="C1190" s="47">
        <v>44250</v>
      </c>
      <c r="D1190" s="44">
        <v>202112</v>
      </c>
      <c r="E1190" s="44">
        <v>45.1</v>
      </c>
      <c r="F1190" s="44">
        <v>45.1</v>
      </c>
      <c r="G1190" s="44">
        <v>45.1</v>
      </c>
      <c r="H1190" s="44">
        <v>45.1</v>
      </c>
      <c r="I1190" s="44">
        <v>0.6</v>
      </c>
      <c r="J1190" s="44">
        <v>1.35</v>
      </c>
      <c r="K1190" s="44">
        <v>0</v>
      </c>
      <c r="L1190" s="44">
        <v>45.1</v>
      </c>
      <c r="M1190" s="44">
        <v>0</v>
      </c>
    </row>
    <row r="1191" spans="1:13" x14ac:dyDescent="0.25">
      <c r="A1191" s="45" t="s">
        <v>1051</v>
      </c>
      <c r="B1191" s="44" t="s">
        <v>4562</v>
      </c>
      <c r="C1191" s="47">
        <v>44250</v>
      </c>
      <c r="D1191" s="44">
        <v>202103</v>
      </c>
      <c r="E1191" s="44">
        <v>75.599999999999994</v>
      </c>
      <c r="F1191" s="44">
        <v>75.599999999999994</v>
      </c>
      <c r="G1191" s="44">
        <v>74.900000000000006</v>
      </c>
      <c r="H1191" s="44">
        <v>75.3</v>
      </c>
      <c r="I1191" s="44">
        <v>-0.6</v>
      </c>
      <c r="J1191" s="44">
        <v>-0.79</v>
      </c>
      <c r="K1191" s="44">
        <v>390</v>
      </c>
      <c r="L1191" s="44">
        <v>75.3</v>
      </c>
      <c r="M1191" s="44">
        <v>1679</v>
      </c>
    </row>
    <row r="1192" spans="1:13" x14ac:dyDescent="0.25">
      <c r="A1192" s="45" t="s">
        <v>2214</v>
      </c>
      <c r="B1192" s="44" t="s">
        <v>4563</v>
      </c>
      <c r="C1192" s="47">
        <v>44250</v>
      </c>
      <c r="D1192" s="44">
        <v>202103</v>
      </c>
      <c r="E1192" s="44">
        <v>75.599999999999994</v>
      </c>
      <c r="F1192" s="44">
        <v>75.599999999999994</v>
      </c>
      <c r="G1192" s="44">
        <v>74.900000000000006</v>
      </c>
      <c r="H1192" s="44">
        <v>75.3</v>
      </c>
      <c r="I1192" s="44">
        <v>-0.6</v>
      </c>
      <c r="J1192" s="44">
        <v>-0.79</v>
      </c>
      <c r="K1192" s="44">
        <v>390</v>
      </c>
      <c r="L1192" s="44">
        <v>75.3</v>
      </c>
      <c r="M1192" s="44">
        <v>1679</v>
      </c>
    </row>
    <row r="1193" spans="1:13" x14ac:dyDescent="0.25">
      <c r="A1193" s="45" t="s">
        <v>2215</v>
      </c>
      <c r="B1193" s="44" t="s">
        <v>4564</v>
      </c>
      <c r="C1193" s="47">
        <v>44250</v>
      </c>
      <c r="D1193" s="44">
        <v>202104</v>
      </c>
      <c r="E1193" s="44">
        <v>75</v>
      </c>
      <c r="F1193" s="44">
        <v>75.5</v>
      </c>
      <c r="G1193" s="44">
        <v>74.8</v>
      </c>
      <c r="H1193" s="44">
        <v>75.2</v>
      </c>
      <c r="I1193" s="44">
        <v>-0.6</v>
      </c>
      <c r="J1193" s="44">
        <v>-0.79</v>
      </c>
      <c r="K1193" s="44">
        <v>22</v>
      </c>
      <c r="L1193" s="44">
        <v>75.2</v>
      </c>
      <c r="M1193" s="44">
        <v>86</v>
      </c>
    </row>
    <row r="1194" spans="1:13" x14ac:dyDescent="0.25">
      <c r="A1194" s="45" t="s">
        <v>2216</v>
      </c>
      <c r="B1194" s="44" t="s">
        <v>4565</v>
      </c>
      <c r="C1194" s="47">
        <v>44250</v>
      </c>
      <c r="D1194" s="44">
        <v>202104</v>
      </c>
      <c r="E1194" s="44">
        <v>75</v>
      </c>
      <c r="F1194" s="44">
        <v>75.5</v>
      </c>
      <c r="G1194" s="44">
        <v>74.8</v>
      </c>
      <c r="H1194" s="44">
        <v>75.2</v>
      </c>
      <c r="I1194" s="44">
        <v>-0.6</v>
      </c>
      <c r="J1194" s="44">
        <v>-0.79</v>
      </c>
      <c r="K1194" s="44">
        <v>22</v>
      </c>
      <c r="L1194" s="44">
        <v>75.2</v>
      </c>
      <c r="M1194" s="44">
        <v>86</v>
      </c>
    </row>
    <row r="1195" spans="1:13" x14ac:dyDescent="0.25">
      <c r="A1195" s="45" t="s">
        <v>2217</v>
      </c>
      <c r="C1195" s="47"/>
    </row>
    <row r="1196" spans="1:13" x14ac:dyDescent="0.25">
      <c r="A1196" s="45" t="s">
        <v>2218</v>
      </c>
      <c r="C1196" s="47"/>
    </row>
    <row r="1197" spans="1:13" x14ac:dyDescent="0.25">
      <c r="A1197" s="45" t="s">
        <v>2219</v>
      </c>
      <c r="B1197" s="44" t="s">
        <v>4566</v>
      </c>
      <c r="C1197" s="47">
        <v>44250</v>
      </c>
      <c r="D1197" s="44">
        <v>202103</v>
      </c>
      <c r="E1197" s="44">
        <v>75.599999999999994</v>
      </c>
      <c r="F1197" s="44">
        <v>75.599999999999994</v>
      </c>
      <c r="G1197" s="44">
        <v>74.900000000000006</v>
      </c>
      <c r="H1197" s="44">
        <v>75.3</v>
      </c>
      <c r="I1197" s="44">
        <v>-0.6</v>
      </c>
      <c r="J1197" s="44">
        <v>-0.79</v>
      </c>
      <c r="K1197" s="44">
        <v>390</v>
      </c>
      <c r="L1197" s="44">
        <v>75.3</v>
      </c>
      <c r="M1197" s="44">
        <v>1679</v>
      </c>
    </row>
    <row r="1198" spans="1:13" x14ac:dyDescent="0.25">
      <c r="A1198" s="45" t="s">
        <v>2220</v>
      </c>
      <c r="B1198" s="44" t="s">
        <v>4567</v>
      </c>
      <c r="C1198" s="47">
        <v>44250</v>
      </c>
      <c r="D1198" s="44">
        <v>202106</v>
      </c>
      <c r="E1198" s="44">
        <v>75</v>
      </c>
      <c r="F1198" s="44">
        <v>75</v>
      </c>
      <c r="G1198" s="44">
        <v>75</v>
      </c>
      <c r="H1198" s="44">
        <v>75</v>
      </c>
      <c r="I1198" s="44">
        <v>-0.6</v>
      </c>
      <c r="J1198" s="44">
        <v>-0.79</v>
      </c>
      <c r="K1198" s="44">
        <v>0</v>
      </c>
      <c r="L1198" s="44">
        <v>75</v>
      </c>
      <c r="M1198" s="44">
        <v>10</v>
      </c>
    </row>
    <row r="1199" spans="1:13" x14ac:dyDescent="0.25">
      <c r="A1199" s="45" t="s">
        <v>2221</v>
      </c>
      <c r="B1199" s="44" t="s">
        <v>4568</v>
      </c>
      <c r="C1199" s="47">
        <v>44250</v>
      </c>
      <c r="D1199" s="44">
        <v>202109</v>
      </c>
      <c r="E1199" s="44">
        <v>75.2</v>
      </c>
      <c r="F1199" s="44">
        <v>75.2</v>
      </c>
      <c r="G1199" s="44">
        <v>75.2</v>
      </c>
      <c r="H1199" s="44">
        <v>75.2</v>
      </c>
      <c r="I1199" s="44">
        <v>-0.7</v>
      </c>
      <c r="J1199" s="44">
        <v>-0.92</v>
      </c>
      <c r="K1199" s="44">
        <v>1</v>
      </c>
      <c r="L1199" s="44">
        <v>75.2</v>
      </c>
      <c r="M1199" s="44">
        <v>5</v>
      </c>
    </row>
    <row r="1200" spans="1:13" x14ac:dyDescent="0.25">
      <c r="A1200" s="45" t="s">
        <v>2222</v>
      </c>
      <c r="B1200" s="44" t="s">
        <v>4569</v>
      </c>
      <c r="C1200" s="47">
        <v>44250</v>
      </c>
      <c r="D1200" s="44">
        <v>202112</v>
      </c>
      <c r="E1200" s="44">
        <v>74.900000000000006</v>
      </c>
      <c r="F1200" s="44">
        <v>74.900000000000006</v>
      </c>
      <c r="G1200" s="44">
        <v>74.900000000000006</v>
      </c>
      <c r="H1200" s="44">
        <v>74.900000000000006</v>
      </c>
      <c r="I1200" s="44">
        <v>-0.6</v>
      </c>
      <c r="J1200" s="44">
        <v>-0.79</v>
      </c>
      <c r="K1200" s="44">
        <v>0</v>
      </c>
      <c r="L1200" s="44">
        <v>74.900000000000006</v>
      </c>
      <c r="M1200" s="44">
        <v>1</v>
      </c>
    </row>
    <row r="1201" spans="1:13" x14ac:dyDescent="0.25">
      <c r="A1201" s="45" t="s">
        <v>1064</v>
      </c>
      <c r="B1201" s="44" t="s">
        <v>4570</v>
      </c>
      <c r="C1201" s="47">
        <v>44250</v>
      </c>
      <c r="D1201" s="44">
        <v>202103</v>
      </c>
      <c r="E1201" s="44">
        <v>79.900000000000006</v>
      </c>
      <c r="F1201" s="44">
        <v>82.9</v>
      </c>
      <c r="G1201" s="44">
        <v>79.900000000000006</v>
      </c>
      <c r="H1201" s="44">
        <v>82.9</v>
      </c>
      <c r="I1201" s="44">
        <v>3.3</v>
      </c>
      <c r="J1201" s="44">
        <v>4.1500000000000004</v>
      </c>
      <c r="K1201" s="44">
        <v>22</v>
      </c>
      <c r="L1201" s="44">
        <v>82.9</v>
      </c>
      <c r="M1201" s="44">
        <v>18</v>
      </c>
    </row>
    <row r="1202" spans="1:13" x14ac:dyDescent="0.25">
      <c r="A1202" s="45" t="s">
        <v>2223</v>
      </c>
      <c r="B1202" s="44" t="s">
        <v>4571</v>
      </c>
      <c r="C1202" s="47">
        <v>44250</v>
      </c>
      <c r="D1202" s="44">
        <v>202103</v>
      </c>
      <c r="E1202" s="44">
        <v>79.900000000000006</v>
      </c>
      <c r="F1202" s="44">
        <v>82.9</v>
      </c>
      <c r="G1202" s="44">
        <v>79.900000000000006</v>
      </c>
      <c r="H1202" s="44">
        <v>82.9</v>
      </c>
      <c r="I1202" s="44">
        <v>3.3</v>
      </c>
      <c r="J1202" s="44">
        <v>4.1500000000000004</v>
      </c>
      <c r="K1202" s="44">
        <v>22</v>
      </c>
      <c r="L1202" s="44">
        <v>82.9</v>
      </c>
      <c r="M1202" s="44">
        <v>18</v>
      </c>
    </row>
    <row r="1203" spans="1:13" x14ac:dyDescent="0.25">
      <c r="A1203" s="45" t="s">
        <v>2224</v>
      </c>
      <c r="B1203" s="44" t="s">
        <v>4572</v>
      </c>
      <c r="C1203" s="47">
        <v>44250</v>
      </c>
      <c r="D1203" s="44">
        <v>202104</v>
      </c>
      <c r="E1203" s="44">
        <v>83.3</v>
      </c>
      <c r="F1203" s="44">
        <v>83.3</v>
      </c>
      <c r="G1203" s="44">
        <v>83.3</v>
      </c>
      <c r="H1203" s="44">
        <v>83.3</v>
      </c>
      <c r="I1203" s="44">
        <v>2.8</v>
      </c>
      <c r="J1203" s="44">
        <v>3.48</v>
      </c>
      <c r="K1203" s="44">
        <v>0</v>
      </c>
      <c r="L1203" s="44">
        <v>83.3</v>
      </c>
      <c r="M1203" s="44">
        <v>0</v>
      </c>
    </row>
    <row r="1204" spans="1:13" x14ac:dyDescent="0.25">
      <c r="A1204" s="45" t="s">
        <v>2225</v>
      </c>
      <c r="B1204" s="44" t="s">
        <v>4573</v>
      </c>
      <c r="C1204" s="47">
        <v>44250</v>
      </c>
      <c r="D1204" s="44">
        <v>202104</v>
      </c>
      <c r="E1204" s="44">
        <v>83.3</v>
      </c>
      <c r="F1204" s="44">
        <v>83.3</v>
      </c>
      <c r="G1204" s="44">
        <v>83.3</v>
      </c>
      <c r="H1204" s="44">
        <v>83.3</v>
      </c>
      <c r="I1204" s="44">
        <v>2.8</v>
      </c>
      <c r="J1204" s="44">
        <v>3.48</v>
      </c>
      <c r="K1204" s="44">
        <v>0</v>
      </c>
      <c r="L1204" s="44">
        <v>83.3</v>
      </c>
      <c r="M1204" s="44">
        <v>0</v>
      </c>
    </row>
    <row r="1205" spans="1:13" x14ac:dyDescent="0.25">
      <c r="A1205" s="45" t="s">
        <v>2226</v>
      </c>
      <c r="C1205" s="47"/>
    </row>
    <row r="1206" spans="1:13" x14ac:dyDescent="0.25">
      <c r="A1206" s="45" t="s">
        <v>2227</v>
      </c>
      <c r="B1206" s="44" t="s">
        <v>4574</v>
      </c>
      <c r="C1206" s="47">
        <v>44250</v>
      </c>
      <c r="D1206" s="44">
        <v>202103</v>
      </c>
      <c r="E1206" s="44">
        <v>79.900000000000006</v>
      </c>
      <c r="F1206" s="44">
        <v>82.9</v>
      </c>
      <c r="G1206" s="44">
        <v>79.900000000000006</v>
      </c>
      <c r="H1206" s="44">
        <v>82.9</v>
      </c>
      <c r="I1206" s="44">
        <v>3.3</v>
      </c>
      <c r="J1206" s="44">
        <v>4.1500000000000004</v>
      </c>
      <c r="K1206" s="44">
        <v>22</v>
      </c>
      <c r="L1206" s="44">
        <v>82.9</v>
      </c>
      <c r="M1206" s="44">
        <v>18</v>
      </c>
    </row>
    <row r="1207" spans="1:13" x14ac:dyDescent="0.25">
      <c r="A1207" s="45" t="s">
        <v>2228</v>
      </c>
      <c r="B1207" s="44" t="s">
        <v>4575</v>
      </c>
      <c r="C1207" s="47">
        <v>44250</v>
      </c>
      <c r="D1207" s="44">
        <v>202106</v>
      </c>
      <c r="E1207" s="44">
        <v>83.4</v>
      </c>
      <c r="F1207" s="44">
        <v>83.4</v>
      </c>
      <c r="G1207" s="44">
        <v>83.4</v>
      </c>
      <c r="H1207" s="44">
        <v>83.4</v>
      </c>
      <c r="I1207" s="44">
        <v>3.3</v>
      </c>
      <c r="J1207" s="44">
        <v>4.12</v>
      </c>
      <c r="K1207" s="44">
        <v>0</v>
      </c>
      <c r="L1207" s="44">
        <v>83.4</v>
      </c>
      <c r="M1207" s="44">
        <v>1</v>
      </c>
    </row>
    <row r="1208" spans="1:13" x14ac:dyDescent="0.25">
      <c r="A1208" s="45" t="s">
        <v>2229</v>
      </c>
      <c r="B1208" s="44" t="s">
        <v>4576</v>
      </c>
      <c r="C1208" s="47">
        <v>44250</v>
      </c>
      <c r="D1208" s="44">
        <v>202109</v>
      </c>
      <c r="E1208" s="44">
        <v>83.6</v>
      </c>
      <c r="F1208" s="44">
        <v>83.6</v>
      </c>
      <c r="G1208" s="44">
        <v>83.6</v>
      </c>
      <c r="H1208" s="44">
        <v>83.6</v>
      </c>
      <c r="I1208" s="44">
        <v>3.3</v>
      </c>
      <c r="J1208" s="44">
        <v>4.1100000000000003</v>
      </c>
      <c r="K1208" s="44">
        <v>0</v>
      </c>
      <c r="L1208" s="44">
        <v>83.6</v>
      </c>
      <c r="M1208" s="44">
        <v>0</v>
      </c>
    </row>
    <row r="1209" spans="1:13" x14ac:dyDescent="0.25">
      <c r="A1209" s="45" t="s">
        <v>2230</v>
      </c>
      <c r="B1209" s="44" t="s">
        <v>4577</v>
      </c>
      <c r="C1209" s="47">
        <v>44250</v>
      </c>
      <c r="D1209" s="44">
        <v>202112</v>
      </c>
      <c r="E1209" s="44">
        <v>83.7</v>
      </c>
      <c r="F1209" s="44">
        <v>83.7</v>
      </c>
      <c r="G1209" s="44">
        <v>83.7</v>
      </c>
      <c r="H1209" s="44">
        <v>83.7</v>
      </c>
      <c r="I1209" s="44">
        <v>3.3</v>
      </c>
      <c r="J1209" s="44">
        <v>4.0999999999999996</v>
      </c>
      <c r="K1209" s="44">
        <v>0</v>
      </c>
      <c r="L1209" s="44">
        <v>83.7</v>
      </c>
      <c r="M1209" s="44">
        <v>0</v>
      </c>
    </row>
    <row r="1210" spans="1:13" x14ac:dyDescent="0.25">
      <c r="A1210" s="45" t="s">
        <v>1070</v>
      </c>
      <c r="B1210" s="44" t="s">
        <v>4578</v>
      </c>
      <c r="C1210" s="47">
        <v>44250</v>
      </c>
      <c r="D1210" s="44">
        <v>202103</v>
      </c>
      <c r="E1210" s="44">
        <v>36</v>
      </c>
      <c r="F1210" s="44">
        <v>36.200000000000003</v>
      </c>
      <c r="G1210" s="44">
        <v>35.25</v>
      </c>
      <c r="H1210" s="44">
        <v>36</v>
      </c>
      <c r="I1210" s="44">
        <v>0</v>
      </c>
      <c r="J1210" s="44">
        <v>0</v>
      </c>
      <c r="K1210" s="44">
        <v>292</v>
      </c>
      <c r="L1210" s="44">
        <v>36</v>
      </c>
      <c r="M1210" s="44">
        <v>1718</v>
      </c>
    </row>
    <row r="1211" spans="1:13" x14ac:dyDescent="0.25">
      <c r="A1211" s="45" t="s">
        <v>2231</v>
      </c>
      <c r="B1211" s="44" t="s">
        <v>4579</v>
      </c>
      <c r="C1211" s="47">
        <v>44250</v>
      </c>
      <c r="D1211" s="44">
        <v>202103</v>
      </c>
      <c r="E1211" s="44">
        <v>36</v>
      </c>
      <c r="F1211" s="44">
        <v>36.200000000000003</v>
      </c>
      <c r="G1211" s="44">
        <v>35.25</v>
      </c>
      <c r="H1211" s="44">
        <v>36</v>
      </c>
      <c r="I1211" s="44">
        <v>0</v>
      </c>
      <c r="J1211" s="44">
        <v>0</v>
      </c>
      <c r="K1211" s="44">
        <v>292</v>
      </c>
      <c r="L1211" s="44">
        <v>36</v>
      </c>
      <c r="M1211" s="44">
        <v>1718</v>
      </c>
    </row>
    <row r="1212" spans="1:13" x14ac:dyDescent="0.25">
      <c r="A1212" s="45" t="s">
        <v>2232</v>
      </c>
      <c r="B1212" s="44" t="s">
        <v>4580</v>
      </c>
      <c r="C1212" s="47">
        <v>44250</v>
      </c>
      <c r="D1212" s="44">
        <v>202104</v>
      </c>
      <c r="E1212" s="44">
        <v>35.65</v>
      </c>
      <c r="F1212" s="44">
        <v>35.799999999999997</v>
      </c>
      <c r="G1212" s="44">
        <v>35.6</v>
      </c>
      <c r="H1212" s="44">
        <v>35.799999999999997</v>
      </c>
      <c r="I1212" s="44">
        <v>-0.05</v>
      </c>
      <c r="J1212" s="44">
        <v>-0.14000000000000001</v>
      </c>
      <c r="K1212" s="44">
        <v>46</v>
      </c>
      <c r="L1212" s="44">
        <v>35.799999999999997</v>
      </c>
      <c r="M1212" s="44">
        <v>58</v>
      </c>
    </row>
    <row r="1213" spans="1:13" x14ac:dyDescent="0.25">
      <c r="A1213" s="45" t="s">
        <v>2233</v>
      </c>
      <c r="B1213" s="44" t="s">
        <v>4581</v>
      </c>
      <c r="C1213" s="47">
        <v>44250</v>
      </c>
      <c r="D1213" s="44">
        <v>202104</v>
      </c>
      <c r="E1213" s="44">
        <v>35.65</v>
      </c>
      <c r="F1213" s="44">
        <v>35.799999999999997</v>
      </c>
      <c r="G1213" s="44">
        <v>35.6</v>
      </c>
      <c r="H1213" s="44">
        <v>35.799999999999997</v>
      </c>
      <c r="I1213" s="44">
        <v>-0.05</v>
      </c>
      <c r="J1213" s="44">
        <v>-0.14000000000000001</v>
      </c>
      <c r="K1213" s="44">
        <v>46</v>
      </c>
      <c r="L1213" s="44">
        <v>35.799999999999997</v>
      </c>
      <c r="M1213" s="44">
        <v>58</v>
      </c>
    </row>
    <row r="1214" spans="1:13" x14ac:dyDescent="0.25">
      <c r="A1214" s="45" t="s">
        <v>2234</v>
      </c>
      <c r="C1214" s="47"/>
    </row>
    <row r="1215" spans="1:13" x14ac:dyDescent="0.25">
      <c r="A1215" s="45" t="s">
        <v>2235</v>
      </c>
      <c r="C1215" s="47"/>
    </row>
    <row r="1216" spans="1:13" x14ac:dyDescent="0.25">
      <c r="A1216" s="45" t="s">
        <v>2236</v>
      </c>
      <c r="B1216" s="44" t="s">
        <v>4582</v>
      </c>
      <c r="C1216" s="47">
        <v>44250</v>
      </c>
      <c r="D1216" s="44">
        <v>202103</v>
      </c>
      <c r="E1216" s="44">
        <v>36</v>
      </c>
      <c r="F1216" s="44">
        <v>36.200000000000003</v>
      </c>
      <c r="G1216" s="44">
        <v>35.25</v>
      </c>
      <c r="H1216" s="44">
        <v>36</v>
      </c>
      <c r="I1216" s="44">
        <v>0</v>
      </c>
      <c r="J1216" s="44">
        <v>0</v>
      </c>
      <c r="K1216" s="44">
        <v>292</v>
      </c>
      <c r="L1216" s="44">
        <v>36</v>
      </c>
      <c r="M1216" s="44">
        <v>1718</v>
      </c>
    </row>
    <row r="1217" spans="1:13" x14ac:dyDescent="0.25">
      <c r="A1217" s="45" t="s">
        <v>2237</v>
      </c>
      <c r="B1217" s="44" t="s">
        <v>4583</v>
      </c>
      <c r="C1217" s="47">
        <v>44250</v>
      </c>
      <c r="D1217" s="44">
        <v>202106</v>
      </c>
      <c r="E1217" s="44">
        <v>36</v>
      </c>
      <c r="F1217" s="44">
        <v>36</v>
      </c>
      <c r="G1217" s="44">
        <v>36</v>
      </c>
      <c r="H1217" s="44">
        <v>36</v>
      </c>
      <c r="I1217" s="44">
        <v>0</v>
      </c>
      <c r="J1217" s="44">
        <v>0</v>
      </c>
      <c r="K1217" s="44">
        <v>0</v>
      </c>
      <c r="L1217" s="44">
        <v>36</v>
      </c>
      <c r="M1217" s="44">
        <v>0</v>
      </c>
    </row>
    <row r="1218" spans="1:13" x14ac:dyDescent="0.25">
      <c r="A1218" s="45" t="s">
        <v>2238</v>
      </c>
      <c r="B1218" s="44" t="s">
        <v>4584</v>
      </c>
      <c r="C1218" s="47">
        <v>44250</v>
      </c>
      <c r="D1218" s="44">
        <v>202109</v>
      </c>
      <c r="E1218" s="44">
        <v>35.9</v>
      </c>
      <c r="F1218" s="44">
        <v>35.9</v>
      </c>
      <c r="G1218" s="44">
        <v>35.9</v>
      </c>
      <c r="H1218" s="44">
        <v>35.9</v>
      </c>
      <c r="I1218" s="44">
        <v>0</v>
      </c>
      <c r="J1218" s="44">
        <v>0</v>
      </c>
      <c r="K1218" s="44">
        <v>0</v>
      </c>
      <c r="L1218" s="44">
        <v>35.9</v>
      </c>
      <c r="M1218" s="44">
        <v>0</v>
      </c>
    </row>
    <row r="1219" spans="1:13" x14ac:dyDescent="0.25">
      <c r="A1219" s="45" t="s">
        <v>2239</v>
      </c>
      <c r="B1219" s="44" t="s">
        <v>4585</v>
      </c>
      <c r="C1219" s="47">
        <v>44250</v>
      </c>
      <c r="D1219" s="44">
        <v>202112</v>
      </c>
      <c r="E1219" s="44">
        <v>36.1</v>
      </c>
      <c r="F1219" s="44">
        <v>36.1</v>
      </c>
      <c r="G1219" s="44">
        <v>36.1</v>
      </c>
      <c r="H1219" s="44">
        <v>36.1</v>
      </c>
      <c r="I1219" s="44">
        <v>-0.15</v>
      </c>
      <c r="J1219" s="44">
        <v>-0.41</v>
      </c>
      <c r="K1219" s="44">
        <v>0</v>
      </c>
      <c r="L1219" s="44">
        <v>36.1</v>
      </c>
      <c r="M1219" s="44">
        <v>0</v>
      </c>
    </row>
    <row r="1220" spans="1:13" x14ac:dyDescent="0.25">
      <c r="A1220" s="45" t="s">
        <v>1072</v>
      </c>
      <c r="B1220" s="44" t="s">
        <v>4586</v>
      </c>
      <c r="C1220" s="47">
        <v>44250</v>
      </c>
      <c r="D1220" s="44">
        <v>202103</v>
      </c>
      <c r="E1220" s="44">
        <v>118</v>
      </c>
      <c r="F1220" s="44">
        <v>119</v>
      </c>
      <c r="G1220" s="44">
        <v>118</v>
      </c>
      <c r="H1220" s="44">
        <v>118.5</v>
      </c>
      <c r="I1220" s="44">
        <v>-1.5</v>
      </c>
      <c r="J1220" s="44">
        <v>-1.25</v>
      </c>
      <c r="K1220" s="44">
        <v>12</v>
      </c>
      <c r="L1220" s="44">
        <v>118.5</v>
      </c>
      <c r="M1220" s="44">
        <v>194</v>
      </c>
    </row>
    <row r="1221" spans="1:13" x14ac:dyDescent="0.25">
      <c r="A1221" s="45" t="s">
        <v>2240</v>
      </c>
      <c r="B1221" s="44" t="s">
        <v>4587</v>
      </c>
      <c r="C1221" s="47">
        <v>44250</v>
      </c>
      <c r="D1221" s="44">
        <v>202103</v>
      </c>
      <c r="E1221" s="44">
        <v>118</v>
      </c>
      <c r="F1221" s="44">
        <v>119</v>
      </c>
      <c r="G1221" s="44">
        <v>118</v>
      </c>
      <c r="H1221" s="44">
        <v>118.5</v>
      </c>
      <c r="I1221" s="44">
        <v>-1.5</v>
      </c>
      <c r="J1221" s="44">
        <v>-1.25</v>
      </c>
      <c r="K1221" s="44">
        <v>12</v>
      </c>
      <c r="L1221" s="44">
        <v>118.5</v>
      </c>
      <c r="M1221" s="44">
        <v>194</v>
      </c>
    </row>
    <row r="1222" spans="1:13" x14ac:dyDescent="0.25">
      <c r="A1222" s="45" t="s">
        <v>2241</v>
      </c>
      <c r="B1222" s="44" t="s">
        <v>4588</v>
      </c>
      <c r="C1222" s="47">
        <v>44250</v>
      </c>
      <c r="D1222" s="44">
        <v>202104</v>
      </c>
      <c r="E1222" s="44">
        <v>119</v>
      </c>
      <c r="F1222" s="44">
        <v>119</v>
      </c>
      <c r="G1222" s="44">
        <v>119</v>
      </c>
      <c r="H1222" s="44">
        <v>119</v>
      </c>
      <c r="I1222" s="44">
        <v>-0.5</v>
      </c>
      <c r="J1222" s="44">
        <v>-0.42</v>
      </c>
      <c r="K1222" s="44">
        <v>3</v>
      </c>
      <c r="L1222" s="44">
        <v>119</v>
      </c>
      <c r="M1222" s="44">
        <v>3</v>
      </c>
    </row>
    <row r="1223" spans="1:13" x14ac:dyDescent="0.25">
      <c r="A1223" s="45" t="s">
        <v>2242</v>
      </c>
      <c r="B1223" s="44" t="s">
        <v>4589</v>
      </c>
      <c r="C1223" s="47">
        <v>44250</v>
      </c>
      <c r="D1223" s="44">
        <v>202104</v>
      </c>
      <c r="E1223" s="44">
        <v>119</v>
      </c>
      <c r="F1223" s="44">
        <v>119</v>
      </c>
      <c r="G1223" s="44">
        <v>119</v>
      </c>
      <c r="H1223" s="44">
        <v>119</v>
      </c>
      <c r="I1223" s="44">
        <v>-0.5</v>
      </c>
      <c r="J1223" s="44">
        <v>-0.42</v>
      </c>
      <c r="K1223" s="44">
        <v>3</v>
      </c>
      <c r="L1223" s="44">
        <v>119</v>
      </c>
      <c r="M1223" s="44">
        <v>3</v>
      </c>
    </row>
    <row r="1224" spans="1:13" x14ac:dyDescent="0.25">
      <c r="A1224" s="45" t="s">
        <v>2243</v>
      </c>
      <c r="C1224" s="47"/>
    </row>
    <row r="1225" spans="1:13" x14ac:dyDescent="0.25">
      <c r="A1225" s="45" t="s">
        <v>2244</v>
      </c>
      <c r="C1225" s="47"/>
    </row>
    <row r="1226" spans="1:13" x14ac:dyDescent="0.25">
      <c r="A1226" s="45" t="s">
        <v>2245</v>
      </c>
      <c r="B1226" s="44" t="s">
        <v>4590</v>
      </c>
      <c r="C1226" s="47">
        <v>44250</v>
      </c>
      <c r="D1226" s="44">
        <v>202103</v>
      </c>
      <c r="E1226" s="44">
        <v>118</v>
      </c>
      <c r="F1226" s="44">
        <v>119</v>
      </c>
      <c r="G1226" s="44">
        <v>118</v>
      </c>
      <c r="H1226" s="44">
        <v>118.5</v>
      </c>
      <c r="I1226" s="44">
        <v>-1.5</v>
      </c>
      <c r="J1226" s="44">
        <v>-1.25</v>
      </c>
      <c r="K1226" s="44">
        <v>12</v>
      </c>
      <c r="L1226" s="44">
        <v>118.5</v>
      </c>
      <c r="M1226" s="44">
        <v>194</v>
      </c>
    </row>
    <row r="1227" spans="1:13" x14ac:dyDescent="0.25">
      <c r="A1227" s="45" t="s">
        <v>2246</v>
      </c>
      <c r="B1227" s="44" t="s">
        <v>4591</v>
      </c>
      <c r="C1227" s="47">
        <v>44250</v>
      </c>
      <c r="D1227" s="44">
        <v>202106</v>
      </c>
      <c r="E1227" s="44">
        <v>118</v>
      </c>
      <c r="F1227" s="44">
        <v>118</v>
      </c>
      <c r="G1227" s="44">
        <v>118</v>
      </c>
      <c r="H1227" s="44">
        <v>118</v>
      </c>
      <c r="I1227" s="44">
        <v>-1.5</v>
      </c>
      <c r="J1227" s="44">
        <v>-1.26</v>
      </c>
      <c r="K1227" s="44">
        <v>0</v>
      </c>
      <c r="L1227" s="44">
        <v>118</v>
      </c>
      <c r="M1227" s="44">
        <v>0</v>
      </c>
    </row>
    <row r="1228" spans="1:13" x14ac:dyDescent="0.25">
      <c r="A1228" s="45" t="s">
        <v>2247</v>
      </c>
      <c r="B1228" s="44" t="s">
        <v>4592</v>
      </c>
      <c r="C1228" s="47">
        <v>44250</v>
      </c>
      <c r="D1228" s="44">
        <v>202109</v>
      </c>
      <c r="E1228" s="44">
        <v>117.5</v>
      </c>
      <c r="F1228" s="44">
        <v>117.5</v>
      </c>
      <c r="G1228" s="44">
        <v>117.5</v>
      </c>
      <c r="H1228" s="44">
        <v>117.5</v>
      </c>
      <c r="I1228" s="44">
        <v>-1.5</v>
      </c>
      <c r="J1228" s="44">
        <v>-1.26</v>
      </c>
      <c r="K1228" s="44">
        <v>0</v>
      </c>
      <c r="L1228" s="44">
        <v>117.5</v>
      </c>
      <c r="M1228" s="44">
        <v>0</v>
      </c>
    </row>
    <row r="1229" spans="1:13" x14ac:dyDescent="0.25">
      <c r="A1229" s="45" t="s">
        <v>2248</v>
      </c>
      <c r="B1229" s="44" t="s">
        <v>4593</v>
      </c>
      <c r="C1229" s="47">
        <v>44250</v>
      </c>
      <c r="D1229" s="44">
        <v>202112</v>
      </c>
      <c r="E1229" s="44">
        <v>118.5</v>
      </c>
      <c r="F1229" s="44">
        <v>118.5</v>
      </c>
      <c r="G1229" s="44">
        <v>118.5</v>
      </c>
      <c r="H1229" s="44">
        <v>118.5</v>
      </c>
      <c r="I1229" s="44">
        <v>-1.5</v>
      </c>
      <c r="J1229" s="44">
        <v>-1.25</v>
      </c>
      <c r="K1229" s="44">
        <v>0</v>
      </c>
      <c r="L1229" s="44">
        <v>118.5</v>
      </c>
      <c r="M1229" s="44">
        <v>0</v>
      </c>
    </row>
    <row r="1230" spans="1:13" x14ac:dyDescent="0.25">
      <c r="A1230" s="45" t="s">
        <v>1074</v>
      </c>
      <c r="B1230" s="44" t="s">
        <v>4594</v>
      </c>
      <c r="C1230" s="47">
        <v>44250</v>
      </c>
      <c r="D1230" s="44">
        <v>202103</v>
      </c>
      <c r="E1230" s="44">
        <v>142.5</v>
      </c>
      <c r="F1230" s="44">
        <v>145</v>
      </c>
      <c r="G1230" s="44">
        <v>141.5</v>
      </c>
      <c r="H1230" s="44">
        <v>142.5</v>
      </c>
      <c r="I1230" s="44">
        <v>1.5</v>
      </c>
      <c r="J1230" s="44">
        <v>1.06</v>
      </c>
      <c r="K1230" s="44">
        <v>33</v>
      </c>
      <c r="L1230" s="44">
        <v>142.5</v>
      </c>
      <c r="M1230" s="44">
        <v>153</v>
      </c>
    </row>
    <row r="1231" spans="1:13" x14ac:dyDescent="0.25">
      <c r="A1231" s="45" t="s">
        <v>2249</v>
      </c>
      <c r="B1231" s="44" t="s">
        <v>4595</v>
      </c>
      <c r="C1231" s="47">
        <v>44250</v>
      </c>
      <c r="D1231" s="44">
        <v>202103</v>
      </c>
      <c r="E1231" s="44">
        <v>142.5</v>
      </c>
      <c r="F1231" s="44">
        <v>145</v>
      </c>
      <c r="G1231" s="44">
        <v>141.5</v>
      </c>
      <c r="H1231" s="44">
        <v>142.5</v>
      </c>
      <c r="I1231" s="44">
        <v>1.5</v>
      </c>
      <c r="J1231" s="44">
        <v>1.06</v>
      </c>
      <c r="K1231" s="44">
        <v>33</v>
      </c>
      <c r="L1231" s="44">
        <v>142.5</v>
      </c>
      <c r="M1231" s="44">
        <v>153</v>
      </c>
    </row>
    <row r="1232" spans="1:13" x14ac:dyDescent="0.25">
      <c r="A1232" s="45" t="s">
        <v>2250</v>
      </c>
      <c r="B1232" s="44" t="s">
        <v>4596</v>
      </c>
      <c r="C1232" s="47">
        <v>44250</v>
      </c>
      <c r="D1232" s="44">
        <v>202104</v>
      </c>
      <c r="E1232" s="44">
        <v>142.5</v>
      </c>
      <c r="F1232" s="44">
        <v>143.5</v>
      </c>
      <c r="G1232" s="44">
        <v>141.5</v>
      </c>
      <c r="H1232" s="44">
        <v>141.5</v>
      </c>
      <c r="I1232" s="44">
        <v>0.5</v>
      </c>
      <c r="J1232" s="44">
        <v>0.35</v>
      </c>
      <c r="K1232" s="44">
        <v>6</v>
      </c>
      <c r="L1232" s="44">
        <v>141.5</v>
      </c>
      <c r="M1232" s="44">
        <v>9</v>
      </c>
    </row>
    <row r="1233" spans="1:13" x14ac:dyDescent="0.25">
      <c r="A1233" s="45" t="s">
        <v>2251</v>
      </c>
      <c r="B1233" s="44" t="s">
        <v>4597</v>
      </c>
      <c r="C1233" s="47">
        <v>44250</v>
      </c>
      <c r="D1233" s="44">
        <v>202104</v>
      </c>
      <c r="E1233" s="44">
        <v>142.5</v>
      </c>
      <c r="F1233" s="44">
        <v>143.5</v>
      </c>
      <c r="G1233" s="44">
        <v>141.5</v>
      </c>
      <c r="H1233" s="44">
        <v>141.5</v>
      </c>
      <c r="I1233" s="44">
        <v>0.5</v>
      </c>
      <c r="J1233" s="44">
        <v>0.35</v>
      </c>
      <c r="K1233" s="44">
        <v>6</v>
      </c>
      <c r="L1233" s="44">
        <v>141.5</v>
      </c>
      <c r="M1233" s="44">
        <v>9</v>
      </c>
    </row>
    <row r="1234" spans="1:13" x14ac:dyDescent="0.25">
      <c r="A1234" s="45" t="s">
        <v>2252</v>
      </c>
      <c r="C1234" s="47"/>
    </row>
    <row r="1235" spans="1:13" x14ac:dyDescent="0.25">
      <c r="A1235" s="45" t="s">
        <v>2253</v>
      </c>
      <c r="C1235" s="47"/>
    </row>
    <row r="1236" spans="1:13" x14ac:dyDescent="0.25">
      <c r="A1236" s="45" t="s">
        <v>2254</v>
      </c>
      <c r="B1236" s="44" t="s">
        <v>4598</v>
      </c>
      <c r="C1236" s="47">
        <v>44250</v>
      </c>
      <c r="D1236" s="44">
        <v>202103</v>
      </c>
      <c r="E1236" s="44">
        <v>142.5</v>
      </c>
      <c r="F1236" s="44">
        <v>145</v>
      </c>
      <c r="G1236" s="44">
        <v>141.5</v>
      </c>
      <c r="H1236" s="44">
        <v>142.5</v>
      </c>
      <c r="I1236" s="44">
        <v>1.5</v>
      </c>
      <c r="J1236" s="44">
        <v>1.06</v>
      </c>
      <c r="K1236" s="44">
        <v>33</v>
      </c>
      <c r="L1236" s="44">
        <v>142.5</v>
      </c>
      <c r="M1236" s="44">
        <v>153</v>
      </c>
    </row>
    <row r="1237" spans="1:13" x14ac:dyDescent="0.25">
      <c r="A1237" s="45" t="s">
        <v>2255</v>
      </c>
      <c r="B1237" s="44" t="s">
        <v>4599</v>
      </c>
      <c r="C1237" s="47">
        <v>44250</v>
      </c>
      <c r="D1237" s="44">
        <v>202106</v>
      </c>
      <c r="E1237" s="44">
        <v>142</v>
      </c>
      <c r="F1237" s="44">
        <v>142</v>
      </c>
      <c r="G1237" s="44">
        <v>142</v>
      </c>
      <c r="H1237" s="44">
        <v>142</v>
      </c>
      <c r="I1237" s="44">
        <v>1.5</v>
      </c>
      <c r="J1237" s="44">
        <v>1.07</v>
      </c>
      <c r="K1237" s="44">
        <v>0</v>
      </c>
      <c r="L1237" s="44">
        <v>142</v>
      </c>
      <c r="M1237" s="44">
        <v>0</v>
      </c>
    </row>
    <row r="1238" spans="1:13" x14ac:dyDescent="0.25">
      <c r="A1238" s="45" t="s">
        <v>2256</v>
      </c>
      <c r="B1238" s="44" t="s">
        <v>4600</v>
      </c>
      <c r="C1238" s="47">
        <v>44250</v>
      </c>
      <c r="D1238" s="44">
        <v>202109</v>
      </c>
      <c r="E1238" s="44">
        <v>142.5</v>
      </c>
      <c r="F1238" s="44">
        <v>142.5</v>
      </c>
      <c r="G1238" s="44">
        <v>142.5</v>
      </c>
      <c r="H1238" s="44">
        <v>142.5</v>
      </c>
      <c r="I1238" s="44">
        <v>1.5</v>
      </c>
      <c r="J1238" s="44">
        <v>1.06</v>
      </c>
      <c r="K1238" s="44">
        <v>0</v>
      </c>
      <c r="L1238" s="44">
        <v>142.5</v>
      </c>
      <c r="M1238" s="44">
        <v>0</v>
      </c>
    </row>
    <row r="1239" spans="1:13" x14ac:dyDescent="0.25">
      <c r="A1239" s="45" t="s">
        <v>2257</v>
      </c>
      <c r="B1239" s="44" t="s">
        <v>4601</v>
      </c>
      <c r="C1239" s="47">
        <v>44250</v>
      </c>
      <c r="D1239" s="44">
        <v>202112</v>
      </c>
      <c r="E1239" s="44">
        <v>143</v>
      </c>
      <c r="F1239" s="44">
        <v>143</v>
      </c>
      <c r="G1239" s="44">
        <v>143</v>
      </c>
      <c r="H1239" s="44">
        <v>143</v>
      </c>
      <c r="I1239" s="44">
        <v>1.5</v>
      </c>
      <c r="J1239" s="44">
        <v>1.06</v>
      </c>
      <c r="K1239" s="44">
        <v>0</v>
      </c>
      <c r="L1239" s="44">
        <v>143</v>
      </c>
      <c r="M1239" s="44">
        <v>0</v>
      </c>
    </row>
    <row r="1240" spans="1:13" x14ac:dyDescent="0.25">
      <c r="A1240" s="45" t="s">
        <v>1076</v>
      </c>
      <c r="B1240" s="44" t="s">
        <v>4602</v>
      </c>
      <c r="C1240" s="47">
        <v>44250</v>
      </c>
      <c r="D1240" s="44">
        <v>202103</v>
      </c>
      <c r="E1240" s="44">
        <v>102</v>
      </c>
      <c r="F1240" s="44">
        <v>103.5</v>
      </c>
      <c r="G1240" s="44">
        <v>101.5</v>
      </c>
      <c r="H1240" s="44">
        <v>103</v>
      </c>
      <c r="I1240" s="44">
        <v>1.5</v>
      </c>
      <c r="J1240" s="44">
        <v>1.48</v>
      </c>
      <c r="K1240" s="44">
        <v>73</v>
      </c>
      <c r="L1240" s="44">
        <v>103</v>
      </c>
      <c r="M1240" s="44">
        <v>318</v>
      </c>
    </row>
    <row r="1241" spans="1:13" x14ac:dyDescent="0.25">
      <c r="A1241" s="45" t="s">
        <v>2258</v>
      </c>
      <c r="B1241" s="44" t="s">
        <v>4603</v>
      </c>
      <c r="C1241" s="47">
        <v>44250</v>
      </c>
      <c r="D1241" s="44">
        <v>202103</v>
      </c>
      <c r="E1241" s="44">
        <v>102</v>
      </c>
      <c r="F1241" s="44">
        <v>103.5</v>
      </c>
      <c r="G1241" s="44">
        <v>101.5</v>
      </c>
      <c r="H1241" s="44">
        <v>103</v>
      </c>
      <c r="I1241" s="44">
        <v>1.5</v>
      </c>
      <c r="J1241" s="44">
        <v>1.48</v>
      </c>
      <c r="K1241" s="44">
        <v>73</v>
      </c>
      <c r="L1241" s="44">
        <v>103</v>
      </c>
      <c r="M1241" s="44">
        <v>318</v>
      </c>
    </row>
    <row r="1242" spans="1:13" x14ac:dyDescent="0.25">
      <c r="A1242" s="45" t="s">
        <v>2259</v>
      </c>
      <c r="B1242" s="44" t="s">
        <v>4604</v>
      </c>
      <c r="C1242" s="47">
        <v>44250</v>
      </c>
      <c r="D1242" s="44">
        <v>202104</v>
      </c>
      <c r="E1242" s="44">
        <v>103.5</v>
      </c>
      <c r="F1242" s="44">
        <v>103.5</v>
      </c>
      <c r="G1242" s="44">
        <v>103.5</v>
      </c>
      <c r="H1242" s="44">
        <v>103.5</v>
      </c>
      <c r="I1242" s="44">
        <v>1.5</v>
      </c>
      <c r="J1242" s="44">
        <v>1.47</v>
      </c>
      <c r="K1242" s="44">
        <v>0</v>
      </c>
      <c r="L1242" s="44">
        <v>103.5</v>
      </c>
      <c r="M1242" s="44">
        <v>4</v>
      </c>
    </row>
    <row r="1243" spans="1:13" x14ac:dyDescent="0.25">
      <c r="A1243" s="45" t="s">
        <v>2260</v>
      </c>
      <c r="B1243" s="44" t="s">
        <v>4605</v>
      </c>
      <c r="C1243" s="47">
        <v>44250</v>
      </c>
      <c r="D1243" s="44">
        <v>202104</v>
      </c>
      <c r="E1243" s="44">
        <v>103.5</v>
      </c>
      <c r="F1243" s="44">
        <v>103.5</v>
      </c>
      <c r="G1243" s="44">
        <v>103.5</v>
      </c>
      <c r="H1243" s="44">
        <v>103.5</v>
      </c>
      <c r="I1243" s="44">
        <v>1.5</v>
      </c>
      <c r="J1243" s="44">
        <v>1.47</v>
      </c>
      <c r="K1243" s="44">
        <v>0</v>
      </c>
      <c r="L1243" s="44">
        <v>103.5</v>
      </c>
      <c r="M1243" s="44">
        <v>4</v>
      </c>
    </row>
    <row r="1244" spans="1:13" x14ac:dyDescent="0.25">
      <c r="A1244" s="45" t="s">
        <v>2261</v>
      </c>
      <c r="C1244" s="47"/>
    </row>
    <row r="1245" spans="1:13" x14ac:dyDescent="0.25">
      <c r="A1245" s="45" t="s">
        <v>2262</v>
      </c>
      <c r="C1245" s="47"/>
    </row>
    <row r="1246" spans="1:13" x14ac:dyDescent="0.25">
      <c r="A1246" s="45" t="s">
        <v>2263</v>
      </c>
      <c r="B1246" s="44" t="s">
        <v>4606</v>
      </c>
      <c r="C1246" s="47">
        <v>44250</v>
      </c>
      <c r="D1246" s="44">
        <v>202103</v>
      </c>
      <c r="E1246" s="44">
        <v>102</v>
      </c>
      <c r="F1246" s="44">
        <v>103.5</v>
      </c>
      <c r="G1246" s="44">
        <v>101.5</v>
      </c>
      <c r="H1246" s="44">
        <v>103</v>
      </c>
      <c r="I1246" s="44">
        <v>1.5</v>
      </c>
      <c r="J1246" s="44">
        <v>1.48</v>
      </c>
      <c r="K1246" s="44">
        <v>73</v>
      </c>
      <c r="L1246" s="44">
        <v>103</v>
      </c>
      <c r="M1246" s="44">
        <v>318</v>
      </c>
    </row>
    <row r="1247" spans="1:13" x14ac:dyDescent="0.25">
      <c r="A1247" s="45" t="s">
        <v>2264</v>
      </c>
      <c r="B1247" s="44" t="s">
        <v>4607</v>
      </c>
      <c r="C1247" s="47">
        <v>44250</v>
      </c>
      <c r="D1247" s="44">
        <v>202106</v>
      </c>
      <c r="E1247" s="44">
        <v>102.5</v>
      </c>
      <c r="F1247" s="44">
        <v>102.5</v>
      </c>
      <c r="G1247" s="44">
        <v>102.5</v>
      </c>
      <c r="H1247" s="44">
        <v>102.5</v>
      </c>
      <c r="I1247" s="44">
        <v>1.5</v>
      </c>
      <c r="J1247" s="44">
        <v>1.49</v>
      </c>
      <c r="K1247" s="44">
        <v>0</v>
      </c>
      <c r="L1247" s="44">
        <v>102.5</v>
      </c>
      <c r="M1247" s="44">
        <v>0</v>
      </c>
    </row>
    <row r="1248" spans="1:13" x14ac:dyDescent="0.25">
      <c r="A1248" s="45" t="s">
        <v>2265</v>
      </c>
      <c r="B1248" s="44" t="s">
        <v>4608</v>
      </c>
      <c r="C1248" s="47">
        <v>44250</v>
      </c>
      <c r="D1248" s="44">
        <v>202109</v>
      </c>
      <c r="E1248" s="44">
        <v>103</v>
      </c>
      <c r="F1248" s="44">
        <v>103</v>
      </c>
      <c r="G1248" s="44">
        <v>103</v>
      </c>
      <c r="H1248" s="44">
        <v>103</v>
      </c>
      <c r="I1248" s="44">
        <v>1.5</v>
      </c>
      <c r="J1248" s="44">
        <v>1.48</v>
      </c>
      <c r="K1248" s="44">
        <v>0</v>
      </c>
      <c r="L1248" s="44">
        <v>103</v>
      </c>
      <c r="M1248" s="44">
        <v>0</v>
      </c>
    </row>
    <row r="1249" spans="1:13" x14ac:dyDescent="0.25">
      <c r="A1249" s="45" t="s">
        <v>2266</v>
      </c>
      <c r="B1249" s="44" t="s">
        <v>4609</v>
      </c>
      <c r="C1249" s="47">
        <v>44250</v>
      </c>
      <c r="D1249" s="44">
        <v>202112</v>
      </c>
      <c r="E1249" s="44">
        <v>103</v>
      </c>
      <c r="F1249" s="44">
        <v>103</v>
      </c>
      <c r="G1249" s="44">
        <v>103</v>
      </c>
      <c r="H1249" s="44">
        <v>103</v>
      </c>
      <c r="I1249" s="44">
        <v>1.5</v>
      </c>
      <c r="J1249" s="44">
        <v>1.48</v>
      </c>
      <c r="K1249" s="44">
        <v>0</v>
      </c>
      <c r="L1249" s="44">
        <v>103</v>
      </c>
      <c r="M1249" s="44">
        <v>0</v>
      </c>
    </row>
    <row r="1250" spans="1:13" x14ac:dyDescent="0.25">
      <c r="A1250" s="45" t="s">
        <v>1079</v>
      </c>
      <c r="B1250" s="44" t="s">
        <v>4610</v>
      </c>
      <c r="C1250" s="47">
        <v>44250</v>
      </c>
      <c r="D1250" s="44">
        <v>202103</v>
      </c>
      <c r="E1250" s="44">
        <v>229.5</v>
      </c>
      <c r="F1250" s="44">
        <v>232.5</v>
      </c>
      <c r="G1250" s="44">
        <v>227</v>
      </c>
      <c r="H1250" s="44">
        <v>228</v>
      </c>
      <c r="I1250" s="44">
        <v>-5.5</v>
      </c>
      <c r="J1250" s="44">
        <v>-2.36</v>
      </c>
      <c r="K1250" s="44">
        <v>666</v>
      </c>
      <c r="L1250" s="44">
        <v>228</v>
      </c>
      <c r="M1250" s="44">
        <v>1222</v>
      </c>
    </row>
    <row r="1251" spans="1:13" x14ac:dyDescent="0.25">
      <c r="A1251" s="45" t="s">
        <v>2267</v>
      </c>
      <c r="B1251" s="44" t="s">
        <v>4611</v>
      </c>
      <c r="C1251" s="47">
        <v>44250</v>
      </c>
      <c r="D1251" s="44">
        <v>202103</v>
      </c>
      <c r="E1251" s="44">
        <v>229.5</v>
      </c>
      <c r="F1251" s="44">
        <v>232.5</v>
      </c>
      <c r="G1251" s="44">
        <v>227</v>
      </c>
      <c r="H1251" s="44">
        <v>228</v>
      </c>
      <c r="I1251" s="44">
        <v>-5.5</v>
      </c>
      <c r="J1251" s="44">
        <v>-2.36</v>
      </c>
      <c r="K1251" s="44">
        <v>666</v>
      </c>
      <c r="L1251" s="44">
        <v>228</v>
      </c>
      <c r="M1251" s="44">
        <v>1222</v>
      </c>
    </row>
    <row r="1252" spans="1:13" x14ac:dyDescent="0.25">
      <c r="A1252" s="45" t="s">
        <v>2268</v>
      </c>
      <c r="B1252" s="44" t="s">
        <v>4612</v>
      </c>
      <c r="C1252" s="47">
        <v>44250</v>
      </c>
      <c r="D1252" s="44">
        <v>202104</v>
      </c>
      <c r="E1252" s="44">
        <v>228</v>
      </c>
      <c r="F1252" s="44">
        <v>228</v>
      </c>
      <c r="G1252" s="44">
        <v>228</v>
      </c>
      <c r="H1252" s="44">
        <v>228</v>
      </c>
      <c r="I1252" s="44">
        <v>-5</v>
      </c>
      <c r="J1252" s="44">
        <v>-2.15</v>
      </c>
      <c r="K1252" s="44">
        <v>104</v>
      </c>
      <c r="L1252" s="44">
        <v>228</v>
      </c>
      <c r="M1252" s="44">
        <v>116</v>
      </c>
    </row>
    <row r="1253" spans="1:13" x14ac:dyDescent="0.25">
      <c r="A1253" s="45" t="s">
        <v>2269</v>
      </c>
      <c r="B1253" s="44" t="s">
        <v>4613</v>
      </c>
      <c r="C1253" s="47">
        <v>44250</v>
      </c>
      <c r="D1253" s="44">
        <v>202104</v>
      </c>
      <c r="E1253" s="44">
        <v>228</v>
      </c>
      <c r="F1253" s="44">
        <v>228</v>
      </c>
      <c r="G1253" s="44">
        <v>228</v>
      </c>
      <c r="H1253" s="44">
        <v>228</v>
      </c>
      <c r="I1253" s="44">
        <v>-5</v>
      </c>
      <c r="J1253" s="44">
        <v>-2.15</v>
      </c>
      <c r="K1253" s="44">
        <v>104</v>
      </c>
      <c r="L1253" s="44">
        <v>228</v>
      </c>
      <c r="M1253" s="44">
        <v>116</v>
      </c>
    </row>
    <row r="1254" spans="1:13" x14ac:dyDescent="0.25">
      <c r="A1254" s="45" t="s">
        <v>2270</v>
      </c>
      <c r="C1254" s="47"/>
    </row>
    <row r="1255" spans="1:13" x14ac:dyDescent="0.25">
      <c r="A1255" s="45" t="s">
        <v>2271</v>
      </c>
      <c r="C1255" s="47"/>
    </row>
    <row r="1256" spans="1:13" x14ac:dyDescent="0.25">
      <c r="A1256" s="45" t="s">
        <v>2272</v>
      </c>
      <c r="C1256" s="47"/>
    </row>
    <row r="1257" spans="1:13" x14ac:dyDescent="0.25">
      <c r="A1257" s="45" t="s">
        <v>2273</v>
      </c>
      <c r="B1257" s="44" t="s">
        <v>4614</v>
      </c>
      <c r="C1257" s="47">
        <v>44250</v>
      </c>
      <c r="D1257" s="44">
        <v>202103</v>
      </c>
      <c r="E1257" s="44">
        <v>229.5</v>
      </c>
      <c r="F1257" s="44">
        <v>232.5</v>
      </c>
      <c r="G1257" s="44">
        <v>227</v>
      </c>
      <c r="H1257" s="44">
        <v>228</v>
      </c>
      <c r="I1257" s="44">
        <v>-5.5</v>
      </c>
      <c r="J1257" s="44">
        <v>-2.36</v>
      </c>
      <c r="K1257" s="44">
        <v>666</v>
      </c>
      <c r="L1257" s="44">
        <v>228</v>
      </c>
      <c r="M1257" s="44">
        <v>1222</v>
      </c>
    </row>
    <row r="1258" spans="1:13" x14ac:dyDescent="0.25">
      <c r="A1258" s="45" t="s">
        <v>2274</v>
      </c>
      <c r="B1258" s="44" t="s">
        <v>4615</v>
      </c>
      <c r="C1258" s="47">
        <v>44250</v>
      </c>
      <c r="D1258" s="44">
        <v>202106</v>
      </c>
      <c r="E1258" s="44">
        <v>226</v>
      </c>
      <c r="F1258" s="44">
        <v>226</v>
      </c>
      <c r="G1258" s="44">
        <v>226</v>
      </c>
      <c r="H1258" s="44">
        <v>226</v>
      </c>
      <c r="I1258" s="44">
        <v>-5.5</v>
      </c>
      <c r="J1258" s="44">
        <v>-2.38</v>
      </c>
      <c r="K1258" s="44">
        <v>0</v>
      </c>
      <c r="L1258" s="44">
        <v>226</v>
      </c>
      <c r="M1258" s="44">
        <v>15</v>
      </c>
    </row>
    <row r="1259" spans="1:13" x14ac:dyDescent="0.25">
      <c r="A1259" s="45" t="s">
        <v>2275</v>
      </c>
      <c r="B1259" s="44" t="s">
        <v>4616</v>
      </c>
      <c r="C1259" s="47">
        <v>44250</v>
      </c>
      <c r="D1259" s="44">
        <v>202109</v>
      </c>
      <c r="E1259" s="44">
        <v>226</v>
      </c>
      <c r="F1259" s="44">
        <v>226</v>
      </c>
      <c r="G1259" s="44">
        <v>226</v>
      </c>
      <c r="H1259" s="44">
        <v>226</v>
      </c>
      <c r="I1259" s="44">
        <v>-5.5</v>
      </c>
      <c r="J1259" s="44">
        <v>-2.38</v>
      </c>
      <c r="K1259" s="44">
        <v>0</v>
      </c>
      <c r="L1259" s="44">
        <v>226</v>
      </c>
      <c r="M1259" s="44">
        <v>1</v>
      </c>
    </row>
    <row r="1260" spans="1:13" x14ac:dyDescent="0.25">
      <c r="A1260" s="45" t="s">
        <v>2276</v>
      </c>
      <c r="B1260" s="44" t="s">
        <v>4617</v>
      </c>
      <c r="C1260" s="47">
        <v>44250</v>
      </c>
      <c r="D1260" s="44">
        <v>202112</v>
      </c>
      <c r="E1260" s="44">
        <v>226.5</v>
      </c>
      <c r="F1260" s="44">
        <v>226.5</v>
      </c>
      <c r="G1260" s="44">
        <v>226.5</v>
      </c>
      <c r="H1260" s="44">
        <v>226.5</v>
      </c>
      <c r="I1260" s="44">
        <v>-5.5</v>
      </c>
      <c r="J1260" s="44">
        <v>-2.37</v>
      </c>
      <c r="K1260" s="44">
        <v>0</v>
      </c>
      <c r="L1260" s="44">
        <v>226.5</v>
      </c>
      <c r="M1260" s="44">
        <v>0</v>
      </c>
    </row>
    <row r="1261" spans="1:13" x14ac:dyDescent="0.25">
      <c r="A1261" s="45" t="s">
        <v>1082</v>
      </c>
      <c r="B1261" s="44" t="s">
        <v>4618</v>
      </c>
      <c r="C1261" s="47">
        <v>44250</v>
      </c>
      <c r="D1261" s="44">
        <v>202103</v>
      </c>
      <c r="E1261" s="44">
        <v>119</v>
      </c>
      <c r="F1261" s="44">
        <v>119.5</v>
      </c>
      <c r="G1261" s="44">
        <v>117.5</v>
      </c>
      <c r="H1261" s="44">
        <v>119.5</v>
      </c>
      <c r="I1261" s="44">
        <v>-1</v>
      </c>
      <c r="J1261" s="44">
        <v>-0.83</v>
      </c>
      <c r="K1261" s="44">
        <v>115</v>
      </c>
      <c r="L1261" s="44">
        <v>119.5</v>
      </c>
      <c r="M1261" s="44">
        <v>369</v>
      </c>
    </row>
    <row r="1262" spans="1:13" x14ac:dyDescent="0.25">
      <c r="A1262" s="45" t="s">
        <v>2277</v>
      </c>
      <c r="B1262" s="44" t="s">
        <v>4619</v>
      </c>
      <c r="C1262" s="47">
        <v>44250</v>
      </c>
      <c r="D1262" s="44">
        <v>202103</v>
      </c>
      <c r="E1262" s="44">
        <v>119</v>
      </c>
      <c r="F1262" s="44">
        <v>119.5</v>
      </c>
      <c r="G1262" s="44">
        <v>117.5</v>
      </c>
      <c r="H1262" s="44">
        <v>119.5</v>
      </c>
      <c r="I1262" s="44">
        <v>-1</v>
      </c>
      <c r="J1262" s="44">
        <v>-0.83</v>
      </c>
      <c r="K1262" s="44">
        <v>115</v>
      </c>
      <c r="L1262" s="44">
        <v>119.5</v>
      </c>
      <c r="M1262" s="44">
        <v>369</v>
      </c>
    </row>
    <row r="1263" spans="1:13" x14ac:dyDescent="0.25">
      <c r="A1263" s="45" t="s">
        <v>2278</v>
      </c>
      <c r="B1263" s="44" t="s">
        <v>4620</v>
      </c>
      <c r="C1263" s="47">
        <v>44250</v>
      </c>
      <c r="D1263" s="44">
        <v>202104</v>
      </c>
      <c r="E1263" s="44">
        <v>119</v>
      </c>
      <c r="F1263" s="44">
        <v>119</v>
      </c>
      <c r="G1263" s="44">
        <v>118</v>
      </c>
      <c r="H1263" s="44">
        <v>118.5</v>
      </c>
      <c r="I1263" s="44">
        <v>-2</v>
      </c>
      <c r="J1263" s="44">
        <v>-1.66</v>
      </c>
      <c r="K1263" s="44">
        <v>6</v>
      </c>
      <c r="L1263" s="44">
        <v>118.5</v>
      </c>
      <c r="M1263" s="44">
        <v>20</v>
      </c>
    </row>
    <row r="1264" spans="1:13" x14ac:dyDescent="0.25">
      <c r="A1264" s="45" t="s">
        <v>2279</v>
      </c>
      <c r="B1264" s="44" t="s">
        <v>4621</v>
      </c>
      <c r="C1264" s="47">
        <v>44250</v>
      </c>
      <c r="D1264" s="44">
        <v>202104</v>
      </c>
      <c r="E1264" s="44">
        <v>119</v>
      </c>
      <c r="F1264" s="44">
        <v>119</v>
      </c>
      <c r="G1264" s="44">
        <v>118</v>
      </c>
      <c r="H1264" s="44">
        <v>118.5</v>
      </c>
      <c r="I1264" s="44">
        <v>-2</v>
      </c>
      <c r="J1264" s="44">
        <v>-1.66</v>
      </c>
      <c r="K1264" s="44">
        <v>6</v>
      </c>
      <c r="L1264" s="44">
        <v>118.5</v>
      </c>
      <c r="M1264" s="44">
        <v>20</v>
      </c>
    </row>
    <row r="1265" spans="1:13" x14ac:dyDescent="0.25">
      <c r="A1265" s="45" t="s">
        <v>2280</v>
      </c>
      <c r="C1265" s="47"/>
    </row>
    <row r="1266" spans="1:13" x14ac:dyDescent="0.25">
      <c r="A1266" s="45" t="s">
        <v>2281</v>
      </c>
      <c r="C1266" s="47"/>
    </row>
    <row r="1267" spans="1:13" x14ac:dyDescent="0.25">
      <c r="A1267" s="45" t="s">
        <v>2282</v>
      </c>
      <c r="B1267" s="44" t="s">
        <v>4622</v>
      </c>
      <c r="C1267" s="47">
        <v>44250</v>
      </c>
      <c r="D1267" s="44">
        <v>202103</v>
      </c>
      <c r="E1267" s="44">
        <v>119</v>
      </c>
      <c r="F1267" s="44">
        <v>119.5</v>
      </c>
      <c r="G1267" s="44">
        <v>117.5</v>
      </c>
      <c r="H1267" s="44">
        <v>119.5</v>
      </c>
      <c r="I1267" s="44">
        <v>-1</v>
      </c>
      <c r="J1267" s="44">
        <v>-0.83</v>
      </c>
      <c r="K1267" s="44">
        <v>115</v>
      </c>
      <c r="L1267" s="44">
        <v>119.5</v>
      </c>
      <c r="M1267" s="44">
        <v>369</v>
      </c>
    </row>
    <row r="1268" spans="1:13" x14ac:dyDescent="0.25">
      <c r="A1268" s="45" t="s">
        <v>2283</v>
      </c>
      <c r="B1268" s="44" t="s">
        <v>4623</v>
      </c>
      <c r="C1268" s="47">
        <v>44250</v>
      </c>
      <c r="D1268" s="44">
        <v>202106</v>
      </c>
      <c r="E1268" s="44">
        <v>119.5</v>
      </c>
      <c r="F1268" s="44">
        <v>119.5</v>
      </c>
      <c r="G1268" s="44">
        <v>119.5</v>
      </c>
      <c r="H1268" s="44">
        <v>119.5</v>
      </c>
      <c r="I1268" s="44">
        <v>-1</v>
      </c>
      <c r="J1268" s="44">
        <v>-0.83</v>
      </c>
      <c r="K1268" s="44">
        <v>0</v>
      </c>
      <c r="L1268" s="44">
        <v>119.5</v>
      </c>
      <c r="M1268" s="44">
        <v>34</v>
      </c>
    </row>
    <row r="1269" spans="1:13" x14ac:dyDescent="0.25">
      <c r="A1269" s="45" t="s">
        <v>2284</v>
      </c>
      <c r="B1269" s="44" t="s">
        <v>4624</v>
      </c>
      <c r="C1269" s="47">
        <v>44250</v>
      </c>
      <c r="D1269" s="44">
        <v>202109</v>
      </c>
      <c r="E1269" s="44">
        <v>119</v>
      </c>
      <c r="F1269" s="44">
        <v>119</v>
      </c>
      <c r="G1269" s="44">
        <v>119</v>
      </c>
      <c r="H1269" s="44">
        <v>119</v>
      </c>
      <c r="I1269" s="44">
        <v>-1</v>
      </c>
      <c r="J1269" s="44">
        <v>-0.83</v>
      </c>
      <c r="K1269" s="44">
        <v>0</v>
      </c>
      <c r="L1269" s="44">
        <v>119</v>
      </c>
      <c r="M1269" s="44">
        <v>0</v>
      </c>
    </row>
    <row r="1270" spans="1:13" x14ac:dyDescent="0.25">
      <c r="A1270" s="45" t="s">
        <v>2285</v>
      </c>
      <c r="B1270" s="44" t="s">
        <v>4625</v>
      </c>
      <c r="C1270" s="47">
        <v>44250</v>
      </c>
      <c r="D1270" s="44">
        <v>202112</v>
      </c>
      <c r="E1270" s="44">
        <v>119.5</v>
      </c>
      <c r="F1270" s="44">
        <v>119.5</v>
      </c>
      <c r="G1270" s="44">
        <v>119.5</v>
      </c>
      <c r="H1270" s="44">
        <v>119.5</v>
      </c>
      <c r="I1270" s="44">
        <v>-1</v>
      </c>
      <c r="J1270" s="44">
        <v>-0.83</v>
      </c>
      <c r="K1270" s="44">
        <v>0</v>
      </c>
      <c r="L1270" s="44">
        <v>119.5</v>
      </c>
      <c r="M1270" s="44">
        <v>0</v>
      </c>
    </row>
    <row r="1271" spans="1:13" x14ac:dyDescent="0.25">
      <c r="A1271" s="45" t="s">
        <v>1084</v>
      </c>
      <c r="B1271" s="44" t="s">
        <v>4626</v>
      </c>
      <c r="C1271" s="47">
        <v>44250</v>
      </c>
      <c r="D1271" s="44">
        <v>202103</v>
      </c>
      <c r="E1271" s="44">
        <v>30.45</v>
      </c>
      <c r="F1271" s="44">
        <v>30.45</v>
      </c>
      <c r="G1271" s="44">
        <v>29.65</v>
      </c>
      <c r="H1271" s="44">
        <v>29.8</v>
      </c>
      <c r="I1271" s="44">
        <v>-0.65</v>
      </c>
      <c r="J1271" s="44">
        <v>-2.13</v>
      </c>
      <c r="K1271" s="44">
        <v>38</v>
      </c>
      <c r="L1271" s="44">
        <v>29.8</v>
      </c>
      <c r="M1271" s="44">
        <v>247</v>
      </c>
    </row>
    <row r="1272" spans="1:13" x14ac:dyDescent="0.25">
      <c r="A1272" s="45" t="s">
        <v>2286</v>
      </c>
      <c r="B1272" s="44" t="s">
        <v>4627</v>
      </c>
      <c r="C1272" s="47">
        <v>44250</v>
      </c>
      <c r="D1272" s="44">
        <v>202103</v>
      </c>
      <c r="E1272" s="44">
        <v>30.45</v>
      </c>
      <c r="F1272" s="44">
        <v>30.45</v>
      </c>
      <c r="G1272" s="44">
        <v>29.65</v>
      </c>
      <c r="H1272" s="44">
        <v>29.8</v>
      </c>
      <c r="I1272" s="44">
        <v>-0.65</v>
      </c>
      <c r="J1272" s="44">
        <v>-2.13</v>
      </c>
      <c r="K1272" s="44">
        <v>38</v>
      </c>
      <c r="L1272" s="44">
        <v>29.8</v>
      </c>
      <c r="M1272" s="44">
        <v>247</v>
      </c>
    </row>
    <row r="1273" spans="1:13" x14ac:dyDescent="0.25">
      <c r="A1273" s="45" t="s">
        <v>2287</v>
      </c>
      <c r="B1273" s="44" t="s">
        <v>4628</v>
      </c>
      <c r="C1273" s="47">
        <v>44250</v>
      </c>
      <c r="D1273" s="44">
        <v>202104</v>
      </c>
      <c r="E1273" s="44">
        <v>29.55</v>
      </c>
      <c r="F1273" s="44">
        <v>29.55</v>
      </c>
      <c r="G1273" s="44">
        <v>29.55</v>
      </c>
      <c r="H1273" s="44">
        <v>29.55</v>
      </c>
      <c r="I1273" s="44">
        <v>-0.65</v>
      </c>
      <c r="J1273" s="44">
        <v>-2.15</v>
      </c>
      <c r="K1273" s="44">
        <v>0</v>
      </c>
      <c r="L1273" s="44">
        <v>29.55</v>
      </c>
      <c r="M1273" s="44">
        <v>6</v>
      </c>
    </row>
    <row r="1274" spans="1:13" x14ac:dyDescent="0.25">
      <c r="A1274" s="45" t="s">
        <v>2288</v>
      </c>
      <c r="B1274" s="44" t="s">
        <v>4629</v>
      </c>
      <c r="C1274" s="47">
        <v>44250</v>
      </c>
      <c r="D1274" s="44">
        <v>202104</v>
      </c>
      <c r="E1274" s="44">
        <v>29.55</v>
      </c>
      <c r="F1274" s="44">
        <v>29.55</v>
      </c>
      <c r="G1274" s="44">
        <v>29.55</v>
      </c>
      <c r="H1274" s="44">
        <v>29.55</v>
      </c>
      <c r="I1274" s="44">
        <v>-0.65</v>
      </c>
      <c r="J1274" s="44">
        <v>-2.15</v>
      </c>
      <c r="K1274" s="44">
        <v>0</v>
      </c>
      <c r="L1274" s="44">
        <v>29.55</v>
      </c>
      <c r="M1274" s="44">
        <v>6</v>
      </c>
    </row>
    <row r="1275" spans="1:13" x14ac:dyDescent="0.25">
      <c r="A1275" s="45" t="s">
        <v>2289</v>
      </c>
      <c r="C1275" s="47"/>
    </row>
    <row r="1276" spans="1:13" x14ac:dyDescent="0.25">
      <c r="A1276" s="45" t="s">
        <v>2290</v>
      </c>
      <c r="C1276" s="47"/>
    </row>
    <row r="1277" spans="1:13" x14ac:dyDescent="0.25">
      <c r="A1277" s="45" t="s">
        <v>2291</v>
      </c>
      <c r="B1277" s="44" t="s">
        <v>4630</v>
      </c>
      <c r="C1277" s="47">
        <v>44250</v>
      </c>
      <c r="D1277" s="44">
        <v>202103</v>
      </c>
      <c r="E1277" s="44">
        <v>30.45</v>
      </c>
      <c r="F1277" s="44">
        <v>30.45</v>
      </c>
      <c r="G1277" s="44">
        <v>29.65</v>
      </c>
      <c r="H1277" s="44">
        <v>29.8</v>
      </c>
      <c r="I1277" s="44">
        <v>-0.65</v>
      </c>
      <c r="J1277" s="44">
        <v>-2.13</v>
      </c>
      <c r="K1277" s="44">
        <v>38</v>
      </c>
      <c r="L1277" s="44">
        <v>29.8</v>
      </c>
      <c r="M1277" s="44">
        <v>247</v>
      </c>
    </row>
    <row r="1278" spans="1:13" x14ac:dyDescent="0.25">
      <c r="A1278" s="45" t="s">
        <v>2292</v>
      </c>
      <c r="B1278" s="44" t="s">
        <v>4631</v>
      </c>
      <c r="C1278" s="47">
        <v>44250</v>
      </c>
      <c r="D1278" s="44">
        <v>202106</v>
      </c>
      <c r="E1278" s="44">
        <v>29.65</v>
      </c>
      <c r="F1278" s="44">
        <v>29.65</v>
      </c>
      <c r="G1278" s="44">
        <v>29.65</v>
      </c>
      <c r="H1278" s="44">
        <v>29.65</v>
      </c>
      <c r="I1278" s="44">
        <v>-0.65</v>
      </c>
      <c r="J1278" s="44">
        <v>-2.15</v>
      </c>
      <c r="K1278" s="44">
        <v>0</v>
      </c>
      <c r="L1278" s="44">
        <v>29.65</v>
      </c>
      <c r="M1278" s="44">
        <v>2</v>
      </c>
    </row>
    <row r="1279" spans="1:13" x14ac:dyDescent="0.25">
      <c r="A1279" s="45" t="s">
        <v>2293</v>
      </c>
      <c r="B1279" s="44" t="s">
        <v>4632</v>
      </c>
      <c r="C1279" s="47">
        <v>44250</v>
      </c>
      <c r="D1279" s="44">
        <v>202109</v>
      </c>
      <c r="E1279" s="44">
        <v>29.7</v>
      </c>
      <c r="F1279" s="44">
        <v>29.7</v>
      </c>
      <c r="G1279" s="44">
        <v>29.7</v>
      </c>
      <c r="H1279" s="44">
        <v>29.7</v>
      </c>
      <c r="I1279" s="44">
        <v>-0.65</v>
      </c>
      <c r="J1279" s="44">
        <v>-2.14</v>
      </c>
      <c r="K1279" s="44">
        <v>0</v>
      </c>
      <c r="L1279" s="44">
        <v>29.7</v>
      </c>
      <c r="M1279" s="44">
        <v>0</v>
      </c>
    </row>
    <row r="1280" spans="1:13" x14ac:dyDescent="0.25">
      <c r="A1280" s="45" t="s">
        <v>2294</v>
      </c>
      <c r="B1280" s="44" t="s">
        <v>4633</v>
      </c>
      <c r="C1280" s="47">
        <v>44250</v>
      </c>
      <c r="D1280" s="44">
        <v>202112</v>
      </c>
      <c r="E1280" s="44">
        <v>29.7</v>
      </c>
      <c r="F1280" s="44">
        <v>29.7</v>
      </c>
      <c r="G1280" s="44">
        <v>29.7</v>
      </c>
      <c r="H1280" s="44">
        <v>29.7</v>
      </c>
      <c r="I1280" s="44">
        <v>-0.65</v>
      </c>
      <c r="J1280" s="44">
        <v>-2.14</v>
      </c>
      <c r="K1280" s="44">
        <v>0</v>
      </c>
      <c r="L1280" s="44">
        <v>29.7</v>
      </c>
      <c r="M1280" s="44">
        <v>0</v>
      </c>
    </row>
    <row r="1281" spans="1:13" x14ac:dyDescent="0.25">
      <c r="A1281" s="45" t="s">
        <v>1085</v>
      </c>
      <c r="B1281" s="44" t="s">
        <v>4634</v>
      </c>
      <c r="C1281" s="47">
        <v>44250</v>
      </c>
      <c r="D1281" s="44">
        <v>202103</v>
      </c>
      <c r="E1281" s="44">
        <v>78.8</v>
      </c>
      <c r="F1281" s="44">
        <v>79.099999999999994</v>
      </c>
      <c r="G1281" s="44">
        <v>78.5</v>
      </c>
      <c r="H1281" s="44">
        <v>78.5</v>
      </c>
      <c r="I1281" s="44">
        <v>-0.2</v>
      </c>
      <c r="J1281" s="44">
        <v>-0.25</v>
      </c>
      <c r="K1281" s="44">
        <v>25</v>
      </c>
      <c r="L1281" s="44">
        <v>78.5</v>
      </c>
      <c r="M1281" s="44">
        <v>130</v>
      </c>
    </row>
    <row r="1282" spans="1:13" x14ac:dyDescent="0.25">
      <c r="A1282" s="45" t="s">
        <v>2295</v>
      </c>
      <c r="B1282" s="44" t="s">
        <v>4635</v>
      </c>
      <c r="C1282" s="47">
        <v>44250</v>
      </c>
      <c r="D1282" s="44">
        <v>202103</v>
      </c>
      <c r="E1282" s="44">
        <v>78.8</v>
      </c>
      <c r="F1282" s="44">
        <v>79.099999999999994</v>
      </c>
      <c r="G1282" s="44">
        <v>78.5</v>
      </c>
      <c r="H1282" s="44">
        <v>78.5</v>
      </c>
      <c r="I1282" s="44">
        <v>-0.2</v>
      </c>
      <c r="J1282" s="44">
        <v>-0.25</v>
      </c>
      <c r="K1282" s="44">
        <v>25</v>
      </c>
      <c r="L1282" s="44">
        <v>78.5</v>
      </c>
      <c r="M1282" s="44">
        <v>130</v>
      </c>
    </row>
    <row r="1283" spans="1:13" x14ac:dyDescent="0.25">
      <c r="A1283" s="45" t="s">
        <v>2296</v>
      </c>
      <c r="B1283" s="44" t="s">
        <v>4636</v>
      </c>
      <c r="C1283" s="47">
        <v>44250</v>
      </c>
      <c r="D1283" s="44">
        <v>202104</v>
      </c>
      <c r="E1283" s="44">
        <v>78.599999999999994</v>
      </c>
      <c r="F1283" s="44">
        <v>78.599999999999994</v>
      </c>
      <c r="G1283" s="44">
        <v>78.599999999999994</v>
      </c>
      <c r="H1283" s="44">
        <v>78.599999999999994</v>
      </c>
      <c r="I1283" s="44">
        <v>0</v>
      </c>
      <c r="J1283" s="44">
        <v>0</v>
      </c>
      <c r="K1283" s="44">
        <v>1</v>
      </c>
      <c r="L1283" s="44">
        <v>78.599999999999994</v>
      </c>
      <c r="M1283" s="44">
        <v>2</v>
      </c>
    </row>
    <row r="1284" spans="1:13" x14ac:dyDescent="0.25">
      <c r="A1284" s="45" t="s">
        <v>2297</v>
      </c>
      <c r="B1284" s="44" t="s">
        <v>4637</v>
      </c>
      <c r="C1284" s="47">
        <v>44250</v>
      </c>
      <c r="D1284" s="44">
        <v>202104</v>
      </c>
      <c r="E1284" s="44">
        <v>78.599999999999994</v>
      </c>
      <c r="F1284" s="44">
        <v>78.599999999999994</v>
      </c>
      <c r="G1284" s="44">
        <v>78.599999999999994</v>
      </c>
      <c r="H1284" s="44">
        <v>78.599999999999994</v>
      </c>
      <c r="I1284" s="44">
        <v>0</v>
      </c>
      <c r="J1284" s="44">
        <v>0</v>
      </c>
      <c r="K1284" s="44">
        <v>1</v>
      </c>
      <c r="L1284" s="44">
        <v>78.599999999999994</v>
      </c>
      <c r="M1284" s="44">
        <v>2</v>
      </c>
    </row>
    <row r="1285" spans="1:13" x14ac:dyDescent="0.25">
      <c r="A1285" s="45" t="s">
        <v>2298</v>
      </c>
      <c r="C1285" s="47"/>
    </row>
    <row r="1286" spans="1:13" x14ac:dyDescent="0.25">
      <c r="A1286" s="45" t="s">
        <v>2299</v>
      </c>
      <c r="C1286" s="47"/>
    </row>
    <row r="1287" spans="1:13" x14ac:dyDescent="0.25">
      <c r="A1287" s="45" t="s">
        <v>2300</v>
      </c>
      <c r="B1287" s="44" t="s">
        <v>4638</v>
      </c>
      <c r="C1287" s="47">
        <v>44250</v>
      </c>
      <c r="D1287" s="44">
        <v>202103</v>
      </c>
      <c r="E1287" s="44">
        <v>78.8</v>
      </c>
      <c r="F1287" s="44">
        <v>79.099999999999994</v>
      </c>
      <c r="G1287" s="44">
        <v>78.5</v>
      </c>
      <c r="H1287" s="44">
        <v>78.5</v>
      </c>
      <c r="I1287" s="44">
        <v>-0.2</v>
      </c>
      <c r="J1287" s="44">
        <v>-0.25</v>
      </c>
      <c r="K1287" s="44">
        <v>25</v>
      </c>
      <c r="L1287" s="44">
        <v>78.5</v>
      </c>
      <c r="M1287" s="44">
        <v>130</v>
      </c>
    </row>
    <row r="1288" spans="1:13" x14ac:dyDescent="0.25">
      <c r="A1288" s="45" t="s">
        <v>2301</v>
      </c>
      <c r="B1288" s="44" t="s">
        <v>4639</v>
      </c>
      <c r="C1288" s="47">
        <v>44250</v>
      </c>
      <c r="D1288" s="44">
        <v>202106</v>
      </c>
      <c r="E1288" s="44">
        <v>78.400000000000006</v>
      </c>
      <c r="F1288" s="44">
        <v>78.400000000000006</v>
      </c>
      <c r="G1288" s="44">
        <v>78.400000000000006</v>
      </c>
      <c r="H1288" s="44">
        <v>78.400000000000006</v>
      </c>
      <c r="I1288" s="44">
        <v>-0.2</v>
      </c>
      <c r="J1288" s="44">
        <v>-0.25</v>
      </c>
      <c r="K1288" s="44">
        <v>0</v>
      </c>
      <c r="L1288" s="44">
        <v>78.400000000000006</v>
      </c>
      <c r="M1288" s="44">
        <v>0</v>
      </c>
    </row>
    <row r="1289" spans="1:13" x14ac:dyDescent="0.25">
      <c r="A1289" s="45" t="s">
        <v>2302</v>
      </c>
      <c r="B1289" s="44" t="s">
        <v>4640</v>
      </c>
      <c r="C1289" s="47">
        <v>44250</v>
      </c>
      <c r="D1289" s="44">
        <v>202109</v>
      </c>
      <c r="E1289" s="44">
        <v>78.2</v>
      </c>
      <c r="F1289" s="44">
        <v>78.2</v>
      </c>
      <c r="G1289" s="44">
        <v>78.2</v>
      </c>
      <c r="H1289" s="44">
        <v>78.2</v>
      </c>
      <c r="I1289" s="44">
        <v>-0.2</v>
      </c>
      <c r="J1289" s="44">
        <v>-0.26</v>
      </c>
      <c r="K1289" s="44">
        <v>0</v>
      </c>
      <c r="L1289" s="44">
        <v>78.2</v>
      </c>
      <c r="M1289" s="44">
        <v>0</v>
      </c>
    </row>
    <row r="1290" spans="1:13" x14ac:dyDescent="0.25">
      <c r="A1290" s="45" t="s">
        <v>2303</v>
      </c>
      <c r="B1290" s="44" t="s">
        <v>4641</v>
      </c>
      <c r="C1290" s="47">
        <v>44250</v>
      </c>
      <c r="D1290" s="44">
        <v>202112</v>
      </c>
      <c r="E1290" s="44">
        <v>78.099999999999994</v>
      </c>
      <c r="F1290" s="44">
        <v>78.099999999999994</v>
      </c>
      <c r="G1290" s="44">
        <v>78.099999999999994</v>
      </c>
      <c r="H1290" s="44">
        <v>78.099999999999994</v>
      </c>
      <c r="I1290" s="44">
        <v>-0.2</v>
      </c>
      <c r="J1290" s="44">
        <v>-0.26</v>
      </c>
      <c r="K1290" s="44">
        <v>0</v>
      </c>
      <c r="L1290" s="44">
        <v>78.099999999999994</v>
      </c>
      <c r="M1290" s="44">
        <v>0</v>
      </c>
    </row>
    <row r="1291" spans="1:13" x14ac:dyDescent="0.25">
      <c r="A1291" s="45" t="s">
        <v>1095</v>
      </c>
      <c r="B1291" s="44" t="s">
        <v>4642</v>
      </c>
      <c r="C1291" s="47">
        <v>44250</v>
      </c>
      <c r="D1291" s="44">
        <v>202103</v>
      </c>
      <c r="E1291" s="44">
        <v>52.6</v>
      </c>
      <c r="F1291" s="44">
        <v>52.8</v>
      </c>
      <c r="G1291" s="44">
        <v>52.3</v>
      </c>
      <c r="H1291" s="44">
        <v>52.8</v>
      </c>
      <c r="I1291" s="44">
        <v>0</v>
      </c>
      <c r="J1291" s="44">
        <v>0</v>
      </c>
      <c r="K1291" s="44">
        <v>28</v>
      </c>
      <c r="L1291" s="44">
        <v>52.8</v>
      </c>
      <c r="M1291" s="44">
        <v>48</v>
      </c>
    </row>
    <row r="1292" spans="1:13" x14ac:dyDescent="0.25">
      <c r="A1292" s="45" t="s">
        <v>2304</v>
      </c>
      <c r="B1292" s="44" t="s">
        <v>4643</v>
      </c>
      <c r="C1292" s="47">
        <v>44250</v>
      </c>
      <c r="D1292" s="44">
        <v>202103</v>
      </c>
      <c r="E1292" s="44">
        <v>52.6</v>
      </c>
      <c r="F1292" s="44">
        <v>52.8</v>
      </c>
      <c r="G1292" s="44">
        <v>52.3</v>
      </c>
      <c r="H1292" s="44">
        <v>52.8</v>
      </c>
      <c r="I1292" s="44">
        <v>0</v>
      </c>
      <c r="J1292" s="44">
        <v>0</v>
      </c>
      <c r="K1292" s="44">
        <v>28</v>
      </c>
      <c r="L1292" s="44">
        <v>52.8</v>
      </c>
      <c r="M1292" s="44">
        <v>48</v>
      </c>
    </row>
    <row r="1293" spans="1:13" x14ac:dyDescent="0.25">
      <c r="A1293" s="45" t="s">
        <v>2305</v>
      </c>
      <c r="B1293" s="44" t="s">
        <v>4644</v>
      </c>
      <c r="C1293" s="47">
        <v>44250</v>
      </c>
      <c r="D1293" s="44">
        <v>202104</v>
      </c>
      <c r="E1293" s="44">
        <v>52.7</v>
      </c>
      <c r="F1293" s="44">
        <v>52.7</v>
      </c>
      <c r="G1293" s="44">
        <v>52.7</v>
      </c>
      <c r="H1293" s="44">
        <v>52.7</v>
      </c>
      <c r="I1293" s="44">
        <v>0</v>
      </c>
      <c r="J1293" s="44">
        <v>0</v>
      </c>
      <c r="K1293" s="44">
        <v>0</v>
      </c>
      <c r="L1293" s="44">
        <v>52.7</v>
      </c>
      <c r="M1293" s="44">
        <v>8</v>
      </c>
    </row>
    <row r="1294" spans="1:13" x14ac:dyDescent="0.25">
      <c r="A1294" s="45" t="s">
        <v>2306</v>
      </c>
      <c r="B1294" s="44" t="s">
        <v>4645</v>
      </c>
      <c r="C1294" s="47">
        <v>44250</v>
      </c>
      <c r="D1294" s="44">
        <v>202104</v>
      </c>
      <c r="E1294" s="44">
        <v>52.7</v>
      </c>
      <c r="F1294" s="44">
        <v>52.7</v>
      </c>
      <c r="G1294" s="44">
        <v>52.7</v>
      </c>
      <c r="H1294" s="44">
        <v>52.7</v>
      </c>
      <c r="I1294" s="44">
        <v>0</v>
      </c>
      <c r="J1294" s="44">
        <v>0</v>
      </c>
      <c r="K1294" s="44">
        <v>0</v>
      </c>
      <c r="L1294" s="44">
        <v>52.7</v>
      </c>
      <c r="M1294" s="44">
        <v>8</v>
      </c>
    </row>
    <row r="1295" spans="1:13" x14ac:dyDescent="0.25">
      <c r="A1295" s="45" t="s">
        <v>2307</v>
      </c>
      <c r="C1295" s="47"/>
    </row>
    <row r="1296" spans="1:13" x14ac:dyDescent="0.25">
      <c r="A1296" s="45" t="s">
        <v>2308</v>
      </c>
      <c r="C1296" s="47"/>
    </row>
    <row r="1297" spans="1:13" x14ac:dyDescent="0.25">
      <c r="A1297" s="45" t="s">
        <v>2309</v>
      </c>
      <c r="B1297" s="44" t="s">
        <v>4646</v>
      </c>
      <c r="C1297" s="47">
        <v>44250</v>
      </c>
      <c r="D1297" s="44">
        <v>202103</v>
      </c>
      <c r="E1297" s="44">
        <v>52.6</v>
      </c>
      <c r="F1297" s="44">
        <v>52.8</v>
      </c>
      <c r="G1297" s="44">
        <v>52.3</v>
      </c>
      <c r="H1297" s="44">
        <v>52.8</v>
      </c>
      <c r="I1297" s="44">
        <v>0</v>
      </c>
      <c r="J1297" s="44">
        <v>0</v>
      </c>
      <c r="K1297" s="44">
        <v>28</v>
      </c>
      <c r="L1297" s="44">
        <v>52.8</v>
      </c>
      <c r="M1297" s="44">
        <v>48</v>
      </c>
    </row>
    <row r="1298" spans="1:13" x14ac:dyDescent="0.25">
      <c r="A1298" s="45" t="s">
        <v>2310</v>
      </c>
      <c r="B1298" s="44" t="s">
        <v>4647</v>
      </c>
      <c r="C1298" s="47">
        <v>44250</v>
      </c>
      <c r="D1298" s="44">
        <v>202106</v>
      </c>
      <c r="E1298" s="44">
        <v>52.9</v>
      </c>
      <c r="F1298" s="44">
        <v>52.9</v>
      </c>
      <c r="G1298" s="44">
        <v>52.9</v>
      </c>
      <c r="H1298" s="44">
        <v>52.9</v>
      </c>
      <c r="I1298" s="44">
        <v>0</v>
      </c>
      <c r="J1298" s="44">
        <v>0</v>
      </c>
      <c r="K1298" s="44">
        <v>0</v>
      </c>
      <c r="L1298" s="44">
        <v>52.9</v>
      </c>
      <c r="M1298" s="44">
        <v>0</v>
      </c>
    </row>
    <row r="1299" spans="1:13" x14ac:dyDescent="0.25">
      <c r="A1299" s="45" t="s">
        <v>2311</v>
      </c>
      <c r="B1299" s="44" t="s">
        <v>4648</v>
      </c>
      <c r="C1299" s="47">
        <v>44250</v>
      </c>
      <c r="D1299" s="44">
        <v>202109</v>
      </c>
      <c r="E1299" s="44">
        <v>52.6</v>
      </c>
      <c r="F1299" s="44">
        <v>52.6</v>
      </c>
      <c r="G1299" s="44">
        <v>52.6</v>
      </c>
      <c r="H1299" s="44">
        <v>52.6</v>
      </c>
      <c r="I1299" s="44">
        <v>0</v>
      </c>
      <c r="J1299" s="44">
        <v>0</v>
      </c>
      <c r="K1299" s="44">
        <v>0</v>
      </c>
      <c r="L1299" s="44">
        <v>52.6</v>
      </c>
      <c r="M1299" s="44">
        <v>0</v>
      </c>
    </row>
    <row r="1300" spans="1:13" x14ac:dyDescent="0.25">
      <c r="A1300" s="45" t="s">
        <v>2312</v>
      </c>
      <c r="B1300" s="44" t="s">
        <v>4649</v>
      </c>
      <c r="C1300" s="47">
        <v>44250</v>
      </c>
      <c r="D1300" s="44">
        <v>202112</v>
      </c>
      <c r="E1300" s="44">
        <v>53</v>
      </c>
      <c r="F1300" s="44">
        <v>53</v>
      </c>
      <c r="G1300" s="44">
        <v>53</v>
      </c>
      <c r="H1300" s="44">
        <v>53</v>
      </c>
      <c r="I1300" s="44">
        <v>0</v>
      </c>
      <c r="J1300" s="44">
        <v>0</v>
      </c>
      <c r="K1300" s="44">
        <v>0</v>
      </c>
      <c r="L1300" s="44">
        <v>53</v>
      </c>
      <c r="M1300" s="44">
        <v>0</v>
      </c>
    </row>
    <row r="1301" spans="1:13" x14ac:dyDescent="0.25">
      <c r="A1301" s="45" t="s">
        <v>1101</v>
      </c>
      <c r="B1301" s="44" t="s">
        <v>4650</v>
      </c>
      <c r="C1301" s="47">
        <v>44250</v>
      </c>
      <c r="D1301" s="44">
        <v>202103</v>
      </c>
      <c r="E1301" s="44">
        <v>44.1</v>
      </c>
      <c r="F1301" s="44">
        <v>45.35</v>
      </c>
      <c r="G1301" s="44">
        <v>44.1</v>
      </c>
      <c r="H1301" s="44">
        <v>44.9</v>
      </c>
      <c r="I1301" s="44">
        <v>0.6</v>
      </c>
      <c r="J1301" s="44">
        <v>1.35</v>
      </c>
      <c r="K1301" s="44">
        <v>46</v>
      </c>
      <c r="L1301" s="44">
        <v>44.9</v>
      </c>
      <c r="M1301" s="44">
        <v>95</v>
      </c>
    </row>
    <row r="1302" spans="1:13" x14ac:dyDescent="0.25">
      <c r="A1302" s="45" t="s">
        <v>2313</v>
      </c>
      <c r="B1302" s="44" t="s">
        <v>4651</v>
      </c>
      <c r="C1302" s="47">
        <v>44250</v>
      </c>
      <c r="D1302" s="44">
        <v>202103</v>
      </c>
      <c r="E1302" s="44">
        <v>44.1</v>
      </c>
      <c r="F1302" s="44">
        <v>45.35</v>
      </c>
      <c r="G1302" s="44">
        <v>44.1</v>
      </c>
      <c r="H1302" s="44">
        <v>44.9</v>
      </c>
      <c r="I1302" s="44">
        <v>0.6</v>
      </c>
      <c r="J1302" s="44">
        <v>1.35</v>
      </c>
      <c r="K1302" s="44">
        <v>46</v>
      </c>
      <c r="L1302" s="44">
        <v>44.9</v>
      </c>
      <c r="M1302" s="44">
        <v>95</v>
      </c>
    </row>
    <row r="1303" spans="1:13" x14ac:dyDescent="0.25">
      <c r="A1303" s="45" t="s">
        <v>2314</v>
      </c>
      <c r="B1303" s="44" t="s">
        <v>4652</v>
      </c>
      <c r="C1303" s="47">
        <v>44250</v>
      </c>
      <c r="D1303" s="44">
        <v>202104</v>
      </c>
      <c r="E1303" s="44">
        <v>44.2</v>
      </c>
      <c r="F1303" s="44">
        <v>44.2</v>
      </c>
      <c r="G1303" s="44">
        <v>44.2</v>
      </c>
      <c r="H1303" s="44">
        <v>44.2</v>
      </c>
      <c r="I1303" s="44">
        <v>0</v>
      </c>
      <c r="J1303" s="44">
        <v>0</v>
      </c>
      <c r="K1303" s="44">
        <v>1</v>
      </c>
      <c r="L1303" s="44">
        <v>44.8</v>
      </c>
      <c r="M1303" s="44">
        <v>2</v>
      </c>
    </row>
    <row r="1304" spans="1:13" x14ac:dyDescent="0.25">
      <c r="A1304" s="45" t="s">
        <v>2315</v>
      </c>
      <c r="B1304" s="44" t="s">
        <v>4653</v>
      </c>
      <c r="C1304" s="47">
        <v>44250</v>
      </c>
      <c r="D1304" s="44">
        <v>202104</v>
      </c>
      <c r="E1304" s="44">
        <v>44.2</v>
      </c>
      <c r="F1304" s="44">
        <v>44.2</v>
      </c>
      <c r="G1304" s="44">
        <v>44.2</v>
      </c>
      <c r="H1304" s="44">
        <v>44.2</v>
      </c>
      <c r="I1304" s="44">
        <v>0</v>
      </c>
      <c r="J1304" s="44">
        <v>0</v>
      </c>
      <c r="K1304" s="44">
        <v>1</v>
      </c>
      <c r="L1304" s="44">
        <v>44.8</v>
      </c>
      <c r="M1304" s="44">
        <v>2</v>
      </c>
    </row>
    <row r="1305" spans="1:13" x14ac:dyDescent="0.25">
      <c r="A1305" s="45" t="s">
        <v>2316</v>
      </c>
      <c r="C1305" s="47"/>
    </row>
    <row r="1306" spans="1:13" x14ac:dyDescent="0.25">
      <c r="A1306" s="45" t="s">
        <v>2317</v>
      </c>
      <c r="C1306" s="47"/>
    </row>
    <row r="1307" spans="1:13" x14ac:dyDescent="0.25">
      <c r="A1307" s="45" t="s">
        <v>2318</v>
      </c>
      <c r="B1307" s="44" t="s">
        <v>4654</v>
      </c>
      <c r="C1307" s="47">
        <v>44250</v>
      </c>
      <c r="D1307" s="44">
        <v>202103</v>
      </c>
      <c r="E1307" s="44">
        <v>44.1</v>
      </c>
      <c r="F1307" s="44">
        <v>45.35</v>
      </c>
      <c r="G1307" s="44">
        <v>44.1</v>
      </c>
      <c r="H1307" s="44">
        <v>44.9</v>
      </c>
      <c r="I1307" s="44">
        <v>0.6</v>
      </c>
      <c r="J1307" s="44">
        <v>1.35</v>
      </c>
      <c r="K1307" s="44">
        <v>46</v>
      </c>
      <c r="L1307" s="44">
        <v>44.9</v>
      </c>
      <c r="M1307" s="44">
        <v>95</v>
      </c>
    </row>
    <row r="1308" spans="1:13" x14ac:dyDescent="0.25">
      <c r="A1308" s="45" t="s">
        <v>2319</v>
      </c>
      <c r="B1308" s="44" t="s">
        <v>4655</v>
      </c>
      <c r="C1308" s="47">
        <v>44250</v>
      </c>
      <c r="D1308" s="44">
        <v>202106</v>
      </c>
      <c r="E1308" s="44">
        <v>44.9</v>
      </c>
      <c r="F1308" s="44">
        <v>44.9</v>
      </c>
      <c r="G1308" s="44">
        <v>44.9</v>
      </c>
      <c r="H1308" s="44">
        <v>44.9</v>
      </c>
      <c r="I1308" s="44">
        <v>0.6</v>
      </c>
      <c r="J1308" s="44">
        <v>1.35</v>
      </c>
      <c r="K1308" s="44">
        <v>0</v>
      </c>
      <c r="L1308" s="44">
        <v>44.9</v>
      </c>
      <c r="M1308" s="44">
        <v>0</v>
      </c>
    </row>
    <row r="1309" spans="1:13" x14ac:dyDescent="0.25">
      <c r="A1309" s="45" t="s">
        <v>2320</v>
      </c>
      <c r="B1309" s="44" t="s">
        <v>4656</v>
      </c>
      <c r="C1309" s="47">
        <v>44250</v>
      </c>
      <c r="D1309" s="44">
        <v>202109</v>
      </c>
      <c r="E1309" s="44">
        <v>44.9</v>
      </c>
      <c r="F1309" s="44">
        <v>44.9</v>
      </c>
      <c r="G1309" s="44">
        <v>44.9</v>
      </c>
      <c r="H1309" s="44">
        <v>44.9</v>
      </c>
      <c r="I1309" s="44">
        <v>0.6</v>
      </c>
      <c r="J1309" s="44">
        <v>1.35</v>
      </c>
      <c r="K1309" s="44">
        <v>0</v>
      </c>
      <c r="L1309" s="44">
        <v>44.9</v>
      </c>
      <c r="M1309" s="44">
        <v>0</v>
      </c>
    </row>
    <row r="1310" spans="1:13" x14ac:dyDescent="0.25">
      <c r="A1310" s="45" t="s">
        <v>2321</v>
      </c>
      <c r="B1310" s="44" t="s">
        <v>4657</v>
      </c>
      <c r="C1310" s="47">
        <v>44250</v>
      </c>
      <c r="D1310" s="44">
        <v>202112</v>
      </c>
      <c r="E1310" s="44">
        <v>44.85</v>
      </c>
      <c r="F1310" s="44">
        <v>44.85</v>
      </c>
      <c r="G1310" s="44">
        <v>44.85</v>
      </c>
      <c r="H1310" s="44">
        <v>44.85</v>
      </c>
      <c r="I1310" s="44">
        <v>0.6</v>
      </c>
      <c r="J1310" s="44">
        <v>1.36</v>
      </c>
      <c r="K1310" s="44">
        <v>0</v>
      </c>
      <c r="L1310" s="44">
        <v>44.85</v>
      </c>
      <c r="M1310" s="44">
        <v>0</v>
      </c>
    </row>
    <row r="1311" spans="1:13" x14ac:dyDescent="0.25">
      <c r="A1311" s="45" t="s">
        <v>1106</v>
      </c>
      <c r="B1311" s="44" t="s">
        <v>4658</v>
      </c>
      <c r="C1311" s="47">
        <v>44250</v>
      </c>
      <c r="D1311" s="44">
        <v>202103</v>
      </c>
      <c r="E1311" s="44">
        <v>30.1</v>
      </c>
      <c r="F1311" s="44">
        <v>30.35</v>
      </c>
      <c r="G1311" s="44">
        <v>30.1</v>
      </c>
      <c r="H1311" s="44">
        <v>30.35</v>
      </c>
      <c r="I1311" s="44">
        <v>0.55000000000000004</v>
      </c>
      <c r="J1311" s="44">
        <v>1.85</v>
      </c>
      <c r="K1311" s="44">
        <v>76</v>
      </c>
      <c r="L1311" s="44">
        <v>30.35</v>
      </c>
      <c r="M1311" s="44">
        <v>876</v>
      </c>
    </row>
    <row r="1312" spans="1:13" x14ac:dyDescent="0.25">
      <c r="A1312" s="45" t="s">
        <v>2322</v>
      </c>
      <c r="B1312" s="44" t="s">
        <v>4659</v>
      </c>
      <c r="C1312" s="47">
        <v>44250</v>
      </c>
      <c r="D1312" s="44">
        <v>202103</v>
      </c>
      <c r="E1312" s="44">
        <v>30.1</v>
      </c>
      <c r="F1312" s="44">
        <v>30.35</v>
      </c>
      <c r="G1312" s="44">
        <v>30.1</v>
      </c>
      <c r="H1312" s="44">
        <v>30.35</v>
      </c>
      <c r="I1312" s="44">
        <v>0.55000000000000004</v>
      </c>
      <c r="J1312" s="44">
        <v>1.85</v>
      </c>
      <c r="K1312" s="44">
        <v>76</v>
      </c>
      <c r="L1312" s="44">
        <v>30.35</v>
      </c>
      <c r="M1312" s="44">
        <v>876</v>
      </c>
    </row>
    <row r="1313" spans="1:13" x14ac:dyDescent="0.25">
      <c r="A1313" s="45" t="s">
        <v>2323</v>
      </c>
      <c r="B1313" s="44" t="s">
        <v>4660</v>
      </c>
      <c r="C1313" s="47">
        <v>44250</v>
      </c>
      <c r="D1313" s="44">
        <v>202104</v>
      </c>
      <c r="E1313" s="44">
        <v>30.15</v>
      </c>
      <c r="F1313" s="44">
        <v>30.15</v>
      </c>
      <c r="G1313" s="44">
        <v>30.1</v>
      </c>
      <c r="H1313" s="44">
        <v>30.15</v>
      </c>
      <c r="I1313" s="44">
        <v>0.3</v>
      </c>
      <c r="J1313" s="44">
        <v>1.01</v>
      </c>
      <c r="K1313" s="44">
        <v>16</v>
      </c>
      <c r="L1313" s="44">
        <v>30.3</v>
      </c>
      <c r="M1313" s="44">
        <v>81</v>
      </c>
    </row>
    <row r="1314" spans="1:13" x14ac:dyDescent="0.25">
      <c r="A1314" s="45" t="s">
        <v>2324</v>
      </c>
      <c r="B1314" s="44" t="s">
        <v>4661</v>
      </c>
      <c r="C1314" s="47">
        <v>44250</v>
      </c>
      <c r="D1314" s="44">
        <v>202104</v>
      </c>
      <c r="E1314" s="44">
        <v>30.15</v>
      </c>
      <c r="F1314" s="44">
        <v>30.15</v>
      </c>
      <c r="G1314" s="44">
        <v>30.1</v>
      </c>
      <c r="H1314" s="44">
        <v>30.15</v>
      </c>
      <c r="I1314" s="44">
        <v>0.3</v>
      </c>
      <c r="J1314" s="44">
        <v>1.01</v>
      </c>
      <c r="K1314" s="44">
        <v>16</v>
      </c>
      <c r="L1314" s="44">
        <v>30.3</v>
      </c>
      <c r="M1314" s="44">
        <v>81</v>
      </c>
    </row>
    <row r="1315" spans="1:13" x14ac:dyDescent="0.25">
      <c r="A1315" s="45" t="s">
        <v>2325</v>
      </c>
      <c r="C1315" s="47"/>
    </row>
    <row r="1316" spans="1:13" x14ac:dyDescent="0.25">
      <c r="A1316" s="45" t="s">
        <v>2326</v>
      </c>
      <c r="C1316" s="47"/>
    </row>
    <row r="1317" spans="1:13" x14ac:dyDescent="0.25">
      <c r="A1317" s="45" t="s">
        <v>2327</v>
      </c>
      <c r="B1317" s="44" t="s">
        <v>4662</v>
      </c>
      <c r="C1317" s="47">
        <v>44250</v>
      </c>
      <c r="D1317" s="44">
        <v>202103</v>
      </c>
      <c r="E1317" s="44">
        <v>30.1</v>
      </c>
      <c r="F1317" s="44">
        <v>30.35</v>
      </c>
      <c r="G1317" s="44">
        <v>30.1</v>
      </c>
      <c r="H1317" s="44">
        <v>30.35</v>
      </c>
      <c r="I1317" s="44">
        <v>0.55000000000000004</v>
      </c>
      <c r="J1317" s="44">
        <v>1.85</v>
      </c>
      <c r="K1317" s="44">
        <v>76</v>
      </c>
      <c r="L1317" s="44">
        <v>30.35</v>
      </c>
      <c r="M1317" s="44">
        <v>876</v>
      </c>
    </row>
    <row r="1318" spans="1:13" x14ac:dyDescent="0.25">
      <c r="A1318" s="45" t="s">
        <v>2328</v>
      </c>
      <c r="B1318" s="44" t="s">
        <v>4663</v>
      </c>
      <c r="C1318" s="47">
        <v>44250</v>
      </c>
      <c r="D1318" s="44">
        <v>202106</v>
      </c>
      <c r="E1318" s="44">
        <v>30.25</v>
      </c>
      <c r="F1318" s="44">
        <v>30.25</v>
      </c>
      <c r="G1318" s="44">
        <v>30.25</v>
      </c>
      <c r="H1318" s="44">
        <v>30.25</v>
      </c>
      <c r="I1318" s="44">
        <v>0.55000000000000004</v>
      </c>
      <c r="J1318" s="44">
        <v>1.85</v>
      </c>
      <c r="K1318" s="44">
        <v>0</v>
      </c>
      <c r="L1318" s="44">
        <v>30.25</v>
      </c>
      <c r="M1318" s="44">
        <v>23</v>
      </c>
    </row>
    <row r="1319" spans="1:13" x14ac:dyDescent="0.25">
      <c r="A1319" s="45" t="s">
        <v>2329</v>
      </c>
      <c r="B1319" s="44" t="s">
        <v>4664</v>
      </c>
      <c r="C1319" s="47">
        <v>44250</v>
      </c>
      <c r="D1319" s="44">
        <v>202109</v>
      </c>
      <c r="E1319" s="44">
        <v>30.25</v>
      </c>
      <c r="F1319" s="44">
        <v>30.25</v>
      </c>
      <c r="G1319" s="44">
        <v>30.25</v>
      </c>
      <c r="H1319" s="44">
        <v>30.25</v>
      </c>
      <c r="I1319" s="44">
        <v>0.55000000000000004</v>
      </c>
      <c r="J1319" s="44">
        <v>1.85</v>
      </c>
      <c r="K1319" s="44">
        <v>0</v>
      </c>
      <c r="L1319" s="44">
        <v>30.25</v>
      </c>
      <c r="M1319" s="44">
        <v>16</v>
      </c>
    </row>
    <row r="1320" spans="1:13" x14ac:dyDescent="0.25">
      <c r="A1320" s="45" t="s">
        <v>2330</v>
      </c>
      <c r="B1320" s="44" t="s">
        <v>4665</v>
      </c>
      <c r="C1320" s="47">
        <v>44250</v>
      </c>
      <c r="D1320" s="44">
        <v>202112</v>
      </c>
      <c r="E1320" s="44">
        <v>30.35</v>
      </c>
      <c r="F1320" s="44">
        <v>30.35</v>
      </c>
      <c r="G1320" s="44">
        <v>30.35</v>
      </c>
      <c r="H1320" s="44">
        <v>30.35</v>
      </c>
      <c r="I1320" s="44">
        <v>0.55000000000000004</v>
      </c>
      <c r="J1320" s="44">
        <v>1.85</v>
      </c>
      <c r="K1320" s="44">
        <v>0</v>
      </c>
      <c r="L1320" s="44">
        <v>30.35</v>
      </c>
      <c r="M1320" s="44">
        <v>0</v>
      </c>
    </row>
    <row r="1321" spans="1:13" x14ac:dyDescent="0.25">
      <c r="A1321" s="45" t="s">
        <v>1109</v>
      </c>
      <c r="B1321" s="44" t="s">
        <v>4666</v>
      </c>
      <c r="C1321" s="47">
        <v>44250</v>
      </c>
      <c r="D1321" s="44">
        <v>202103</v>
      </c>
      <c r="E1321" s="44">
        <v>62.5</v>
      </c>
      <c r="F1321" s="44">
        <v>63</v>
      </c>
      <c r="G1321" s="44">
        <v>62.5</v>
      </c>
      <c r="H1321" s="44">
        <v>62.5</v>
      </c>
      <c r="I1321" s="44">
        <v>-0.5</v>
      </c>
      <c r="J1321" s="44">
        <v>-0.79</v>
      </c>
      <c r="K1321" s="44">
        <v>49</v>
      </c>
      <c r="L1321" s="44">
        <v>62.5</v>
      </c>
      <c r="M1321" s="44">
        <v>468</v>
      </c>
    </row>
    <row r="1322" spans="1:13" x14ac:dyDescent="0.25">
      <c r="A1322" s="45" t="s">
        <v>2331</v>
      </c>
      <c r="B1322" s="44" t="s">
        <v>4667</v>
      </c>
      <c r="C1322" s="47">
        <v>44250</v>
      </c>
      <c r="D1322" s="44">
        <v>202103</v>
      </c>
      <c r="E1322" s="44">
        <v>62.5</v>
      </c>
      <c r="F1322" s="44">
        <v>63</v>
      </c>
      <c r="G1322" s="44">
        <v>62.5</v>
      </c>
      <c r="H1322" s="44">
        <v>62.5</v>
      </c>
      <c r="I1322" s="44">
        <v>-0.5</v>
      </c>
      <c r="J1322" s="44">
        <v>-0.79</v>
      </c>
      <c r="K1322" s="44">
        <v>49</v>
      </c>
      <c r="L1322" s="44">
        <v>62.5</v>
      </c>
      <c r="M1322" s="44">
        <v>468</v>
      </c>
    </row>
    <row r="1323" spans="1:13" x14ac:dyDescent="0.25">
      <c r="A1323" s="45" t="s">
        <v>2332</v>
      </c>
      <c r="B1323" s="44" t="s">
        <v>4668</v>
      </c>
      <c r="C1323" s="47">
        <v>44250</v>
      </c>
      <c r="D1323" s="44">
        <v>202104</v>
      </c>
      <c r="E1323" s="44">
        <v>62.5</v>
      </c>
      <c r="F1323" s="44">
        <v>62.5</v>
      </c>
      <c r="G1323" s="44">
        <v>62.4</v>
      </c>
      <c r="H1323" s="44">
        <v>62.5</v>
      </c>
      <c r="I1323" s="44">
        <v>-0.5</v>
      </c>
      <c r="J1323" s="44">
        <v>-0.79</v>
      </c>
      <c r="K1323" s="44">
        <v>40</v>
      </c>
      <c r="L1323" s="44">
        <v>62.5</v>
      </c>
      <c r="M1323" s="44">
        <v>71</v>
      </c>
    </row>
    <row r="1324" spans="1:13" x14ac:dyDescent="0.25">
      <c r="A1324" s="45" t="s">
        <v>2333</v>
      </c>
      <c r="B1324" s="44" t="s">
        <v>4669</v>
      </c>
      <c r="C1324" s="47">
        <v>44250</v>
      </c>
      <c r="D1324" s="44">
        <v>202104</v>
      </c>
      <c r="E1324" s="44">
        <v>62.5</v>
      </c>
      <c r="F1324" s="44">
        <v>62.5</v>
      </c>
      <c r="G1324" s="44">
        <v>62.4</v>
      </c>
      <c r="H1324" s="44">
        <v>62.5</v>
      </c>
      <c r="I1324" s="44">
        <v>-0.5</v>
      </c>
      <c r="J1324" s="44">
        <v>-0.79</v>
      </c>
      <c r="K1324" s="44">
        <v>40</v>
      </c>
      <c r="L1324" s="44">
        <v>62.5</v>
      </c>
      <c r="M1324" s="44">
        <v>71</v>
      </c>
    </row>
    <row r="1325" spans="1:13" x14ac:dyDescent="0.25">
      <c r="A1325" s="45" t="s">
        <v>2334</v>
      </c>
      <c r="C1325" s="47"/>
    </row>
    <row r="1326" spans="1:13" x14ac:dyDescent="0.25">
      <c r="A1326" s="45" t="s">
        <v>2335</v>
      </c>
      <c r="C1326" s="47"/>
    </row>
    <row r="1327" spans="1:13" x14ac:dyDescent="0.25">
      <c r="A1327" s="45" t="s">
        <v>2336</v>
      </c>
      <c r="B1327" s="44" t="s">
        <v>4670</v>
      </c>
      <c r="C1327" s="47">
        <v>44250</v>
      </c>
      <c r="D1327" s="44">
        <v>202103</v>
      </c>
      <c r="E1327" s="44">
        <v>62.5</v>
      </c>
      <c r="F1327" s="44">
        <v>63</v>
      </c>
      <c r="G1327" s="44">
        <v>62.5</v>
      </c>
      <c r="H1327" s="44">
        <v>62.5</v>
      </c>
      <c r="I1327" s="44">
        <v>-0.5</v>
      </c>
      <c r="J1327" s="44">
        <v>-0.79</v>
      </c>
      <c r="K1327" s="44">
        <v>49</v>
      </c>
      <c r="L1327" s="44">
        <v>62.5</v>
      </c>
      <c r="M1327" s="44">
        <v>468</v>
      </c>
    </row>
    <row r="1328" spans="1:13" x14ac:dyDescent="0.25">
      <c r="A1328" s="45" t="s">
        <v>2337</v>
      </c>
      <c r="B1328" s="44" t="s">
        <v>4671</v>
      </c>
      <c r="C1328" s="47">
        <v>44250</v>
      </c>
      <c r="D1328" s="44">
        <v>202106</v>
      </c>
      <c r="E1328" s="44">
        <v>62.8</v>
      </c>
      <c r="F1328" s="44">
        <v>62.8</v>
      </c>
      <c r="G1328" s="44">
        <v>62.8</v>
      </c>
      <c r="H1328" s="44">
        <v>62.8</v>
      </c>
      <c r="I1328" s="44">
        <v>-0.5</v>
      </c>
      <c r="J1328" s="44">
        <v>-0.79</v>
      </c>
      <c r="K1328" s="44">
        <v>0</v>
      </c>
      <c r="L1328" s="44">
        <v>62.8</v>
      </c>
      <c r="M1328" s="44">
        <v>0</v>
      </c>
    </row>
    <row r="1329" spans="1:13" x14ac:dyDescent="0.25">
      <c r="A1329" s="45" t="s">
        <v>2338</v>
      </c>
      <c r="B1329" s="44" t="s">
        <v>4672</v>
      </c>
      <c r="C1329" s="47">
        <v>44250</v>
      </c>
      <c r="D1329" s="44">
        <v>202109</v>
      </c>
      <c r="E1329" s="44">
        <v>63</v>
      </c>
      <c r="F1329" s="44">
        <v>63</v>
      </c>
      <c r="G1329" s="44">
        <v>63</v>
      </c>
      <c r="H1329" s="44">
        <v>63</v>
      </c>
      <c r="I1329" s="44">
        <v>-0.5</v>
      </c>
      <c r="J1329" s="44">
        <v>-0.79</v>
      </c>
      <c r="K1329" s="44">
        <v>0</v>
      </c>
      <c r="L1329" s="44">
        <v>63</v>
      </c>
      <c r="M1329" s="44">
        <v>0</v>
      </c>
    </row>
    <row r="1330" spans="1:13" x14ac:dyDescent="0.25">
      <c r="A1330" s="45" t="s">
        <v>2339</v>
      </c>
      <c r="B1330" s="44" t="s">
        <v>4673</v>
      </c>
      <c r="C1330" s="47">
        <v>44250</v>
      </c>
      <c r="D1330" s="44">
        <v>202112</v>
      </c>
      <c r="E1330" s="44">
        <v>62.9</v>
      </c>
      <c r="F1330" s="44">
        <v>62.9</v>
      </c>
      <c r="G1330" s="44">
        <v>62.9</v>
      </c>
      <c r="H1330" s="44">
        <v>62.9</v>
      </c>
      <c r="I1330" s="44">
        <v>-0.5</v>
      </c>
      <c r="J1330" s="44">
        <v>-0.79</v>
      </c>
      <c r="K1330" s="44">
        <v>0</v>
      </c>
      <c r="L1330" s="44">
        <v>62.9</v>
      </c>
      <c r="M1330" s="44">
        <v>0</v>
      </c>
    </row>
    <row r="1331" spans="1:13" x14ac:dyDescent="0.25">
      <c r="A1331" s="45" t="s">
        <v>1110</v>
      </c>
      <c r="B1331" s="44" t="s">
        <v>4674</v>
      </c>
      <c r="C1331" s="47">
        <v>44250</v>
      </c>
      <c r="D1331" s="44">
        <v>202103</v>
      </c>
      <c r="E1331" s="44">
        <v>41.1</v>
      </c>
      <c r="F1331" s="44">
        <v>41.8</v>
      </c>
      <c r="G1331" s="44">
        <v>41.1</v>
      </c>
      <c r="H1331" s="44">
        <v>41.8</v>
      </c>
      <c r="I1331" s="44">
        <v>0.6</v>
      </c>
      <c r="J1331" s="44">
        <v>1.46</v>
      </c>
      <c r="K1331" s="44">
        <v>48</v>
      </c>
      <c r="L1331" s="44">
        <v>41.8</v>
      </c>
      <c r="M1331" s="44">
        <v>178</v>
      </c>
    </row>
    <row r="1332" spans="1:13" x14ac:dyDescent="0.25">
      <c r="A1332" s="45" t="s">
        <v>2340</v>
      </c>
      <c r="B1332" s="44" t="s">
        <v>4675</v>
      </c>
      <c r="C1332" s="47">
        <v>44250</v>
      </c>
      <c r="D1332" s="44">
        <v>202103</v>
      </c>
      <c r="E1332" s="44">
        <v>41.1</v>
      </c>
      <c r="F1332" s="44">
        <v>41.8</v>
      </c>
      <c r="G1332" s="44">
        <v>41.1</v>
      </c>
      <c r="H1332" s="44">
        <v>41.8</v>
      </c>
      <c r="I1332" s="44">
        <v>0.6</v>
      </c>
      <c r="J1332" s="44">
        <v>1.46</v>
      </c>
      <c r="K1332" s="44">
        <v>48</v>
      </c>
      <c r="L1332" s="44">
        <v>41.8</v>
      </c>
      <c r="M1332" s="44">
        <v>178</v>
      </c>
    </row>
    <row r="1333" spans="1:13" x14ac:dyDescent="0.25">
      <c r="A1333" s="45" t="s">
        <v>2341</v>
      </c>
      <c r="B1333" s="44" t="s">
        <v>4676</v>
      </c>
      <c r="C1333" s="47">
        <v>44250</v>
      </c>
      <c r="D1333" s="44">
        <v>202104</v>
      </c>
      <c r="E1333" s="44">
        <v>41.6</v>
      </c>
      <c r="F1333" s="44">
        <v>41.6</v>
      </c>
      <c r="G1333" s="44">
        <v>41.6</v>
      </c>
      <c r="H1333" s="44">
        <v>41.6</v>
      </c>
      <c r="I1333" s="44">
        <v>0.4</v>
      </c>
      <c r="J1333" s="44">
        <v>0.97</v>
      </c>
      <c r="K1333" s="44">
        <v>1</v>
      </c>
      <c r="L1333" s="44">
        <v>41.8</v>
      </c>
      <c r="M1333" s="44">
        <v>16</v>
      </c>
    </row>
    <row r="1334" spans="1:13" x14ac:dyDescent="0.25">
      <c r="A1334" s="45" t="s">
        <v>2342</v>
      </c>
      <c r="B1334" s="44" t="s">
        <v>4677</v>
      </c>
      <c r="C1334" s="47">
        <v>44250</v>
      </c>
      <c r="D1334" s="44">
        <v>202104</v>
      </c>
      <c r="E1334" s="44">
        <v>41.6</v>
      </c>
      <c r="F1334" s="44">
        <v>41.6</v>
      </c>
      <c r="G1334" s="44">
        <v>41.6</v>
      </c>
      <c r="H1334" s="44">
        <v>41.6</v>
      </c>
      <c r="I1334" s="44">
        <v>0.4</v>
      </c>
      <c r="J1334" s="44">
        <v>0.97</v>
      </c>
      <c r="K1334" s="44">
        <v>1</v>
      </c>
      <c r="L1334" s="44">
        <v>41.8</v>
      </c>
      <c r="M1334" s="44">
        <v>16</v>
      </c>
    </row>
    <row r="1335" spans="1:13" x14ac:dyDescent="0.25">
      <c r="A1335" s="45" t="s">
        <v>2343</v>
      </c>
      <c r="C1335" s="47"/>
    </row>
    <row r="1336" spans="1:13" x14ac:dyDescent="0.25">
      <c r="A1336" s="45" t="s">
        <v>2344</v>
      </c>
      <c r="C1336" s="47"/>
    </row>
    <row r="1337" spans="1:13" x14ac:dyDescent="0.25">
      <c r="A1337" s="45" t="s">
        <v>2345</v>
      </c>
      <c r="B1337" s="44" t="s">
        <v>4678</v>
      </c>
      <c r="C1337" s="47">
        <v>44250</v>
      </c>
      <c r="D1337" s="44">
        <v>202103</v>
      </c>
      <c r="E1337" s="44">
        <v>41.1</v>
      </c>
      <c r="F1337" s="44">
        <v>41.8</v>
      </c>
      <c r="G1337" s="44">
        <v>41.1</v>
      </c>
      <c r="H1337" s="44">
        <v>41.8</v>
      </c>
      <c r="I1337" s="44">
        <v>0.6</v>
      </c>
      <c r="J1337" s="44">
        <v>1.46</v>
      </c>
      <c r="K1337" s="44">
        <v>48</v>
      </c>
      <c r="L1337" s="44">
        <v>41.8</v>
      </c>
      <c r="M1337" s="44">
        <v>178</v>
      </c>
    </row>
    <row r="1338" spans="1:13" x14ac:dyDescent="0.25">
      <c r="A1338" s="45" t="s">
        <v>2346</v>
      </c>
      <c r="B1338" s="44" t="s">
        <v>4679</v>
      </c>
      <c r="C1338" s="47">
        <v>44250</v>
      </c>
      <c r="D1338" s="44">
        <v>202106</v>
      </c>
      <c r="E1338" s="44">
        <v>41.5</v>
      </c>
      <c r="F1338" s="44">
        <v>41.5</v>
      </c>
      <c r="G1338" s="44">
        <v>41.5</v>
      </c>
      <c r="H1338" s="44">
        <v>41.5</v>
      </c>
      <c r="I1338" s="44">
        <v>0.6</v>
      </c>
      <c r="J1338" s="44">
        <v>1.47</v>
      </c>
      <c r="K1338" s="44">
        <v>0</v>
      </c>
      <c r="L1338" s="44">
        <v>41.5</v>
      </c>
      <c r="M1338" s="44">
        <v>5</v>
      </c>
    </row>
    <row r="1339" spans="1:13" x14ac:dyDescent="0.25">
      <c r="A1339" s="45" t="s">
        <v>2347</v>
      </c>
      <c r="B1339" s="44" t="s">
        <v>4680</v>
      </c>
      <c r="C1339" s="47">
        <v>44250</v>
      </c>
      <c r="D1339" s="44">
        <v>202109</v>
      </c>
      <c r="E1339" s="44">
        <v>41.9</v>
      </c>
      <c r="F1339" s="44">
        <v>41.9</v>
      </c>
      <c r="G1339" s="44">
        <v>41.9</v>
      </c>
      <c r="H1339" s="44">
        <v>41.9</v>
      </c>
      <c r="I1339" s="44">
        <v>0.6</v>
      </c>
      <c r="J1339" s="44">
        <v>1.45</v>
      </c>
      <c r="K1339" s="44">
        <v>0</v>
      </c>
      <c r="L1339" s="44">
        <v>41.9</v>
      </c>
      <c r="M1339" s="44">
        <v>0</v>
      </c>
    </row>
    <row r="1340" spans="1:13" x14ac:dyDescent="0.25">
      <c r="A1340" s="45" t="s">
        <v>2348</v>
      </c>
      <c r="B1340" s="44" t="s">
        <v>4681</v>
      </c>
      <c r="C1340" s="47">
        <v>44250</v>
      </c>
      <c r="D1340" s="44">
        <v>202112</v>
      </c>
      <c r="E1340" s="44">
        <v>42.05</v>
      </c>
      <c r="F1340" s="44">
        <v>42.05</v>
      </c>
      <c r="G1340" s="44">
        <v>42.05</v>
      </c>
      <c r="H1340" s="44">
        <v>42.05</v>
      </c>
      <c r="I1340" s="44">
        <v>0.6</v>
      </c>
      <c r="J1340" s="44">
        <v>1.45</v>
      </c>
      <c r="K1340" s="44">
        <v>0</v>
      </c>
      <c r="L1340" s="44">
        <v>42.05</v>
      </c>
      <c r="M1340" s="44">
        <v>0</v>
      </c>
    </row>
    <row r="1341" spans="1:13" x14ac:dyDescent="0.25">
      <c r="A1341" s="45" t="s">
        <v>2349</v>
      </c>
      <c r="C1341" s="47"/>
    </row>
    <row r="1342" spans="1:13" x14ac:dyDescent="0.25">
      <c r="A1342" s="45" t="s">
        <v>2350</v>
      </c>
      <c r="C1342" s="47"/>
    </row>
    <row r="1343" spans="1:13" x14ac:dyDescent="0.25">
      <c r="A1343" s="45" t="s">
        <v>2351</v>
      </c>
      <c r="C1343" s="47"/>
    </row>
    <row r="1344" spans="1:13" x14ac:dyDescent="0.25">
      <c r="A1344" s="45" t="s">
        <v>901</v>
      </c>
      <c r="B1344" s="44" t="s">
        <v>4682</v>
      </c>
      <c r="C1344" s="47">
        <v>44250</v>
      </c>
      <c r="D1344" s="44">
        <v>202103</v>
      </c>
      <c r="E1344" s="44">
        <v>208.5</v>
      </c>
      <c r="F1344" s="44">
        <v>217</v>
      </c>
      <c r="G1344" s="44">
        <v>207.5</v>
      </c>
      <c r="H1344" s="44">
        <v>208.5</v>
      </c>
      <c r="I1344" s="44">
        <v>3</v>
      </c>
      <c r="J1344" s="44">
        <v>1.46</v>
      </c>
      <c r="K1344" s="44">
        <v>330</v>
      </c>
      <c r="L1344" s="44">
        <v>208.5</v>
      </c>
      <c r="M1344" s="44">
        <v>485</v>
      </c>
    </row>
    <row r="1345" spans="1:13" x14ac:dyDescent="0.25">
      <c r="A1345" s="45" t="s">
        <v>2352</v>
      </c>
      <c r="B1345" s="44" t="s">
        <v>4683</v>
      </c>
      <c r="C1345" s="47">
        <v>44250</v>
      </c>
      <c r="D1345" s="44">
        <v>202103</v>
      </c>
      <c r="E1345" s="44">
        <v>208.5</v>
      </c>
      <c r="F1345" s="44">
        <v>217</v>
      </c>
      <c r="G1345" s="44">
        <v>207.5</v>
      </c>
      <c r="H1345" s="44">
        <v>208.5</v>
      </c>
      <c r="I1345" s="44">
        <v>3</v>
      </c>
      <c r="J1345" s="44">
        <v>1.46</v>
      </c>
      <c r="K1345" s="44">
        <v>330</v>
      </c>
      <c r="L1345" s="44">
        <v>208.5</v>
      </c>
      <c r="M1345" s="44">
        <v>485</v>
      </c>
    </row>
    <row r="1346" spans="1:13" x14ac:dyDescent="0.25">
      <c r="A1346" s="45" t="s">
        <v>2353</v>
      </c>
      <c r="B1346" s="44" t="s">
        <v>4684</v>
      </c>
      <c r="C1346" s="47">
        <v>44250</v>
      </c>
      <c r="D1346" s="44">
        <v>202104</v>
      </c>
      <c r="E1346" s="44">
        <v>207</v>
      </c>
      <c r="F1346" s="44">
        <v>216.5</v>
      </c>
      <c r="G1346" s="44">
        <v>207</v>
      </c>
      <c r="H1346" s="44">
        <v>208.5</v>
      </c>
      <c r="I1346" s="44">
        <v>4</v>
      </c>
      <c r="J1346" s="44">
        <v>1.96</v>
      </c>
      <c r="K1346" s="44">
        <v>149</v>
      </c>
      <c r="L1346" s="44">
        <v>208.5</v>
      </c>
      <c r="M1346" s="44">
        <v>101</v>
      </c>
    </row>
    <row r="1347" spans="1:13" x14ac:dyDescent="0.25">
      <c r="A1347" s="45" t="s">
        <v>2354</v>
      </c>
      <c r="B1347" s="44" t="s">
        <v>4685</v>
      </c>
      <c r="C1347" s="47">
        <v>44250</v>
      </c>
      <c r="D1347" s="44">
        <v>202104</v>
      </c>
      <c r="E1347" s="44">
        <v>207</v>
      </c>
      <c r="F1347" s="44">
        <v>216.5</v>
      </c>
      <c r="G1347" s="44">
        <v>207</v>
      </c>
      <c r="H1347" s="44">
        <v>208.5</v>
      </c>
      <c r="I1347" s="44">
        <v>4</v>
      </c>
      <c r="J1347" s="44">
        <v>1.96</v>
      </c>
      <c r="K1347" s="44">
        <v>149</v>
      </c>
      <c r="L1347" s="44">
        <v>208.5</v>
      </c>
      <c r="M1347" s="44">
        <v>101</v>
      </c>
    </row>
    <row r="1348" spans="1:13" x14ac:dyDescent="0.25">
      <c r="A1348" s="45" t="s">
        <v>2355</v>
      </c>
      <c r="C1348" s="47"/>
    </row>
    <row r="1349" spans="1:13" x14ac:dyDescent="0.25">
      <c r="A1349" s="45" t="s">
        <v>2356</v>
      </c>
      <c r="C1349" s="47"/>
    </row>
    <row r="1350" spans="1:13" x14ac:dyDescent="0.25">
      <c r="A1350" s="45" t="s">
        <v>2357</v>
      </c>
      <c r="B1350" s="44" t="s">
        <v>4686</v>
      </c>
      <c r="C1350" s="47">
        <v>44250</v>
      </c>
      <c r="D1350" s="44">
        <v>202103</v>
      </c>
      <c r="E1350" s="44">
        <v>208.5</v>
      </c>
      <c r="F1350" s="44">
        <v>217</v>
      </c>
      <c r="G1350" s="44">
        <v>207.5</v>
      </c>
      <c r="H1350" s="44">
        <v>208.5</v>
      </c>
      <c r="I1350" s="44">
        <v>3</v>
      </c>
      <c r="J1350" s="44">
        <v>1.46</v>
      </c>
      <c r="K1350" s="44">
        <v>330</v>
      </c>
      <c r="L1350" s="44">
        <v>208.5</v>
      </c>
      <c r="M1350" s="44">
        <v>485</v>
      </c>
    </row>
    <row r="1351" spans="1:13" x14ac:dyDescent="0.25">
      <c r="A1351" s="45" t="s">
        <v>2358</v>
      </c>
      <c r="B1351" s="44" t="s">
        <v>4687</v>
      </c>
      <c r="C1351" s="47">
        <v>44250</v>
      </c>
      <c r="D1351" s="44">
        <v>202106</v>
      </c>
      <c r="E1351" s="44">
        <v>207</v>
      </c>
      <c r="F1351" s="44">
        <v>207</v>
      </c>
      <c r="G1351" s="44">
        <v>207</v>
      </c>
      <c r="H1351" s="44">
        <v>207</v>
      </c>
      <c r="I1351" s="44">
        <v>3</v>
      </c>
      <c r="J1351" s="44">
        <v>1.47</v>
      </c>
      <c r="K1351" s="44">
        <v>0</v>
      </c>
      <c r="L1351" s="44">
        <v>207</v>
      </c>
      <c r="M1351" s="44">
        <v>0</v>
      </c>
    </row>
    <row r="1352" spans="1:13" x14ac:dyDescent="0.25">
      <c r="A1352" s="45" t="s">
        <v>2359</v>
      </c>
      <c r="B1352" s="44" t="s">
        <v>4688</v>
      </c>
      <c r="C1352" s="47">
        <v>44250</v>
      </c>
      <c r="D1352" s="44">
        <v>202109</v>
      </c>
      <c r="E1352" s="44">
        <v>207</v>
      </c>
      <c r="F1352" s="44">
        <v>207</v>
      </c>
      <c r="G1352" s="44">
        <v>207</v>
      </c>
      <c r="H1352" s="44">
        <v>207</v>
      </c>
      <c r="I1352" s="44">
        <v>3</v>
      </c>
      <c r="J1352" s="44">
        <v>1.47</v>
      </c>
      <c r="K1352" s="44">
        <v>0</v>
      </c>
      <c r="L1352" s="44">
        <v>207</v>
      </c>
      <c r="M1352" s="44">
        <v>0</v>
      </c>
    </row>
    <row r="1353" spans="1:13" x14ac:dyDescent="0.25">
      <c r="A1353" s="45" t="s">
        <v>2360</v>
      </c>
      <c r="B1353" s="44" t="s">
        <v>4689</v>
      </c>
      <c r="C1353" s="47">
        <v>44250</v>
      </c>
      <c r="D1353" s="44">
        <v>202112</v>
      </c>
      <c r="E1353" s="44">
        <v>207</v>
      </c>
      <c r="F1353" s="44">
        <v>207</v>
      </c>
      <c r="G1353" s="44">
        <v>207</v>
      </c>
      <c r="H1353" s="44">
        <v>207</v>
      </c>
      <c r="I1353" s="44">
        <v>3</v>
      </c>
      <c r="J1353" s="44">
        <v>1.47</v>
      </c>
      <c r="K1353" s="44">
        <v>0</v>
      </c>
      <c r="L1353" s="44">
        <v>207</v>
      </c>
      <c r="M1353" s="44">
        <v>0</v>
      </c>
    </row>
    <row r="1354" spans="1:13" x14ac:dyDescent="0.25">
      <c r="A1354" s="45" t="s">
        <v>931</v>
      </c>
      <c r="B1354" s="44" t="s">
        <v>4690</v>
      </c>
      <c r="C1354" s="47">
        <v>44250</v>
      </c>
      <c r="D1354" s="44">
        <v>202103</v>
      </c>
      <c r="E1354" s="44">
        <v>43.15</v>
      </c>
      <c r="F1354" s="44">
        <v>43.15</v>
      </c>
      <c r="G1354" s="44">
        <v>41.6</v>
      </c>
      <c r="H1354" s="44">
        <v>42</v>
      </c>
      <c r="I1354" s="44">
        <v>-1.1499999999999999</v>
      </c>
      <c r="J1354" s="44">
        <v>-2.67</v>
      </c>
      <c r="K1354" s="44">
        <v>1800</v>
      </c>
      <c r="L1354" s="44">
        <v>42</v>
      </c>
      <c r="M1354" s="44">
        <v>1750</v>
      </c>
    </row>
    <row r="1355" spans="1:13" x14ac:dyDescent="0.25">
      <c r="A1355" s="45" t="s">
        <v>2361</v>
      </c>
      <c r="B1355" s="44" t="s">
        <v>4691</v>
      </c>
      <c r="C1355" s="47">
        <v>44250</v>
      </c>
      <c r="D1355" s="44">
        <v>202103</v>
      </c>
      <c r="E1355" s="44">
        <v>43.15</v>
      </c>
      <c r="F1355" s="44">
        <v>43.15</v>
      </c>
      <c r="G1355" s="44">
        <v>41.6</v>
      </c>
      <c r="H1355" s="44">
        <v>42</v>
      </c>
      <c r="I1355" s="44">
        <v>-1.1499999999999999</v>
      </c>
      <c r="J1355" s="44">
        <v>-2.67</v>
      </c>
      <c r="K1355" s="44">
        <v>1800</v>
      </c>
      <c r="L1355" s="44">
        <v>42</v>
      </c>
      <c r="M1355" s="44">
        <v>1750</v>
      </c>
    </row>
    <row r="1356" spans="1:13" x14ac:dyDescent="0.25">
      <c r="A1356" s="45" t="s">
        <v>2362</v>
      </c>
      <c r="B1356" s="44" t="s">
        <v>4692</v>
      </c>
      <c r="C1356" s="47">
        <v>44250</v>
      </c>
      <c r="D1356" s="44">
        <v>202104</v>
      </c>
      <c r="E1356" s="44">
        <v>42.6</v>
      </c>
      <c r="F1356" s="44">
        <v>42.7</v>
      </c>
      <c r="G1356" s="44">
        <v>41.65</v>
      </c>
      <c r="H1356" s="44">
        <v>41.8</v>
      </c>
      <c r="I1356" s="44">
        <v>-1.3</v>
      </c>
      <c r="J1356" s="44">
        <v>-3.02</v>
      </c>
      <c r="K1356" s="44">
        <v>108</v>
      </c>
      <c r="L1356" s="44">
        <v>41.8</v>
      </c>
      <c r="M1356" s="44">
        <v>63</v>
      </c>
    </row>
    <row r="1357" spans="1:13" x14ac:dyDescent="0.25">
      <c r="A1357" s="45" t="s">
        <v>2363</v>
      </c>
      <c r="B1357" s="44" t="s">
        <v>4693</v>
      </c>
      <c r="C1357" s="47">
        <v>44250</v>
      </c>
      <c r="D1357" s="44">
        <v>202104</v>
      </c>
      <c r="E1357" s="44">
        <v>42.6</v>
      </c>
      <c r="F1357" s="44">
        <v>42.7</v>
      </c>
      <c r="G1357" s="44">
        <v>41.65</v>
      </c>
      <c r="H1357" s="44">
        <v>41.8</v>
      </c>
      <c r="I1357" s="44">
        <v>-1.3</v>
      </c>
      <c r="J1357" s="44">
        <v>-3.02</v>
      </c>
      <c r="K1357" s="44">
        <v>108</v>
      </c>
      <c r="L1357" s="44">
        <v>41.8</v>
      </c>
      <c r="M1357" s="44">
        <v>63</v>
      </c>
    </row>
    <row r="1358" spans="1:13" x14ac:dyDescent="0.25">
      <c r="A1358" s="45" t="s">
        <v>2364</v>
      </c>
      <c r="C1358" s="47"/>
    </row>
    <row r="1359" spans="1:13" x14ac:dyDescent="0.25">
      <c r="A1359" s="45" t="s">
        <v>2365</v>
      </c>
      <c r="C1359" s="47"/>
    </row>
    <row r="1360" spans="1:13" x14ac:dyDescent="0.25">
      <c r="A1360" s="45" t="s">
        <v>2366</v>
      </c>
      <c r="B1360" s="44" t="s">
        <v>4694</v>
      </c>
      <c r="C1360" s="47">
        <v>44250</v>
      </c>
      <c r="D1360" s="44">
        <v>202103</v>
      </c>
      <c r="E1360" s="44">
        <v>43.15</v>
      </c>
      <c r="F1360" s="44">
        <v>43.15</v>
      </c>
      <c r="G1360" s="44">
        <v>41.6</v>
      </c>
      <c r="H1360" s="44">
        <v>42</v>
      </c>
      <c r="I1360" s="44">
        <v>-1.1499999999999999</v>
      </c>
      <c r="J1360" s="44">
        <v>-2.67</v>
      </c>
      <c r="K1360" s="44">
        <v>1800</v>
      </c>
      <c r="L1360" s="44">
        <v>42</v>
      </c>
      <c r="M1360" s="44">
        <v>1750</v>
      </c>
    </row>
    <row r="1361" spans="1:13" x14ac:dyDescent="0.25">
      <c r="A1361" s="45" t="s">
        <v>2367</v>
      </c>
      <c r="C1361" s="47"/>
    </row>
    <row r="1362" spans="1:13" x14ac:dyDescent="0.25">
      <c r="A1362" s="45" t="s">
        <v>2368</v>
      </c>
      <c r="B1362" s="44" t="s">
        <v>4695</v>
      </c>
      <c r="C1362" s="47">
        <v>44250</v>
      </c>
      <c r="D1362" s="44">
        <v>202106</v>
      </c>
      <c r="E1362" s="44">
        <v>41.95</v>
      </c>
      <c r="F1362" s="44">
        <v>41.95</v>
      </c>
      <c r="G1362" s="44">
        <v>41.95</v>
      </c>
      <c r="H1362" s="44">
        <v>41.95</v>
      </c>
      <c r="I1362" s="44">
        <v>-1.1499999999999999</v>
      </c>
      <c r="J1362" s="44">
        <v>-2.67</v>
      </c>
      <c r="K1362" s="44">
        <v>0</v>
      </c>
      <c r="L1362" s="44">
        <v>41.95</v>
      </c>
      <c r="M1362" s="44">
        <v>18</v>
      </c>
    </row>
    <row r="1363" spans="1:13" x14ac:dyDescent="0.25">
      <c r="A1363" s="45" t="s">
        <v>2369</v>
      </c>
      <c r="B1363" s="44" t="s">
        <v>4696</v>
      </c>
      <c r="C1363" s="47">
        <v>44250</v>
      </c>
      <c r="D1363" s="44">
        <v>202109</v>
      </c>
      <c r="E1363" s="44">
        <v>41.95</v>
      </c>
      <c r="F1363" s="44">
        <v>41.95</v>
      </c>
      <c r="G1363" s="44">
        <v>41.95</v>
      </c>
      <c r="H1363" s="44">
        <v>41.95</v>
      </c>
      <c r="I1363" s="44">
        <v>-1.1499999999999999</v>
      </c>
      <c r="J1363" s="44">
        <v>-2.67</v>
      </c>
      <c r="K1363" s="44">
        <v>0</v>
      </c>
      <c r="L1363" s="44">
        <v>41.95</v>
      </c>
      <c r="M1363" s="44">
        <v>19</v>
      </c>
    </row>
    <row r="1364" spans="1:13" x14ac:dyDescent="0.25">
      <c r="A1364" s="45" t="s">
        <v>2370</v>
      </c>
      <c r="B1364" s="44" t="s">
        <v>4697</v>
      </c>
      <c r="C1364" s="47">
        <v>44250</v>
      </c>
      <c r="D1364" s="44">
        <v>202112</v>
      </c>
      <c r="E1364" s="44">
        <v>41.8</v>
      </c>
      <c r="F1364" s="44">
        <v>41.8</v>
      </c>
      <c r="G1364" s="44">
        <v>41.8</v>
      </c>
      <c r="H1364" s="44">
        <v>41.8</v>
      </c>
      <c r="I1364" s="44">
        <v>-1.1499999999999999</v>
      </c>
      <c r="J1364" s="44">
        <v>-2.68</v>
      </c>
      <c r="K1364" s="44">
        <v>0</v>
      </c>
      <c r="L1364" s="44">
        <v>41.8</v>
      </c>
      <c r="M1364" s="44">
        <v>0</v>
      </c>
    </row>
    <row r="1365" spans="1:13" x14ac:dyDescent="0.25">
      <c r="A1365" s="45" t="s">
        <v>1009</v>
      </c>
      <c r="B1365" s="44" t="s">
        <v>4698</v>
      </c>
      <c r="C1365" s="47">
        <v>44250</v>
      </c>
      <c r="D1365" s="44">
        <v>202103</v>
      </c>
      <c r="E1365" s="44">
        <v>134.5</v>
      </c>
      <c r="F1365" s="44">
        <v>134.5</v>
      </c>
      <c r="G1365" s="44">
        <v>133</v>
      </c>
      <c r="H1365" s="44">
        <v>133.5</v>
      </c>
      <c r="I1365" s="44">
        <v>-3.5</v>
      </c>
      <c r="J1365" s="44">
        <v>-2.5499999999999998</v>
      </c>
      <c r="K1365" s="44">
        <v>13</v>
      </c>
      <c r="L1365" s="44">
        <v>133.5</v>
      </c>
      <c r="M1365" s="44">
        <v>58</v>
      </c>
    </row>
    <row r="1366" spans="1:13" x14ac:dyDescent="0.25">
      <c r="A1366" s="45" t="s">
        <v>2371</v>
      </c>
      <c r="B1366" s="44" t="s">
        <v>4699</v>
      </c>
      <c r="C1366" s="47">
        <v>44250</v>
      </c>
      <c r="D1366" s="44">
        <v>202103</v>
      </c>
      <c r="E1366" s="44">
        <v>134.5</v>
      </c>
      <c r="F1366" s="44">
        <v>134.5</v>
      </c>
      <c r="G1366" s="44">
        <v>133</v>
      </c>
      <c r="H1366" s="44">
        <v>133.5</v>
      </c>
      <c r="I1366" s="44">
        <v>-3.5</v>
      </c>
      <c r="J1366" s="44">
        <v>-2.5499999999999998</v>
      </c>
      <c r="K1366" s="44">
        <v>13</v>
      </c>
      <c r="L1366" s="44">
        <v>133.5</v>
      </c>
      <c r="M1366" s="44">
        <v>58</v>
      </c>
    </row>
    <row r="1367" spans="1:13" x14ac:dyDescent="0.25">
      <c r="A1367" s="45" t="s">
        <v>2372</v>
      </c>
      <c r="B1367" s="44" t="s">
        <v>4700</v>
      </c>
      <c r="C1367" s="47">
        <v>44250</v>
      </c>
      <c r="D1367" s="44">
        <v>202104</v>
      </c>
      <c r="E1367" s="44">
        <v>133.5</v>
      </c>
      <c r="F1367" s="44">
        <v>133.5</v>
      </c>
      <c r="G1367" s="44">
        <v>133.5</v>
      </c>
      <c r="H1367" s="44">
        <v>133.5</v>
      </c>
      <c r="I1367" s="44">
        <v>-3.5</v>
      </c>
      <c r="J1367" s="44">
        <v>-2.5499999999999998</v>
      </c>
      <c r="K1367" s="44">
        <v>0</v>
      </c>
      <c r="L1367" s="44">
        <v>133.5</v>
      </c>
      <c r="M1367" s="44">
        <v>0</v>
      </c>
    </row>
    <row r="1368" spans="1:13" x14ac:dyDescent="0.25">
      <c r="A1368" s="45" t="s">
        <v>2373</v>
      </c>
      <c r="B1368" s="44" t="s">
        <v>4701</v>
      </c>
      <c r="C1368" s="47">
        <v>44250</v>
      </c>
      <c r="D1368" s="44">
        <v>202104</v>
      </c>
      <c r="E1368" s="44">
        <v>133.5</v>
      </c>
      <c r="F1368" s="44">
        <v>133.5</v>
      </c>
      <c r="G1368" s="44">
        <v>133.5</v>
      </c>
      <c r="H1368" s="44">
        <v>133.5</v>
      </c>
      <c r="I1368" s="44">
        <v>-3.5</v>
      </c>
      <c r="J1368" s="44">
        <v>-2.5499999999999998</v>
      </c>
      <c r="K1368" s="44">
        <v>0</v>
      </c>
      <c r="L1368" s="44">
        <v>133.5</v>
      </c>
      <c r="M1368" s="44">
        <v>0</v>
      </c>
    </row>
    <row r="1369" spans="1:13" x14ac:dyDescent="0.25">
      <c r="A1369" s="45" t="s">
        <v>2374</v>
      </c>
      <c r="C1369" s="47"/>
    </row>
    <row r="1370" spans="1:13" x14ac:dyDescent="0.25">
      <c r="A1370" s="45" t="s">
        <v>2375</v>
      </c>
      <c r="B1370" s="44" t="s">
        <v>4702</v>
      </c>
      <c r="C1370" s="47">
        <v>44250</v>
      </c>
      <c r="D1370" s="44">
        <v>202103</v>
      </c>
      <c r="E1370" s="44">
        <v>134.5</v>
      </c>
      <c r="F1370" s="44">
        <v>134.5</v>
      </c>
      <c r="G1370" s="44">
        <v>133</v>
      </c>
      <c r="H1370" s="44">
        <v>133.5</v>
      </c>
      <c r="I1370" s="44">
        <v>-3.5</v>
      </c>
      <c r="J1370" s="44">
        <v>-2.5499999999999998</v>
      </c>
      <c r="K1370" s="44">
        <v>13</v>
      </c>
      <c r="L1370" s="44">
        <v>133.5</v>
      </c>
      <c r="M1370" s="44">
        <v>58</v>
      </c>
    </row>
    <row r="1371" spans="1:13" x14ac:dyDescent="0.25">
      <c r="A1371" s="45" t="s">
        <v>2376</v>
      </c>
      <c r="B1371" s="44" t="s">
        <v>4703</v>
      </c>
      <c r="C1371" s="47">
        <v>44250</v>
      </c>
      <c r="D1371" s="44">
        <v>202106</v>
      </c>
      <c r="E1371" s="44">
        <v>133.5</v>
      </c>
      <c r="F1371" s="44">
        <v>133.5</v>
      </c>
      <c r="G1371" s="44">
        <v>133.5</v>
      </c>
      <c r="H1371" s="44">
        <v>133.5</v>
      </c>
      <c r="I1371" s="44">
        <v>-3.5</v>
      </c>
      <c r="J1371" s="44">
        <v>-2.5499999999999998</v>
      </c>
      <c r="K1371" s="44">
        <v>0</v>
      </c>
      <c r="L1371" s="44">
        <v>133.5</v>
      </c>
      <c r="M1371" s="44">
        <v>0</v>
      </c>
    </row>
    <row r="1372" spans="1:13" x14ac:dyDescent="0.25">
      <c r="A1372" s="45" t="s">
        <v>2377</v>
      </c>
      <c r="B1372" s="44" t="s">
        <v>4704</v>
      </c>
      <c r="C1372" s="47">
        <v>44250</v>
      </c>
      <c r="D1372" s="44">
        <v>202109</v>
      </c>
      <c r="E1372" s="44">
        <v>134</v>
      </c>
      <c r="F1372" s="44">
        <v>134</v>
      </c>
      <c r="G1372" s="44">
        <v>134</v>
      </c>
      <c r="H1372" s="44">
        <v>134</v>
      </c>
      <c r="I1372" s="44">
        <v>-3.5</v>
      </c>
      <c r="J1372" s="44">
        <v>-2.5499999999999998</v>
      </c>
      <c r="K1372" s="44">
        <v>0</v>
      </c>
      <c r="L1372" s="44">
        <v>134</v>
      </c>
      <c r="M1372" s="44">
        <v>0</v>
      </c>
    </row>
    <row r="1373" spans="1:13" x14ac:dyDescent="0.25">
      <c r="A1373" s="45" t="s">
        <v>2378</v>
      </c>
      <c r="B1373" s="44" t="s">
        <v>4705</v>
      </c>
      <c r="C1373" s="47">
        <v>44250</v>
      </c>
      <c r="D1373" s="44">
        <v>202112</v>
      </c>
      <c r="E1373" s="44">
        <v>134</v>
      </c>
      <c r="F1373" s="44">
        <v>134</v>
      </c>
      <c r="G1373" s="44">
        <v>134</v>
      </c>
      <c r="H1373" s="44">
        <v>134</v>
      </c>
      <c r="I1373" s="44">
        <v>-3.5</v>
      </c>
      <c r="J1373" s="44">
        <v>-2.5499999999999998</v>
      </c>
      <c r="K1373" s="44">
        <v>0</v>
      </c>
      <c r="L1373" s="44">
        <v>134</v>
      </c>
      <c r="M1373" s="44">
        <v>0</v>
      </c>
    </row>
    <row r="1374" spans="1:13" x14ac:dyDescent="0.25">
      <c r="A1374" s="45" t="s">
        <v>1010</v>
      </c>
      <c r="B1374" s="44" t="s">
        <v>4706</v>
      </c>
      <c r="C1374" s="47">
        <v>44250</v>
      </c>
      <c r="D1374" s="44">
        <v>202103</v>
      </c>
      <c r="E1374" s="44">
        <v>96.9</v>
      </c>
      <c r="F1374" s="44">
        <v>97.5</v>
      </c>
      <c r="G1374" s="44">
        <v>96.9</v>
      </c>
      <c r="H1374" s="44">
        <v>97.5</v>
      </c>
      <c r="I1374" s="44">
        <v>1</v>
      </c>
      <c r="J1374" s="44">
        <v>1.04</v>
      </c>
      <c r="K1374" s="44">
        <v>46</v>
      </c>
      <c r="L1374" s="44">
        <v>97.5</v>
      </c>
      <c r="M1374" s="44">
        <v>116</v>
      </c>
    </row>
    <row r="1375" spans="1:13" x14ac:dyDescent="0.25">
      <c r="A1375" s="45" t="s">
        <v>2379</v>
      </c>
      <c r="B1375" s="44" t="s">
        <v>4707</v>
      </c>
      <c r="C1375" s="47">
        <v>44250</v>
      </c>
      <c r="D1375" s="44">
        <v>202103</v>
      </c>
      <c r="E1375" s="44">
        <v>96.9</v>
      </c>
      <c r="F1375" s="44">
        <v>97.5</v>
      </c>
      <c r="G1375" s="44">
        <v>96.9</v>
      </c>
      <c r="H1375" s="44">
        <v>97.5</v>
      </c>
      <c r="I1375" s="44">
        <v>1</v>
      </c>
      <c r="J1375" s="44">
        <v>1.04</v>
      </c>
      <c r="K1375" s="44">
        <v>46</v>
      </c>
      <c r="L1375" s="44">
        <v>97.5</v>
      </c>
      <c r="M1375" s="44">
        <v>116</v>
      </c>
    </row>
    <row r="1376" spans="1:13" x14ac:dyDescent="0.25">
      <c r="A1376" s="45" t="s">
        <v>2380</v>
      </c>
      <c r="B1376" s="44" t="s">
        <v>4708</v>
      </c>
      <c r="C1376" s="47">
        <v>44250</v>
      </c>
      <c r="D1376" s="44">
        <v>202104</v>
      </c>
      <c r="E1376" s="44">
        <v>97.2</v>
      </c>
      <c r="F1376" s="44">
        <v>97.6</v>
      </c>
      <c r="G1376" s="44">
        <v>97.2</v>
      </c>
      <c r="H1376" s="44">
        <v>97.6</v>
      </c>
      <c r="I1376" s="44">
        <v>1.1000000000000001</v>
      </c>
      <c r="J1376" s="44">
        <v>1.1399999999999999</v>
      </c>
      <c r="K1376" s="44">
        <v>21</v>
      </c>
      <c r="L1376" s="44">
        <v>97.6</v>
      </c>
      <c r="M1376" s="44">
        <v>44</v>
      </c>
    </row>
    <row r="1377" spans="1:13" x14ac:dyDescent="0.25">
      <c r="A1377" s="45" t="s">
        <v>2381</v>
      </c>
      <c r="B1377" s="44" t="s">
        <v>4709</v>
      </c>
      <c r="C1377" s="47">
        <v>44250</v>
      </c>
      <c r="D1377" s="44">
        <v>202104</v>
      </c>
      <c r="E1377" s="44">
        <v>97.2</v>
      </c>
      <c r="F1377" s="44">
        <v>97.6</v>
      </c>
      <c r="G1377" s="44">
        <v>97.2</v>
      </c>
      <c r="H1377" s="44">
        <v>97.6</v>
      </c>
      <c r="I1377" s="44">
        <v>1.1000000000000001</v>
      </c>
      <c r="J1377" s="44">
        <v>1.1399999999999999</v>
      </c>
      <c r="K1377" s="44">
        <v>21</v>
      </c>
      <c r="L1377" s="44">
        <v>97.6</v>
      </c>
      <c r="M1377" s="44">
        <v>44</v>
      </c>
    </row>
    <row r="1378" spans="1:13" x14ac:dyDescent="0.25">
      <c r="A1378" s="45" t="s">
        <v>2382</v>
      </c>
      <c r="C1378" s="47"/>
    </row>
    <row r="1379" spans="1:13" x14ac:dyDescent="0.25">
      <c r="A1379" s="45" t="s">
        <v>2383</v>
      </c>
      <c r="C1379" s="47"/>
    </row>
    <row r="1380" spans="1:13" x14ac:dyDescent="0.25">
      <c r="A1380" s="45" t="s">
        <v>2384</v>
      </c>
      <c r="B1380" s="44" t="s">
        <v>4710</v>
      </c>
      <c r="C1380" s="47">
        <v>44250</v>
      </c>
      <c r="D1380" s="44">
        <v>202103</v>
      </c>
      <c r="E1380" s="44">
        <v>96.9</v>
      </c>
      <c r="F1380" s="44">
        <v>97.5</v>
      </c>
      <c r="G1380" s="44">
        <v>96.9</v>
      </c>
      <c r="H1380" s="44">
        <v>97.5</v>
      </c>
      <c r="I1380" s="44">
        <v>1</v>
      </c>
      <c r="J1380" s="44">
        <v>1.04</v>
      </c>
      <c r="K1380" s="44">
        <v>46</v>
      </c>
      <c r="L1380" s="44">
        <v>97.5</v>
      </c>
      <c r="M1380" s="44">
        <v>116</v>
      </c>
    </row>
    <row r="1381" spans="1:13" x14ac:dyDescent="0.25">
      <c r="A1381" s="45" t="s">
        <v>2385</v>
      </c>
      <c r="B1381" s="44" t="s">
        <v>4711</v>
      </c>
      <c r="C1381" s="47">
        <v>44250</v>
      </c>
      <c r="D1381" s="44">
        <v>202106</v>
      </c>
      <c r="E1381" s="44">
        <v>97.3</v>
      </c>
      <c r="F1381" s="44">
        <v>97.3</v>
      </c>
      <c r="G1381" s="44">
        <v>97.3</v>
      </c>
      <c r="H1381" s="44">
        <v>97.3</v>
      </c>
      <c r="I1381" s="44">
        <v>0.7</v>
      </c>
      <c r="J1381" s="44">
        <v>0.72</v>
      </c>
      <c r="K1381" s="44">
        <v>5</v>
      </c>
      <c r="L1381" s="44">
        <v>97.3</v>
      </c>
      <c r="M1381" s="44">
        <v>13</v>
      </c>
    </row>
    <row r="1382" spans="1:13" x14ac:dyDescent="0.25">
      <c r="A1382" s="45" t="s">
        <v>2386</v>
      </c>
      <c r="B1382" s="44" t="s">
        <v>4712</v>
      </c>
      <c r="C1382" s="47">
        <v>44250</v>
      </c>
      <c r="D1382" s="44">
        <v>202109</v>
      </c>
      <c r="E1382" s="44">
        <v>97.8</v>
      </c>
      <c r="F1382" s="44">
        <v>97.8</v>
      </c>
      <c r="G1382" s="44">
        <v>97.8</v>
      </c>
      <c r="H1382" s="44">
        <v>97.8</v>
      </c>
      <c r="I1382" s="44">
        <v>1</v>
      </c>
      <c r="J1382" s="44">
        <v>1.03</v>
      </c>
      <c r="K1382" s="44">
        <v>0</v>
      </c>
      <c r="L1382" s="44">
        <v>97.8</v>
      </c>
      <c r="M1382" s="44">
        <v>11</v>
      </c>
    </row>
    <row r="1383" spans="1:13" x14ac:dyDescent="0.25">
      <c r="A1383" s="45" t="s">
        <v>2387</v>
      </c>
      <c r="B1383" s="44" t="s">
        <v>4713</v>
      </c>
      <c r="C1383" s="47">
        <v>44250</v>
      </c>
      <c r="D1383" s="44">
        <v>202112</v>
      </c>
      <c r="E1383" s="44">
        <v>98.6</v>
      </c>
      <c r="F1383" s="44">
        <v>98.6</v>
      </c>
      <c r="G1383" s="44">
        <v>98.6</v>
      </c>
      <c r="H1383" s="44">
        <v>98.6</v>
      </c>
      <c r="I1383" s="44">
        <v>1</v>
      </c>
      <c r="J1383" s="44">
        <v>1.02</v>
      </c>
      <c r="K1383" s="44">
        <v>0</v>
      </c>
      <c r="L1383" s="44">
        <v>98.6</v>
      </c>
      <c r="M1383" s="44">
        <v>0</v>
      </c>
    </row>
    <row r="1384" spans="1:13" x14ac:dyDescent="0.25">
      <c r="A1384" s="45" t="s">
        <v>1028</v>
      </c>
      <c r="B1384" s="44" t="s">
        <v>4714</v>
      </c>
      <c r="C1384" s="47">
        <v>44250</v>
      </c>
      <c r="D1384" s="44">
        <v>202103</v>
      </c>
      <c r="E1384" s="44">
        <v>510</v>
      </c>
      <c r="F1384" s="44">
        <v>515</v>
      </c>
      <c r="G1384" s="44">
        <v>505</v>
      </c>
      <c r="H1384" s="44">
        <v>514</v>
      </c>
      <c r="I1384" s="44">
        <v>0</v>
      </c>
      <c r="J1384" s="44">
        <v>0</v>
      </c>
      <c r="K1384" s="44">
        <v>253</v>
      </c>
      <c r="L1384" s="44">
        <v>514</v>
      </c>
      <c r="M1384" s="44">
        <v>795</v>
      </c>
    </row>
    <row r="1385" spans="1:13" x14ac:dyDescent="0.25">
      <c r="A1385" s="45" t="s">
        <v>2388</v>
      </c>
      <c r="B1385" s="44" t="s">
        <v>4715</v>
      </c>
      <c r="C1385" s="47">
        <v>44250</v>
      </c>
      <c r="D1385" s="44">
        <v>202103</v>
      </c>
      <c r="E1385" s="44">
        <v>510</v>
      </c>
      <c r="F1385" s="44">
        <v>515</v>
      </c>
      <c r="G1385" s="44">
        <v>505</v>
      </c>
      <c r="H1385" s="44">
        <v>514</v>
      </c>
      <c r="I1385" s="44">
        <v>0</v>
      </c>
      <c r="J1385" s="44">
        <v>0</v>
      </c>
      <c r="K1385" s="44">
        <v>253</v>
      </c>
      <c r="L1385" s="44">
        <v>514</v>
      </c>
      <c r="M1385" s="44">
        <v>795</v>
      </c>
    </row>
    <row r="1386" spans="1:13" x14ac:dyDescent="0.25">
      <c r="A1386" s="45" t="s">
        <v>2389</v>
      </c>
      <c r="B1386" s="44" t="s">
        <v>4716</v>
      </c>
      <c r="C1386" s="47">
        <v>44250</v>
      </c>
      <c r="D1386" s="44">
        <v>202104</v>
      </c>
      <c r="E1386" s="44">
        <v>504</v>
      </c>
      <c r="F1386" s="44">
        <v>509</v>
      </c>
      <c r="G1386" s="44">
        <v>503</v>
      </c>
      <c r="H1386" s="44">
        <v>503</v>
      </c>
      <c r="I1386" s="44">
        <v>-8</v>
      </c>
      <c r="J1386" s="44">
        <v>-1.57</v>
      </c>
      <c r="K1386" s="44">
        <v>10</v>
      </c>
      <c r="L1386" s="44">
        <v>511</v>
      </c>
      <c r="M1386" s="44">
        <v>84</v>
      </c>
    </row>
    <row r="1387" spans="1:13" x14ac:dyDescent="0.25">
      <c r="A1387" s="45" t="s">
        <v>2390</v>
      </c>
      <c r="B1387" s="44" t="s">
        <v>4717</v>
      </c>
      <c r="C1387" s="47">
        <v>44250</v>
      </c>
      <c r="D1387" s="44">
        <v>202104</v>
      </c>
      <c r="E1387" s="44">
        <v>504</v>
      </c>
      <c r="F1387" s="44">
        <v>509</v>
      </c>
      <c r="G1387" s="44">
        <v>503</v>
      </c>
      <c r="H1387" s="44">
        <v>503</v>
      </c>
      <c r="I1387" s="44">
        <v>-8</v>
      </c>
      <c r="J1387" s="44">
        <v>-1.57</v>
      </c>
      <c r="K1387" s="44">
        <v>10</v>
      </c>
      <c r="L1387" s="44">
        <v>511</v>
      </c>
      <c r="M1387" s="44">
        <v>84</v>
      </c>
    </row>
    <row r="1388" spans="1:13" x14ac:dyDescent="0.25">
      <c r="A1388" s="45" t="s">
        <v>2391</v>
      </c>
      <c r="C1388" s="47"/>
    </row>
    <row r="1389" spans="1:13" x14ac:dyDescent="0.25">
      <c r="A1389" s="45" t="s">
        <v>2392</v>
      </c>
      <c r="C1389" s="47"/>
    </row>
    <row r="1390" spans="1:13" x14ac:dyDescent="0.25">
      <c r="A1390" s="45" t="s">
        <v>2393</v>
      </c>
      <c r="B1390" s="44" t="s">
        <v>4718</v>
      </c>
      <c r="C1390" s="47">
        <v>44250</v>
      </c>
      <c r="D1390" s="44">
        <v>202103</v>
      </c>
      <c r="E1390" s="44">
        <v>510</v>
      </c>
      <c r="F1390" s="44">
        <v>515</v>
      </c>
      <c r="G1390" s="44">
        <v>505</v>
      </c>
      <c r="H1390" s="44">
        <v>514</v>
      </c>
      <c r="I1390" s="44">
        <v>0</v>
      </c>
      <c r="J1390" s="44">
        <v>0</v>
      </c>
      <c r="K1390" s="44">
        <v>253</v>
      </c>
      <c r="L1390" s="44">
        <v>514</v>
      </c>
      <c r="M1390" s="44">
        <v>795</v>
      </c>
    </row>
    <row r="1391" spans="1:13" x14ac:dyDescent="0.25">
      <c r="A1391" s="45" t="s">
        <v>2394</v>
      </c>
      <c r="B1391" s="44" t="s">
        <v>4719</v>
      </c>
      <c r="C1391" s="47">
        <v>44250</v>
      </c>
      <c r="D1391" s="44">
        <v>202106</v>
      </c>
      <c r="E1391" s="44">
        <v>518</v>
      </c>
      <c r="F1391" s="44">
        <v>518</v>
      </c>
      <c r="G1391" s="44">
        <v>518</v>
      </c>
      <c r="H1391" s="44">
        <v>518</v>
      </c>
      <c r="I1391" s="44">
        <v>0</v>
      </c>
      <c r="J1391" s="44">
        <v>0</v>
      </c>
      <c r="K1391" s="44">
        <v>0</v>
      </c>
      <c r="L1391" s="44">
        <v>518</v>
      </c>
      <c r="M1391" s="44">
        <v>6</v>
      </c>
    </row>
    <row r="1392" spans="1:13" x14ac:dyDescent="0.25">
      <c r="A1392" s="45" t="s">
        <v>2395</v>
      </c>
      <c r="B1392" s="44" t="s">
        <v>4720</v>
      </c>
      <c r="C1392" s="47">
        <v>44250</v>
      </c>
      <c r="D1392" s="44">
        <v>202109</v>
      </c>
      <c r="E1392" s="44">
        <v>516</v>
      </c>
      <c r="F1392" s="44">
        <v>516</v>
      </c>
      <c r="G1392" s="44">
        <v>516</v>
      </c>
      <c r="H1392" s="44">
        <v>516</v>
      </c>
      <c r="I1392" s="44">
        <v>0</v>
      </c>
      <c r="J1392" s="44">
        <v>0</v>
      </c>
      <c r="K1392" s="44">
        <v>0</v>
      </c>
      <c r="L1392" s="44">
        <v>516</v>
      </c>
      <c r="M1392" s="44">
        <v>0</v>
      </c>
    </row>
    <row r="1393" spans="1:13" x14ac:dyDescent="0.25">
      <c r="A1393" s="45" t="s">
        <v>2396</v>
      </c>
      <c r="B1393" s="44" t="s">
        <v>4721</v>
      </c>
      <c r="C1393" s="47">
        <v>44250</v>
      </c>
      <c r="D1393" s="44">
        <v>202112</v>
      </c>
      <c r="E1393" s="44">
        <v>514</v>
      </c>
      <c r="F1393" s="44">
        <v>514</v>
      </c>
      <c r="G1393" s="44">
        <v>514</v>
      </c>
      <c r="H1393" s="44">
        <v>514</v>
      </c>
      <c r="I1393" s="44">
        <v>0</v>
      </c>
      <c r="J1393" s="44">
        <v>0</v>
      </c>
      <c r="K1393" s="44">
        <v>0</v>
      </c>
      <c r="L1393" s="44">
        <v>514</v>
      </c>
      <c r="M1393" s="44">
        <v>0</v>
      </c>
    </row>
    <row r="1394" spans="1:13" x14ac:dyDescent="0.25">
      <c r="A1394" s="45" t="s">
        <v>1078</v>
      </c>
      <c r="B1394" s="44" t="s">
        <v>4722</v>
      </c>
      <c r="C1394" s="47">
        <v>44250</v>
      </c>
      <c r="D1394" s="44">
        <v>202103</v>
      </c>
      <c r="E1394" s="44">
        <v>129</v>
      </c>
      <c r="F1394" s="44">
        <v>129.5</v>
      </c>
      <c r="G1394" s="44">
        <v>127</v>
      </c>
      <c r="H1394" s="44">
        <v>128.5</v>
      </c>
      <c r="I1394" s="44">
        <v>-1</v>
      </c>
      <c r="J1394" s="44">
        <v>-0.77</v>
      </c>
      <c r="K1394" s="44">
        <v>362</v>
      </c>
      <c r="L1394" s="44">
        <v>128.5</v>
      </c>
      <c r="M1394" s="44">
        <v>963</v>
      </c>
    </row>
    <row r="1395" spans="1:13" x14ac:dyDescent="0.25">
      <c r="A1395" s="45" t="s">
        <v>2397</v>
      </c>
      <c r="B1395" s="44" t="s">
        <v>4723</v>
      </c>
      <c r="C1395" s="47">
        <v>44250</v>
      </c>
      <c r="D1395" s="44">
        <v>202103</v>
      </c>
      <c r="E1395" s="44">
        <v>129</v>
      </c>
      <c r="F1395" s="44">
        <v>129.5</v>
      </c>
      <c r="G1395" s="44">
        <v>127</v>
      </c>
      <c r="H1395" s="44">
        <v>128.5</v>
      </c>
      <c r="I1395" s="44">
        <v>-1</v>
      </c>
      <c r="J1395" s="44">
        <v>-0.77</v>
      </c>
      <c r="K1395" s="44">
        <v>362</v>
      </c>
      <c r="L1395" s="44">
        <v>128.5</v>
      </c>
      <c r="M1395" s="44">
        <v>963</v>
      </c>
    </row>
    <row r="1396" spans="1:13" x14ac:dyDescent="0.25">
      <c r="A1396" s="45" t="s">
        <v>2398</v>
      </c>
      <c r="B1396" s="44" t="s">
        <v>4724</v>
      </c>
      <c r="C1396" s="47">
        <v>44250</v>
      </c>
      <c r="D1396" s="44">
        <v>202104</v>
      </c>
      <c r="E1396" s="44">
        <v>128</v>
      </c>
      <c r="F1396" s="44">
        <v>128.5</v>
      </c>
      <c r="G1396" s="44">
        <v>127</v>
      </c>
      <c r="H1396" s="44">
        <v>127.5</v>
      </c>
      <c r="I1396" s="44">
        <v>-1.5</v>
      </c>
      <c r="J1396" s="44">
        <v>-1.1599999999999999</v>
      </c>
      <c r="K1396" s="44">
        <v>12</v>
      </c>
      <c r="L1396" s="44">
        <v>127.5</v>
      </c>
      <c r="M1396" s="44">
        <v>20</v>
      </c>
    </row>
    <row r="1397" spans="1:13" x14ac:dyDescent="0.25">
      <c r="A1397" s="45" t="s">
        <v>2399</v>
      </c>
      <c r="B1397" s="44" t="s">
        <v>4725</v>
      </c>
      <c r="C1397" s="47">
        <v>44250</v>
      </c>
      <c r="D1397" s="44">
        <v>202104</v>
      </c>
      <c r="E1397" s="44">
        <v>128</v>
      </c>
      <c r="F1397" s="44">
        <v>128.5</v>
      </c>
      <c r="G1397" s="44">
        <v>127</v>
      </c>
      <c r="H1397" s="44">
        <v>127.5</v>
      </c>
      <c r="I1397" s="44">
        <v>-1.5</v>
      </c>
      <c r="J1397" s="44">
        <v>-1.1599999999999999</v>
      </c>
      <c r="K1397" s="44">
        <v>12</v>
      </c>
      <c r="L1397" s="44">
        <v>127.5</v>
      </c>
      <c r="M1397" s="44">
        <v>20</v>
      </c>
    </row>
    <row r="1398" spans="1:13" x14ac:dyDescent="0.25">
      <c r="A1398" s="45" t="s">
        <v>2400</v>
      </c>
      <c r="C1398" s="47"/>
    </row>
    <row r="1399" spans="1:13" x14ac:dyDescent="0.25">
      <c r="A1399" s="45" t="s">
        <v>2401</v>
      </c>
      <c r="C1399" s="47"/>
    </row>
    <row r="1400" spans="1:13" x14ac:dyDescent="0.25">
      <c r="A1400" s="45" t="s">
        <v>2402</v>
      </c>
      <c r="B1400" s="44" t="s">
        <v>4726</v>
      </c>
      <c r="C1400" s="47">
        <v>44250</v>
      </c>
      <c r="D1400" s="44">
        <v>202103</v>
      </c>
      <c r="E1400" s="44">
        <v>129</v>
      </c>
      <c r="F1400" s="44">
        <v>129.5</v>
      </c>
      <c r="G1400" s="44">
        <v>127</v>
      </c>
      <c r="H1400" s="44">
        <v>128.5</v>
      </c>
      <c r="I1400" s="44">
        <v>-1</v>
      </c>
      <c r="J1400" s="44">
        <v>-0.77</v>
      </c>
      <c r="K1400" s="44">
        <v>362</v>
      </c>
      <c r="L1400" s="44">
        <v>128.5</v>
      </c>
      <c r="M1400" s="44">
        <v>963</v>
      </c>
    </row>
    <row r="1401" spans="1:13" x14ac:dyDescent="0.25">
      <c r="A1401" s="45" t="s">
        <v>2403</v>
      </c>
      <c r="B1401" s="44" t="s">
        <v>4727</v>
      </c>
      <c r="C1401" s="47">
        <v>44250</v>
      </c>
      <c r="D1401" s="44">
        <v>202106</v>
      </c>
      <c r="E1401" s="44">
        <v>128</v>
      </c>
      <c r="F1401" s="44">
        <v>128</v>
      </c>
      <c r="G1401" s="44">
        <v>127</v>
      </c>
      <c r="H1401" s="44">
        <v>127</v>
      </c>
      <c r="I1401" s="44">
        <v>-1.5</v>
      </c>
      <c r="J1401" s="44">
        <v>-1.17</v>
      </c>
      <c r="K1401" s="44">
        <v>4</v>
      </c>
      <c r="L1401" s="44">
        <v>127</v>
      </c>
      <c r="M1401" s="44">
        <v>9</v>
      </c>
    </row>
    <row r="1402" spans="1:13" x14ac:dyDescent="0.25">
      <c r="A1402" s="45" t="s">
        <v>2404</v>
      </c>
      <c r="B1402" s="44" t="s">
        <v>4728</v>
      </c>
      <c r="C1402" s="47">
        <v>44250</v>
      </c>
      <c r="D1402" s="44">
        <v>202109</v>
      </c>
      <c r="E1402" s="44">
        <v>127.5</v>
      </c>
      <c r="F1402" s="44">
        <v>127.5</v>
      </c>
      <c r="G1402" s="44">
        <v>127.5</v>
      </c>
      <c r="H1402" s="44">
        <v>127.5</v>
      </c>
      <c r="I1402" s="44">
        <v>-1</v>
      </c>
      <c r="J1402" s="44">
        <v>-0.78</v>
      </c>
      <c r="K1402" s="44">
        <v>0</v>
      </c>
      <c r="L1402" s="44">
        <v>127.5</v>
      </c>
      <c r="M1402" s="44">
        <v>1</v>
      </c>
    </row>
    <row r="1403" spans="1:13" x14ac:dyDescent="0.25">
      <c r="A1403" s="45" t="s">
        <v>2405</v>
      </c>
      <c r="B1403" s="44" t="s">
        <v>4729</v>
      </c>
      <c r="C1403" s="47">
        <v>44250</v>
      </c>
      <c r="D1403" s="44">
        <v>202112</v>
      </c>
      <c r="E1403" s="44">
        <v>128.5</v>
      </c>
      <c r="F1403" s="44">
        <v>128.5</v>
      </c>
      <c r="G1403" s="44">
        <v>128.5</v>
      </c>
      <c r="H1403" s="44">
        <v>128.5</v>
      </c>
      <c r="I1403" s="44">
        <v>-1</v>
      </c>
      <c r="J1403" s="44">
        <v>-0.77</v>
      </c>
      <c r="K1403" s="44">
        <v>0</v>
      </c>
      <c r="L1403" s="44">
        <v>128.5</v>
      </c>
      <c r="M1403" s="44">
        <v>0</v>
      </c>
    </row>
    <row r="1404" spans="1:13" x14ac:dyDescent="0.25">
      <c r="A1404" s="45" t="s">
        <v>1107</v>
      </c>
      <c r="B1404" s="44" t="s">
        <v>4730</v>
      </c>
      <c r="C1404" s="47">
        <v>44250</v>
      </c>
      <c r="D1404" s="44">
        <v>202103</v>
      </c>
      <c r="E1404" s="44">
        <v>303</v>
      </c>
      <c r="F1404" s="44">
        <v>303</v>
      </c>
      <c r="G1404" s="44">
        <v>291.5</v>
      </c>
      <c r="H1404" s="44">
        <v>295.5</v>
      </c>
      <c r="I1404" s="44">
        <v>-8</v>
      </c>
      <c r="J1404" s="44">
        <v>-2.64</v>
      </c>
      <c r="K1404" s="44">
        <v>126</v>
      </c>
      <c r="L1404" s="44">
        <v>295.5</v>
      </c>
      <c r="M1404" s="44">
        <v>163</v>
      </c>
    </row>
    <row r="1405" spans="1:13" x14ac:dyDescent="0.25">
      <c r="A1405" s="45" t="s">
        <v>2406</v>
      </c>
      <c r="B1405" s="44" t="s">
        <v>4731</v>
      </c>
      <c r="C1405" s="47">
        <v>44250</v>
      </c>
      <c r="D1405" s="44">
        <v>202103</v>
      </c>
      <c r="E1405" s="44">
        <v>303</v>
      </c>
      <c r="F1405" s="44">
        <v>303</v>
      </c>
      <c r="G1405" s="44">
        <v>291.5</v>
      </c>
      <c r="H1405" s="44">
        <v>295.5</v>
      </c>
      <c r="I1405" s="44">
        <v>-8</v>
      </c>
      <c r="J1405" s="44">
        <v>-2.64</v>
      </c>
      <c r="K1405" s="44">
        <v>126</v>
      </c>
      <c r="L1405" s="44">
        <v>295.5</v>
      </c>
      <c r="M1405" s="44">
        <v>163</v>
      </c>
    </row>
    <row r="1406" spans="1:13" x14ac:dyDescent="0.25">
      <c r="A1406" s="45" t="s">
        <v>2407</v>
      </c>
      <c r="B1406" s="44" t="s">
        <v>4732</v>
      </c>
      <c r="C1406" s="47">
        <v>44250</v>
      </c>
      <c r="D1406" s="44">
        <v>202104</v>
      </c>
      <c r="E1406" s="44">
        <v>295</v>
      </c>
      <c r="F1406" s="44">
        <v>295</v>
      </c>
      <c r="G1406" s="44">
        <v>295</v>
      </c>
      <c r="H1406" s="44">
        <v>295</v>
      </c>
      <c r="I1406" s="44">
        <v>-7.5</v>
      </c>
      <c r="J1406" s="44">
        <v>-2.48</v>
      </c>
      <c r="K1406" s="44">
        <v>59</v>
      </c>
      <c r="L1406" s="44">
        <v>295</v>
      </c>
      <c r="M1406" s="44">
        <v>63</v>
      </c>
    </row>
    <row r="1407" spans="1:13" x14ac:dyDescent="0.25">
      <c r="A1407" s="45" t="s">
        <v>2408</v>
      </c>
      <c r="B1407" s="44" t="s">
        <v>4733</v>
      </c>
      <c r="C1407" s="47">
        <v>44250</v>
      </c>
      <c r="D1407" s="44">
        <v>202104</v>
      </c>
      <c r="E1407" s="44">
        <v>295</v>
      </c>
      <c r="F1407" s="44">
        <v>295</v>
      </c>
      <c r="G1407" s="44">
        <v>295</v>
      </c>
      <c r="H1407" s="44">
        <v>295</v>
      </c>
      <c r="I1407" s="44">
        <v>-7.5</v>
      </c>
      <c r="J1407" s="44">
        <v>-2.48</v>
      </c>
      <c r="K1407" s="44">
        <v>59</v>
      </c>
      <c r="L1407" s="44">
        <v>295</v>
      </c>
      <c r="M1407" s="44">
        <v>63</v>
      </c>
    </row>
    <row r="1408" spans="1:13" x14ac:dyDescent="0.25">
      <c r="A1408" s="45" t="s">
        <v>2409</v>
      </c>
      <c r="C1408" s="47"/>
    </row>
    <row r="1409" spans="1:13" x14ac:dyDescent="0.25">
      <c r="A1409" s="45" t="s">
        <v>2410</v>
      </c>
      <c r="C1409" s="47"/>
    </row>
    <row r="1410" spans="1:13" x14ac:dyDescent="0.25">
      <c r="A1410" s="45" t="s">
        <v>2411</v>
      </c>
      <c r="B1410" s="44" t="s">
        <v>4734</v>
      </c>
      <c r="C1410" s="47">
        <v>44250</v>
      </c>
      <c r="D1410" s="44">
        <v>202103</v>
      </c>
      <c r="E1410" s="44">
        <v>303</v>
      </c>
      <c r="F1410" s="44">
        <v>303</v>
      </c>
      <c r="G1410" s="44">
        <v>291.5</v>
      </c>
      <c r="H1410" s="44">
        <v>295.5</v>
      </c>
      <c r="I1410" s="44">
        <v>-8</v>
      </c>
      <c r="J1410" s="44">
        <v>-2.64</v>
      </c>
      <c r="K1410" s="44">
        <v>126</v>
      </c>
      <c r="L1410" s="44">
        <v>295.5</v>
      </c>
      <c r="M1410" s="44">
        <v>163</v>
      </c>
    </row>
    <row r="1411" spans="1:13" x14ac:dyDescent="0.25">
      <c r="A1411" s="45" t="s">
        <v>2412</v>
      </c>
      <c r="B1411" s="44" t="s">
        <v>4735</v>
      </c>
      <c r="C1411" s="47">
        <v>44250</v>
      </c>
      <c r="D1411" s="44">
        <v>202106</v>
      </c>
      <c r="E1411" s="44">
        <v>293.5</v>
      </c>
      <c r="F1411" s="44">
        <v>293.5</v>
      </c>
      <c r="G1411" s="44">
        <v>293.5</v>
      </c>
      <c r="H1411" s="44">
        <v>293.5</v>
      </c>
      <c r="I1411" s="44">
        <v>-8</v>
      </c>
      <c r="J1411" s="44">
        <v>-2.65</v>
      </c>
      <c r="K1411" s="44">
        <v>0</v>
      </c>
      <c r="L1411" s="44">
        <v>293.5</v>
      </c>
      <c r="M1411" s="44">
        <v>0</v>
      </c>
    </row>
    <row r="1412" spans="1:13" x14ac:dyDescent="0.25">
      <c r="A1412" s="45" t="s">
        <v>2413</v>
      </c>
      <c r="B1412" s="44" t="s">
        <v>4736</v>
      </c>
      <c r="C1412" s="47">
        <v>44250</v>
      </c>
      <c r="D1412" s="44">
        <v>202109</v>
      </c>
      <c r="E1412" s="44">
        <v>295</v>
      </c>
      <c r="F1412" s="44">
        <v>295</v>
      </c>
      <c r="G1412" s="44">
        <v>295</v>
      </c>
      <c r="H1412" s="44">
        <v>295</v>
      </c>
      <c r="I1412" s="44">
        <v>-8</v>
      </c>
      <c r="J1412" s="44">
        <v>-2.64</v>
      </c>
      <c r="K1412" s="44">
        <v>0</v>
      </c>
      <c r="L1412" s="44">
        <v>295</v>
      </c>
      <c r="M1412" s="44">
        <v>0</v>
      </c>
    </row>
    <row r="1413" spans="1:13" x14ac:dyDescent="0.25">
      <c r="A1413" s="45" t="s">
        <v>2414</v>
      </c>
      <c r="B1413" s="44" t="s">
        <v>4737</v>
      </c>
      <c r="C1413" s="47">
        <v>44250</v>
      </c>
      <c r="D1413" s="44">
        <v>202112</v>
      </c>
      <c r="E1413" s="44">
        <v>295.5</v>
      </c>
      <c r="F1413" s="44">
        <v>295.5</v>
      </c>
      <c r="G1413" s="44">
        <v>295.5</v>
      </c>
      <c r="H1413" s="44">
        <v>295.5</v>
      </c>
      <c r="I1413" s="44">
        <v>-8</v>
      </c>
      <c r="J1413" s="44">
        <v>-2.64</v>
      </c>
      <c r="K1413" s="44">
        <v>0</v>
      </c>
      <c r="L1413" s="44">
        <v>295.5</v>
      </c>
      <c r="M1413" s="44">
        <v>0</v>
      </c>
    </row>
    <row r="1414" spans="1:13" x14ac:dyDescent="0.25">
      <c r="A1414" s="45" t="s">
        <v>1066</v>
      </c>
      <c r="B1414" s="44" t="s">
        <v>4738</v>
      </c>
      <c r="C1414" s="47">
        <v>44250</v>
      </c>
      <c r="D1414" s="44">
        <v>202103</v>
      </c>
      <c r="E1414" s="44">
        <v>19.95</v>
      </c>
      <c r="F1414" s="44">
        <v>20.2</v>
      </c>
      <c r="G1414" s="44">
        <v>19.95</v>
      </c>
      <c r="H1414" s="44">
        <v>20.2</v>
      </c>
      <c r="I1414" s="44">
        <v>0.2</v>
      </c>
      <c r="J1414" s="44">
        <v>1</v>
      </c>
      <c r="K1414" s="44">
        <v>21</v>
      </c>
      <c r="L1414" s="44">
        <v>20.2</v>
      </c>
      <c r="M1414" s="44">
        <v>61</v>
      </c>
    </row>
    <row r="1415" spans="1:13" x14ac:dyDescent="0.25">
      <c r="A1415" s="45" t="s">
        <v>2415</v>
      </c>
      <c r="B1415" s="44" t="s">
        <v>4739</v>
      </c>
      <c r="C1415" s="47">
        <v>44250</v>
      </c>
      <c r="D1415" s="44">
        <v>202103</v>
      </c>
      <c r="E1415" s="44">
        <v>19.95</v>
      </c>
      <c r="F1415" s="44">
        <v>20.2</v>
      </c>
      <c r="G1415" s="44">
        <v>19.95</v>
      </c>
      <c r="H1415" s="44">
        <v>20.2</v>
      </c>
      <c r="I1415" s="44">
        <v>0.2</v>
      </c>
      <c r="J1415" s="44">
        <v>1</v>
      </c>
      <c r="K1415" s="44">
        <v>21</v>
      </c>
      <c r="L1415" s="44">
        <v>20.2</v>
      </c>
      <c r="M1415" s="44">
        <v>61</v>
      </c>
    </row>
    <row r="1416" spans="1:13" x14ac:dyDescent="0.25">
      <c r="A1416" s="45" t="s">
        <v>2416</v>
      </c>
      <c r="B1416" s="44" t="s">
        <v>4740</v>
      </c>
      <c r="C1416" s="47">
        <v>44250</v>
      </c>
      <c r="D1416" s="44">
        <v>202104</v>
      </c>
      <c r="E1416" s="44">
        <v>20.05</v>
      </c>
      <c r="F1416" s="44">
        <v>20.100000000000001</v>
      </c>
      <c r="G1416" s="44">
        <v>20.05</v>
      </c>
      <c r="H1416" s="44">
        <v>20.100000000000001</v>
      </c>
      <c r="I1416" s="44">
        <v>0.1</v>
      </c>
      <c r="J1416" s="44">
        <v>0.5</v>
      </c>
      <c r="K1416" s="44">
        <v>12</v>
      </c>
      <c r="L1416" s="44">
        <v>20.100000000000001</v>
      </c>
      <c r="M1416" s="44">
        <v>15</v>
      </c>
    </row>
    <row r="1417" spans="1:13" x14ac:dyDescent="0.25">
      <c r="A1417" s="45" t="s">
        <v>2417</v>
      </c>
      <c r="B1417" s="44" t="s">
        <v>4741</v>
      </c>
      <c r="C1417" s="47">
        <v>44250</v>
      </c>
      <c r="D1417" s="44">
        <v>202104</v>
      </c>
      <c r="E1417" s="44">
        <v>20.05</v>
      </c>
      <c r="F1417" s="44">
        <v>20.100000000000001</v>
      </c>
      <c r="G1417" s="44">
        <v>20.05</v>
      </c>
      <c r="H1417" s="44">
        <v>20.100000000000001</v>
      </c>
      <c r="I1417" s="44">
        <v>0.1</v>
      </c>
      <c r="J1417" s="44">
        <v>0.5</v>
      </c>
      <c r="K1417" s="44">
        <v>12</v>
      </c>
      <c r="L1417" s="44">
        <v>20.100000000000001</v>
      </c>
      <c r="M1417" s="44">
        <v>15</v>
      </c>
    </row>
    <row r="1418" spans="1:13" x14ac:dyDescent="0.25">
      <c r="A1418" s="45" t="s">
        <v>2418</v>
      </c>
      <c r="C1418" s="47"/>
    </row>
    <row r="1419" spans="1:13" x14ac:dyDescent="0.25">
      <c r="A1419" s="45" t="s">
        <v>2419</v>
      </c>
      <c r="C1419" s="47"/>
    </row>
    <row r="1420" spans="1:13" x14ac:dyDescent="0.25">
      <c r="A1420" s="45" t="s">
        <v>2420</v>
      </c>
      <c r="B1420" s="44" t="s">
        <v>4742</v>
      </c>
      <c r="C1420" s="47">
        <v>44250</v>
      </c>
      <c r="D1420" s="44">
        <v>202103</v>
      </c>
      <c r="E1420" s="44">
        <v>19.95</v>
      </c>
      <c r="F1420" s="44">
        <v>20.2</v>
      </c>
      <c r="G1420" s="44">
        <v>19.95</v>
      </c>
      <c r="H1420" s="44">
        <v>20.2</v>
      </c>
      <c r="I1420" s="44">
        <v>0.2</v>
      </c>
      <c r="J1420" s="44">
        <v>1</v>
      </c>
      <c r="K1420" s="44">
        <v>21</v>
      </c>
      <c r="L1420" s="44">
        <v>20.2</v>
      </c>
      <c r="M1420" s="44">
        <v>61</v>
      </c>
    </row>
    <row r="1421" spans="1:13" x14ac:dyDescent="0.25">
      <c r="A1421" s="45" t="s">
        <v>2421</v>
      </c>
      <c r="B1421" s="44" t="s">
        <v>4743</v>
      </c>
      <c r="C1421" s="47">
        <v>44250</v>
      </c>
      <c r="D1421" s="44">
        <v>202106</v>
      </c>
      <c r="E1421" s="44">
        <v>20.350000000000001</v>
      </c>
      <c r="F1421" s="44">
        <v>20.350000000000001</v>
      </c>
      <c r="G1421" s="44">
        <v>20.350000000000001</v>
      </c>
      <c r="H1421" s="44">
        <v>20.350000000000001</v>
      </c>
      <c r="I1421" s="44">
        <v>0.2</v>
      </c>
      <c r="J1421" s="44">
        <v>0.99</v>
      </c>
      <c r="K1421" s="44">
        <v>0</v>
      </c>
      <c r="L1421" s="44">
        <v>20.350000000000001</v>
      </c>
      <c r="M1421" s="44">
        <v>0</v>
      </c>
    </row>
    <row r="1422" spans="1:13" x14ac:dyDescent="0.25">
      <c r="A1422" s="45" t="s">
        <v>2422</v>
      </c>
      <c r="B1422" s="44" t="s">
        <v>4744</v>
      </c>
      <c r="C1422" s="47">
        <v>44250</v>
      </c>
      <c r="D1422" s="44">
        <v>202109</v>
      </c>
      <c r="E1422" s="44">
        <v>20.3</v>
      </c>
      <c r="F1422" s="44">
        <v>20.3</v>
      </c>
      <c r="G1422" s="44">
        <v>20.3</v>
      </c>
      <c r="H1422" s="44">
        <v>20.3</v>
      </c>
      <c r="I1422" s="44">
        <v>0.2</v>
      </c>
      <c r="J1422" s="44">
        <v>1</v>
      </c>
      <c r="K1422" s="44">
        <v>0</v>
      </c>
      <c r="L1422" s="44">
        <v>20.3</v>
      </c>
      <c r="M1422" s="44">
        <v>0</v>
      </c>
    </row>
    <row r="1423" spans="1:13" x14ac:dyDescent="0.25">
      <c r="A1423" s="45" t="s">
        <v>2423</v>
      </c>
      <c r="B1423" s="44" t="s">
        <v>4745</v>
      </c>
      <c r="C1423" s="47">
        <v>44250</v>
      </c>
      <c r="D1423" s="44">
        <v>202112</v>
      </c>
      <c r="E1423" s="44">
        <v>20.45</v>
      </c>
      <c r="F1423" s="44">
        <v>20.45</v>
      </c>
      <c r="G1423" s="44">
        <v>20.45</v>
      </c>
      <c r="H1423" s="44">
        <v>20.45</v>
      </c>
      <c r="I1423" s="44">
        <v>0.2</v>
      </c>
      <c r="J1423" s="44">
        <v>0.99</v>
      </c>
      <c r="K1423" s="44">
        <v>0</v>
      </c>
      <c r="L1423" s="44">
        <v>20.45</v>
      </c>
      <c r="M1423" s="44">
        <v>0</v>
      </c>
    </row>
    <row r="1424" spans="1:13" x14ac:dyDescent="0.25">
      <c r="A1424" s="45" t="s">
        <v>945</v>
      </c>
      <c r="B1424" s="44" t="s">
        <v>4746</v>
      </c>
      <c r="C1424" s="47">
        <v>44250</v>
      </c>
      <c r="D1424" s="44">
        <v>202103</v>
      </c>
      <c r="E1424" s="44">
        <v>24.2</v>
      </c>
      <c r="F1424" s="44">
        <v>25.1</v>
      </c>
      <c r="G1424" s="44">
        <v>24.05</v>
      </c>
      <c r="H1424" s="44">
        <v>25.1</v>
      </c>
      <c r="I1424" s="44">
        <v>1.3</v>
      </c>
      <c r="J1424" s="44">
        <v>5.46</v>
      </c>
      <c r="K1424" s="44">
        <v>325</v>
      </c>
      <c r="L1424" s="44">
        <v>25.1</v>
      </c>
      <c r="M1424" s="44">
        <v>387</v>
      </c>
    </row>
    <row r="1425" spans="1:13" x14ac:dyDescent="0.25">
      <c r="A1425" s="45" t="s">
        <v>2424</v>
      </c>
      <c r="B1425" s="44" t="s">
        <v>4747</v>
      </c>
      <c r="C1425" s="47">
        <v>44250</v>
      </c>
      <c r="D1425" s="44">
        <v>202103</v>
      </c>
      <c r="E1425" s="44">
        <v>24.2</v>
      </c>
      <c r="F1425" s="44">
        <v>25.1</v>
      </c>
      <c r="G1425" s="44">
        <v>24.05</v>
      </c>
      <c r="H1425" s="44">
        <v>25.1</v>
      </c>
      <c r="I1425" s="44">
        <v>1.3</v>
      </c>
      <c r="J1425" s="44">
        <v>5.46</v>
      </c>
      <c r="K1425" s="44">
        <v>325</v>
      </c>
      <c r="L1425" s="44">
        <v>25.1</v>
      </c>
      <c r="M1425" s="44">
        <v>387</v>
      </c>
    </row>
    <row r="1426" spans="1:13" x14ac:dyDescent="0.25">
      <c r="A1426" s="45" t="s">
        <v>2425</v>
      </c>
      <c r="B1426" s="44" t="s">
        <v>4748</v>
      </c>
      <c r="C1426" s="47">
        <v>44250</v>
      </c>
      <c r="D1426" s="44">
        <v>202104</v>
      </c>
      <c r="E1426" s="44">
        <v>25</v>
      </c>
      <c r="F1426" s="44">
        <v>25</v>
      </c>
      <c r="G1426" s="44">
        <v>25</v>
      </c>
      <c r="H1426" s="44">
        <v>25</v>
      </c>
      <c r="I1426" s="44">
        <v>1.2</v>
      </c>
      <c r="J1426" s="44">
        <v>5.04</v>
      </c>
      <c r="K1426" s="44">
        <v>2</v>
      </c>
      <c r="L1426" s="44">
        <v>25</v>
      </c>
      <c r="M1426" s="44">
        <v>69</v>
      </c>
    </row>
    <row r="1427" spans="1:13" x14ac:dyDescent="0.25">
      <c r="A1427" s="45" t="s">
        <v>2426</v>
      </c>
      <c r="B1427" s="44" t="s">
        <v>4749</v>
      </c>
      <c r="C1427" s="47">
        <v>44250</v>
      </c>
      <c r="D1427" s="44">
        <v>202104</v>
      </c>
      <c r="E1427" s="44">
        <v>25</v>
      </c>
      <c r="F1427" s="44">
        <v>25</v>
      </c>
      <c r="G1427" s="44">
        <v>25</v>
      </c>
      <c r="H1427" s="44">
        <v>25</v>
      </c>
      <c r="I1427" s="44">
        <v>1.2</v>
      </c>
      <c r="J1427" s="44">
        <v>5.04</v>
      </c>
      <c r="K1427" s="44">
        <v>2</v>
      </c>
      <c r="L1427" s="44">
        <v>25</v>
      </c>
      <c r="M1427" s="44">
        <v>69</v>
      </c>
    </row>
    <row r="1428" spans="1:13" x14ac:dyDescent="0.25">
      <c r="A1428" s="45" t="s">
        <v>2427</v>
      </c>
      <c r="C1428" s="47"/>
    </row>
    <row r="1429" spans="1:13" x14ac:dyDescent="0.25">
      <c r="A1429" s="45" t="s">
        <v>2428</v>
      </c>
      <c r="C1429" s="47"/>
    </row>
    <row r="1430" spans="1:13" x14ac:dyDescent="0.25">
      <c r="A1430" s="45" t="s">
        <v>2429</v>
      </c>
      <c r="B1430" s="44" t="s">
        <v>4750</v>
      </c>
      <c r="C1430" s="47">
        <v>44250</v>
      </c>
      <c r="D1430" s="44">
        <v>202103</v>
      </c>
      <c r="E1430" s="44">
        <v>24.2</v>
      </c>
      <c r="F1430" s="44">
        <v>25.1</v>
      </c>
      <c r="G1430" s="44">
        <v>24.05</v>
      </c>
      <c r="H1430" s="44">
        <v>25.1</v>
      </c>
      <c r="I1430" s="44">
        <v>1.3</v>
      </c>
      <c r="J1430" s="44">
        <v>5.46</v>
      </c>
      <c r="K1430" s="44">
        <v>325</v>
      </c>
      <c r="L1430" s="44">
        <v>25.1</v>
      </c>
      <c r="M1430" s="44">
        <v>387</v>
      </c>
    </row>
    <row r="1431" spans="1:13" x14ac:dyDescent="0.25">
      <c r="A1431" s="45" t="s">
        <v>2430</v>
      </c>
      <c r="B1431" s="44" t="s">
        <v>4751</v>
      </c>
      <c r="C1431" s="47">
        <v>44250</v>
      </c>
      <c r="D1431" s="44">
        <v>202106</v>
      </c>
      <c r="E1431" s="44">
        <v>25.2</v>
      </c>
      <c r="F1431" s="44">
        <v>25.2</v>
      </c>
      <c r="G1431" s="44">
        <v>25.2</v>
      </c>
      <c r="H1431" s="44">
        <v>25.2</v>
      </c>
      <c r="I1431" s="44">
        <v>1.3</v>
      </c>
      <c r="J1431" s="44">
        <v>5.44</v>
      </c>
      <c r="K1431" s="44">
        <v>0</v>
      </c>
      <c r="L1431" s="44">
        <v>25.2</v>
      </c>
      <c r="M1431" s="44">
        <v>0</v>
      </c>
    </row>
    <row r="1432" spans="1:13" x14ac:dyDescent="0.25">
      <c r="A1432" s="45" t="s">
        <v>2431</v>
      </c>
      <c r="B1432" s="44" t="s">
        <v>4752</v>
      </c>
      <c r="C1432" s="47">
        <v>44250</v>
      </c>
      <c r="D1432" s="44">
        <v>202109</v>
      </c>
      <c r="E1432" s="44">
        <v>25.6</v>
      </c>
      <c r="F1432" s="44">
        <v>25.6</v>
      </c>
      <c r="G1432" s="44">
        <v>25.6</v>
      </c>
      <c r="H1432" s="44">
        <v>25.6</v>
      </c>
      <c r="I1432" s="44">
        <v>1.9</v>
      </c>
      <c r="J1432" s="44">
        <v>8.02</v>
      </c>
      <c r="K1432" s="44">
        <v>1</v>
      </c>
      <c r="L1432" s="44">
        <v>25</v>
      </c>
      <c r="M1432" s="44">
        <v>2</v>
      </c>
    </row>
    <row r="1433" spans="1:13" x14ac:dyDescent="0.25">
      <c r="A1433" s="45" t="s">
        <v>2432</v>
      </c>
      <c r="B1433" s="44" t="s">
        <v>4753</v>
      </c>
      <c r="C1433" s="47">
        <v>44250</v>
      </c>
      <c r="D1433" s="44">
        <v>202112</v>
      </c>
      <c r="E1433" s="44">
        <v>25.35</v>
      </c>
      <c r="F1433" s="44">
        <v>25.35</v>
      </c>
      <c r="G1433" s="44">
        <v>25.35</v>
      </c>
      <c r="H1433" s="44">
        <v>25.35</v>
      </c>
      <c r="I1433" s="44">
        <v>1.3</v>
      </c>
      <c r="J1433" s="44">
        <v>5.41</v>
      </c>
      <c r="K1433" s="44">
        <v>0</v>
      </c>
      <c r="L1433" s="44">
        <v>25.35</v>
      </c>
      <c r="M1433" s="44">
        <v>0</v>
      </c>
    </row>
    <row r="1434" spans="1:13" x14ac:dyDescent="0.25">
      <c r="A1434" s="45" t="s">
        <v>988</v>
      </c>
      <c r="B1434" s="44" t="s">
        <v>4754</v>
      </c>
      <c r="C1434" s="47">
        <v>44250</v>
      </c>
      <c r="D1434" s="44">
        <v>202103</v>
      </c>
      <c r="E1434" s="44">
        <v>9.19</v>
      </c>
      <c r="F1434" s="44">
        <v>9.3000000000000007</v>
      </c>
      <c r="G1434" s="44">
        <v>9.19</v>
      </c>
      <c r="H1434" s="44">
        <v>9.2799999999999994</v>
      </c>
      <c r="I1434" s="44">
        <v>0.09</v>
      </c>
      <c r="J1434" s="44">
        <v>0.98</v>
      </c>
      <c r="K1434" s="44">
        <v>33</v>
      </c>
      <c r="L1434" s="44">
        <v>9.2799999999999994</v>
      </c>
      <c r="M1434" s="44">
        <v>295</v>
      </c>
    </row>
    <row r="1435" spans="1:13" x14ac:dyDescent="0.25">
      <c r="A1435" s="45" t="s">
        <v>2433</v>
      </c>
      <c r="B1435" s="44" t="s">
        <v>4755</v>
      </c>
      <c r="C1435" s="47">
        <v>44250</v>
      </c>
      <c r="D1435" s="44">
        <v>202103</v>
      </c>
      <c r="E1435" s="44">
        <v>9.19</v>
      </c>
      <c r="F1435" s="44">
        <v>9.3000000000000007</v>
      </c>
      <c r="G1435" s="44">
        <v>9.19</v>
      </c>
      <c r="H1435" s="44">
        <v>9.2799999999999994</v>
      </c>
      <c r="I1435" s="44">
        <v>0.09</v>
      </c>
      <c r="J1435" s="44">
        <v>0.98</v>
      </c>
      <c r="K1435" s="44">
        <v>33</v>
      </c>
      <c r="L1435" s="44">
        <v>9.2799999999999994</v>
      </c>
      <c r="M1435" s="44">
        <v>295</v>
      </c>
    </row>
    <row r="1436" spans="1:13" x14ac:dyDescent="0.25">
      <c r="A1436" s="45" t="s">
        <v>2434</v>
      </c>
      <c r="B1436" s="44" t="s">
        <v>4756</v>
      </c>
      <c r="C1436" s="47">
        <v>44250</v>
      </c>
      <c r="D1436" s="44">
        <v>202104</v>
      </c>
      <c r="E1436" s="44">
        <v>9.1999999999999993</v>
      </c>
      <c r="F1436" s="44">
        <v>9.1999999999999993</v>
      </c>
      <c r="G1436" s="44">
        <v>9.1999999999999993</v>
      </c>
      <c r="H1436" s="44">
        <v>9.1999999999999993</v>
      </c>
      <c r="I1436" s="44">
        <v>0</v>
      </c>
      <c r="J1436" s="44">
        <v>0</v>
      </c>
      <c r="K1436" s="44">
        <v>10</v>
      </c>
      <c r="L1436" s="44">
        <v>9.1999999999999993</v>
      </c>
      <c r="M1436" s="44">
        <v>12</v>
      </c>
    </row>
    <row r="1437" spans="1:13" x14ac:dyDescent="0.25">
      <c r="A1437" s="45" t="s">
        <v>2435</v>
      </c>
      <c r="B1437" s="44" t="s">
        <v>4757</v>
      </c>
      <c r="C1437" s="47">
        <v>44250</v>
      </c>
      <c r="D1437" s="44">
        <v>202104</v>
      </c>
      <c r="E1437" s="44">
        <v>9.1999999999999993</v>
      </c>
      <c r="F1437" s="44">
        <v>9.1999999999999993</v>
      </c>
      <c r="G1437" s="44">
        <v>9.1999999999999993</v>
      </c>
      <c r="H1437" s="44">
        <v>9.1999999999999993</v>
      </c>
      <c r="I1437" s="44">
        <v>0</v>
      </c>
      <c r="J1437" s="44">
        <v>0</v>
      </c>
      <c r="K1437" s="44">
        <v>10</v>
      </c>
      <c r="L1437" s="44">
        <v>9.1999999999999993</v>
      </c>
      <c r="M1437" s="44">
        <v>12</v>
      </c>
    </row>
    <row r="1438" spans="1:13" x14ac:dyDescent="0.25">
      <c r="A1438" s="45" t="s">
        <v>2436</v>
      </c>
      <c r="C1438" s="47"/>
    </row>
    <row r="1439" spans="1:13" x14ac:dyDescent="0.25">
      <c r="A1439" s="45" t="s">
        <v>2437</v>
      </c>
      <c r="C1439" s="47"/>
    </row>
    <row r="1440" spans="1:13" x14ac:dyDescent="0.25">
      <c r="A1440" s="45" t="s">
        <v>2438</v>
      </c>
      <c r="B1440" s="44" t="s">
        <v>4758</v>
      </c>
      <c r="C1440" s="47">
        <v>44250</v>
      </c>
      <c r="D1440" s="44">
        <v>202103</v>
      </c>
      <c r="E1440" s="44">
        <v>9.19</v>
      </c>
      <c r="F1440" s="44">
        <v>9.3000000000000007</v>
      </c>
      <c r="G1440" s="44">
        <v>9.19</v>
      </c>
      <c r="H1440" s="44">
        <v>9.2799999999999994</v>
      </c>
      <c r="I1440" s="44">
        <v>0.09</v>
      </c>
      <c r="J1440" s="44">
        <v>0.98</v>
      </c>
      <c r="K1440" s="44">
        <v>33</v>
      </c>
      <c r="L1440" s="44">
        <v>9.2799999999999994</v>
      </c>
      <c r="M1440" s="44">
        <v>295</v>
      </c>
    </row>
    <row r="1441" spans="1:13" x14ac:dyDescent="0.25">
      <c r="A1441" s="45" t="s">
        <v>2439</v>
      </c>
      <c r="B1441" s="44" t="s">
        <v>4759</v>
      </c>
      <c r="C1441" s="47">
        <v>44250</v>
      </c>
      <c r="D1441" s="44">
        <v>202106</v>
      </c>
      <c r="E1441" s="44">
        <v>9.41</v>
      </c>
      <c r="F1441" s="44">
        <v>9.41</v>
      </c>
      <c r="G1441" s="44">
        <v>9.41</v>
      </c>
      <c r="H1441" s="44">
        <v>9.41</v>
      </c>
      <c r="I1441" s="44">
        <v>0.09</v>
      </c>
      <c r="J1441" s="44">
        <v>0.97</v>
      </c>
      <c r="K1441" s="44">
        <v>0</v>
      </c>
      <c r="L1441" s="44">
        <v>9.41</v>
      </c>
      <c r="M1441" s="44">
        <v>5</v>
      </c>
    </row>
    <row r="1442" spans="1:13" x14ac:dyDescent="0.25">
      <c r="A1442" s="45" t="s">
        <v>2440</v>
      </c>
      <c r="B1442" s="44" t="s">
        <v>4760</v>
      </c>
      <c r="C1442" s="47">
        <v>44250</v>
      </c>
      <c r="D1442" s="44">
        <v>202109</v>
      </c>
      <c r="E1442" s="44">
        <v>9.2799999999999994</v>
      </c>
      <c r="F1442" s="44">
        <v>9.2799999999999994</v>
      </c>
      <c r="G1442" s="44">
        <v>9.2799999999999994</v>
      </c>
      <c r="H1442" s="44">
        <v>9.2799999999999994</v>
      </c>
      <c r="I1442" s="44">
        <v>0.09</v>
      </c>
      <c r="J1442" s="44">
        <v>0.98</v>
      </c>
      <c r="K1442" s="44">
        <v>0</v>
      </c>
      <c r="L1442" s="44">
        <v>9.2799999999999994</v>
      </c>
      <c r="M1442" s="44">
        <v>3</v>
      </c>
    </row>
    <row r="1443" spans="1:13" x14ac:dyDescent="0.25">
      <c r="A1443" s="45" t="s">
        <v>2441</v>
      </c>
      <c r="B1443" s="44" t="s">
        <v>4761</v>
      </c>
      <c r="C1443" s="47">
        <v>44250</v>
      </c>
      <c r="D1443" s="44">
        <v>202112</v>
      </c>
      <c r="E1443" s="44">
        <v>9.31</v>
      </c>
      <c r="F1443" s="44">
        <v>9.31</v>
      </c>
      <c r="G1443" s="44">
        <v>9.31</v>
      </c>
      <c r="H1443" s="44">
        <v>9.31</v>
      </c>
      <c r="I1443" s="44">
        <v>0.09</v>
      </c>
      <c r="J1443" s="44">
        <v>0.98</v>
      </c>
      <c r="K1443" s="44">
        <v>0</v>
      </c>
      <c r="L1443" s="44">
        <v>9.31</v>
      </c>
      <c r="M1443" s="44">
        <v>0</v>
      </c>
    </row>
    <row r="1444" spans="1:13" x14ac:dyDescent="0.25">
      <c r="A1444" s="45" t="s">
        <v>1050</v>
      </c>
      <c r="B1444" s="44" t="s">
        <v>4762</v>
      </c>
      <c r="C1444" s="47">
        <v>44250</v>
      </c>
      <c r="D1444" s="44">
        <v>202103</v>
      </c>
      <c r="E1444" s="44">
        <v>60.2</v>
      </c>
      <c r="F1444" s="44">
        <v>60.2</v>
      </c>
      <c r="G1444" s="44">
        <v>60.2</v>
      </c>
      <c r="H1444" s="44">
        <v>60.2</v>
      </c>
      <c r="I1444" s="44">
        <v>0</v>
      </c>
      <c r="J1444" s="44">
        <v>0</v>
      </c>
      <c r="K1444" s="44">
        <v>7</v>
      </c>
      <c r="L1444" s="44">
        <v>60.2</v>
      </c>
      <c r="M1444" s="44">
        <v>127</v>
      </c>
    </row>
    <row r="1445" spans="1:13" x14ac:dyDescent="0.25">
      <c r="A1445" s="45" t="s">
        <v>2442</v>
      </c>
      <c r="B1445" s="44" t="s">
        <v>4763</v>
      </c>
      <c r="C1445" s="47">
        <v>44250</v>
      </c>
      <c r="D1445" s="44">
        <v>202103</v>
      </c>
      <c r="E1445" s="44">
        <v>60.2</v>
      </c>
      <c r="F1445" s="44">
        <v>60.2</v>
      </c>
      <c r="G1445" s="44">
        <v>60.2</v>
      </c>
      <c r="H1445" s="44">
        <v>60.2</v>
      </c>
      <c r="I1445" s="44">
        <v>0</v>
      </c>
      <c r="J1445" s="44">
        <v>0</v>
      </c>
      <c r="K1445" s="44">
        <v>7</v>
      </c>
      <c r="L1445" s="44">
        <v>60.2</v>
      </c>
      <c r="M1445" s="44">
        <v>127</v>
      </c>
    </row>
    <row r="1446" spans="1:13" x14ac:dyDescent="0.25">
      <c r="A1446" s="45" t="s">
        <v>2443</v>
      </c>
      <c r="B1446" s="44" t="s">
        <v>4764</v>
      </c>
      <c r="C1446" s="47">
        <v>44250</v>
      </c>
      <c r="D1446" s="44">
        <v>202104</v>
      </c>
      <c r="E1446" s="44">
        <v>60.2</v>
      </c>
      <c r="F1446" s="44">
        <v>60.2</v>
      </c>
      <c r="G1446" s="44">
        <v>60.2</v>
      </c>
      <c r="H1446" s="44">
        <v>60.2</v>
      </c>
      <c r="I1446" s="44">
        <v>0.1</v>
      </c>
      <c r="J1446" s="44">
        <v>0.17</v>
      </c>
      <c r="K1446" s="44">
        <v>4</v>
      </c>
      <c r="L1446" s="44">
        <v>60.2</v>
      </c>
      <c r="M1446" s="44">
        <v>7</v>
      </c>
    </row>
    <row r="1447" spans="1:13" x14ac:dyDescent="0.25">
      <c r="A1447" s="45" t="s">
        <v>2444</v>
      </c>
      <c r="B1447" s="44" t="s">
        <v>4765</v>
      </c>
      <c r="C1447" s="47">
        <v>44250</v>
      </c>
      <c r="D1447" s="44">
        <v>202104</v>
      </c>
      <c r="E1447" s="44">
        <v>60.2</v>
      </c>
      <c r="F1447" s="44">
        <v>60.2</v>
      </c>
      <c r="G1447" s="44">
        <v>60.2</v>
      </c>
      <c r="H1447" s="44">
        <v>60.2</v>
      </c>
      <c r="I1447" s="44">
        <v>0.1</v>
      </c>
      <c r="J1447" s="44">
        <v>0.17</v>
      </c>
      <c r="K1447" s="44">
        <v>4</v>
      </c>
      <c r="L1447" s="44">
        <v>60.2</v>
      </c>
      <c r="M1447" s="44">
        <v>7</v>
      </c>
    </row>
    <row r="1448" spans="1:13" x14ac:dyDescent="0.25">
      <c r="A1448" s="45" t="s">
        <v>2445</v>
      </c>
      <c r="C1448" s="47"/>
    </row>
    <row r="1449" spans="1:13" x14ac:dyDescent="0.25">
      <c r="A1449" s="45" t="s">
        <v>2446</v>
      </c>
      <c r="C1449" s="47"/>
    </row>
    <row r="1450" spans="1:13" x14ac:dyDescent="0.25">
      <c r="A1450" s="45" t="s">
        <v>2447</v>
      </c>
      <c r="B1450" s="44" t="s">
        <v>4766</v>
      </c>
      <c r="C1450" s="47">
        <v>44250</v>
      </c>
      <c r="D1450" s="44">
        <v>202103</v>
      </c>
      <c r="E1450" s="44">
        <v>60.2</v>
      </c>
      <c r="F1450" s="44">
        <v>60.2</v>
      </c>
      <c r="G1450" s="44">
        <v>60.2</v>
      </c>
      <c r="H1450" s="44">
        <v>60.2</v>
      </c>
      <c r="I1450" s="44">
        <v>0</v>
      </c>
      <c r="J1450" s="44">
        <v>0</v>
      </c>
      <c r="K1450" s="44">
        <v>7</v>
      </c>
      <c r="L1450" s="44">
        <v>60.2</v>
      </c>
      <c r="M1450" s="44">
        <v>127</v>
      </c>
    </row>
    <row r="1451" spans="1:13" x14ac:dyDescent="0.25">
      <c r="A1451" s="45" t="s">
        <v>2448</v>
      </c>
      <c r="B1451" s="44" t="s">
        <v>4767</v>
      </c>
      <c r="C1451" s="47">
        <v>44250</v>
      </c>
      <c r="D1451" s="44">
        <v>202106</v>
      </c>
      <c r="E1451" s="44">
        <v>60.2</v>
      </c>
      <c r="F1451" s="44">
        <v>60.2</v>
      </c>
      <c r="G1451" s="44">
        <v>60.2</v>
      </c>
      <c r="H1451" s="44">
        <v>60.2</v>
      </c>
      <c r="I1451" s="44">
        <v>0</v>
      </c>
      <c r="J1451" s="44">
        <v>0</v>
      </c>
      <c r="K1451" s="44">
        <v>0</v>
      </c>
      <c r="L1451" s="44">
        <v>60.2</v>
      </c>
      <c r="M1451" s="44">
        <v>0</v>
      </c>
    </row>
    <row r="1452" spans="1:13" x14ac:dyDescent="0.25">
      <c r="A1452" s="45" t="s">
        <v>2449</v>
      </c>
      <c r="B1452" s="44" t="s">
        <v>4768</v>
      </c>
      <c r="C1452" s="47">
        <v>44250</v>
      </c>
      <c r="D1452" s="44">
        <v>202109</v>
      </c>
      <c r="E1452" s="44">
        <v>60.5</v>
      </c>
      <c r="F1452" s="44">
        <v>60.5</v>
      </c>
      <c r="G1452" s="44">
        <v>60.5</v>
      </c>
      <c r="H1452" s="44">
        <v>60.5</v>
      </c>
      <c r="I1452" s="44">
        <v>0</v>
      </c>
      <c r="J1452" s="44">
        <v>0</v>
      </c>
      <c r="K1452" s="44">
        <v>0</v>
      </c>
      <c r="L1452" s="44">
        <v>60.5</v>
      </c>
      <c r="M1452" s="44">
        <v>0</v>
      </c>
    </row>
    <row r="1453" spans="1:13" x14ac:dyDescent="0.25">
      <c r="A1453" s="45" t="s">
        <v>2450</v>
      </c>
      <c r="B1453" s="44" t="s">
        <v>4769</v>
      </c>
      <c r="C1453" s="47">
        <v>44250</v>
      </c>
      <c r="D1453" s="44">
        <v>202112</v>
      </c>
      <c r="E1453" s="44">
        <v>60.6</v>
      </c>
      <c r="F1453" s="44">
        <v>60.6</v>
      </c>
      <c r="G1453" s="44">
        <v>60.6</v>
      </c>
      <c r="H1453" s="44">
        <v>60.6</v>
      </c>
      <c r="I1453" s="44">
        <v>0</v>
      </c>
      <c r="J1453" s="44">
        <v>0</v>
      </c>
      <c r="K1453" s="44">
        <v>0</v>
      </c>
      <c r="L1453" s="44">
        <v>60.6</v>
      </c>
      <c r="M1453" s="44">
        <v>0</v>
      </c>
    </row>
    <row r="1454" spans="1:13" x14ac:dyDescent="0.25">
      <c r="A1454" s="45" t="s">
        <v>1052</v>
      </c>
      <c r="B1454" s="44" t="s">
        <v>4770</v>
      </c>
      <c r="C1454" s="47">
        <v>44250</v>
      </c>
      <c r="D1454" s="44">
        <v>202103</v>
      </c>
      <c r="E1454" s="44">
        <v>119</v>
      </c>
      <c r="F1454" s="44">
        <v>120</v>
      </c>
      <c r="G1454" s="44">
        <v>117.5</v>
      </c>
      <c r="H1454" s="44">
        <v>117.5</v>
      </c>
      <c r="I1454" s="44">
        <v>-2.5</v>
      </c>
      <c r="J1454" s="44">
        <v>-2.08</v>
      </c>
      <c r="K1454" s="44">
        <v>422</v>
      </c>
      <c r="L1454" s="44">
        <v>117.5</v>
      </c>
      <c r="M1454" s="44">
        <v>1989</v>
      </c>
    </row>
    <row r="1455" spans="1:13" x14ac:dyDescent="0.25">
      <c r="A1455" s="45" t="s">
        <v>2451</v>
      </c>
      <c r="B1455" s="44" t="s">
        <v>4771</v>
      </c>
      <c r="C1455" s="47">
        <v>44250</v>
      </c>
      <c r="D1455" s="44">
        <v>202103</v>
      </c>
      <c r="E1455" s="44">
        <v>119</v>
      </c>
      <c r="F1455" s="44">
        <v>120</v>
      </c>
      <c r="G1455" s="44">
        <v>117.5</v>
      </c>
      <c r="H1455" s="44">
        <v>117.5</v>
      </c>
      <c r="I1455" s="44">
        <v>-2.5</v>
      </c>
      <c r="J1455" s="44">
        <v>-2.08</v>
      </c>
      <c r="K1455" s="44">
        <v>422</v>
      </c>
      <c r="L1455" s="44">
        <v>117.5</v>
      </c>
      <c r="M1455" s="44">
        <v>1989</v>
      </c>
    </row>
    <row r="1456" spans="1:13" x14ac:dyDescent="0.25">
      <c r="A1456" s="45" t="s">
        <v>2452</v>
      </c>
      <c r="B1456" s="44" t="s">
        <v>4772</v>
      </c>
      <c r="C1456" s="47">
        <v>44250</v>
      </c>
      <c r="D1456" s="44">
        <v>202104</v>
      </c>
      <c r="E1456" s="44">
        <v>118.5</v>
      </c>
      <c r="F1456" s="44">
        <v>118.5</v>
      </c>
      <c r="G1456" s="44">
        <v>117.5</v>
      </c>
      <c r="H1456" s="44">
        <v>117.5</v>
      </c>
      <c r="I1456" s="44">
        <v>-2.5</v>
      </c>
      <c r="J1456" s="44">
        <v>-2.08</v>
      </c>
      <c r="K1456" s="44">
        <v>187</v>
      </c>
      <c r="L1456" s="44">
        <v>117.5</v>
      </c>
      <c r="M1456" s="44">
        <v>270</v>
      </c>
    </row>
    <row r="1457" spans="1:13" x14ac:dyDescent="0.25">
      <c r="A1457" s="45" t="s">
        <v>2453</v>
      </c>
      <c r="B1457" s="44" t="s">
        <v>4773</v>
      </c>
      <c r="C1457" s="47">
        <v>44250</v>
      </c>
      <c r="D1457" s="44">
        <v>202104</v>
      </c>
      <c r="E1457" s="44">
        <v>118.5</v>
      </c>
      <c r="F1457" s="44">
        <v>118.5</v>
      </c>
      <c r="G1457" s="44">
        <v>117.5</v>
      </c>
      <c r="H1457" s="44">
        <v>117.5</v>
      </c>
      <c r="I1457" s="44">
        <v>-2.5</v>
      </c>
      <c r="J1457" s="44">
        <v>-2.08</v>
      </c>
      <c r="K1457" s="44">
        <v>187</v>
      </c>
      <c r="L1457" s="44">
        <v>117.5</v>
      </c>
      <c r="M1457" s="44">
        <v>270</v>
      </c>
    </row>
    <row r="1458" spans="1:13" x14ac:dyDescent="0.25">
      <c r="A1458" s="45" t="s">
        <v>2454</v>
      </c>
      <c r="C1458" s="47"/>
    </row>
    <row r="1459" spans="1:13" x14ac:dyDescent="0.25">
      <c r="A1459" s="45" t="s">
        <v>2455</v>
      </c>
      <c r="C1459" s="47"/>
    </row>
    <row r="1460" spans="1:13" x14ac:dyDescent="0.25">
      <c r="A1460" s="45" t="s">
        <v>2456</v>
      </c>
      <c r="C1460" s="47"/>
    </row>
    <row r="1461" spans="1:13" x14ac:dyDescent="0.25">
      <c r="A1461" s="45" t="s">
        <v>2457</v>
      </c>
      <c r="C1461" s="47"/>
    </row>
    <row r="1462" spans="1:13" x14ac:dyDescent="0.25">
      <c r="A1462" s="45" t="s">
        <v>2458</v>
      </c>
      <c r="B1462" s="44" t="s">
        <v>4774</v>
      </c>
      <c r="C1462" s="47">
        <v>44250</v>
      </c>
      <c r="D1462" s="44">
        <v>202103</v>
      </c>
      <c r="E1462" s="44">
        <v>119</v>
      </c>
      <c r="F1462" s="44">
        <v>120</v>
      </c>
      <c r="G1462" s="44">
        <v>117.5</v>
      </c>
      <c r="H1462" s="44">
        <v>117.5</v>
      </c>
      <c r="I1462" s="44">
        <v>-2.5</v>
      </c>
      <c r="J1462" s="44">
        <v>-2.08</v>
      </c>
      <c r="K1462" s="44">
        <v>422</v>
      </c>
      <c r="L1462" s="44">
        <v>117.5</v>
      </c>
      <c r="M1462" s="44">
        <v>1989</v>
      </c>
    </row>
    <row r="1463" spans="1:13" x14ac:dyDescent="0.25">
      <c r="A1463" s="45" t="s">
        <v>2459</v>
      </c>
      <c r="B1463" s="44" t="s">
        <v>4775</v>
      </c>
      <c r="C1463" s="47">
        <v>44250</v>
      </c>
      <c r="D1463" s="44" t="s">
        <v>5788</v>
      </c>
      <c r="E1463" s="44">
        <v>0</v>
      </c>
      <c r="F1463" s="44">
        <v>0</v>
      </c>
      <c r="G1463" s="44">
        <v>0</v>
      </c>
      <c r="H1463" s="44">
        <v>0</v>
      </c>
      <c r="K1463" s="44">
        <v>0</v>
      </c>
    </row>
    <row r="1464" spans="1:13" x14ac:dyDescent="0.25">
      <c r="A1464" s="45" t="s">
        <v>2460</v>
      </c>
      <c r="C1464" s="47"/>
    </row>
    <row r="1465" spans="1:13" x14ac:dyDescent="0.25">
      <c r="A1465" s="45" t="s">
        <v>2461</v>
      </c>
      <c r="B1465" s="44" t="s">
        <v>4776</v>
      </c>
      <c r="C1465" s="47">
        <v>44250</v>
      </c>
      <c r="D1465" s="44">
        <v>202106</v>
      </c>
      <c r="E1465" s="44">
        <v>118</v>
      </c>
      <c r="F1465" s="44">
        <v>118</v>
      </c>
      <c r="G1465" s="44">
        <v>117.5</v>
      </c>
      <c r="H1465" s="44">
        <v>117.5</v>
      </c>
      <c r="I1465" s="44">
        <v>-1.5</v>
      </c>
      <c r="J1465" s="44">
        <v>-1.26</v>
      </c>
      <c r="K1465" s="44">
        <v>7</v>
      </c>
      <c r="L1465" s="44">
        <v>117.5</v>
      </c>
      <c r="M1465" s="44">
        <v>47</v>
      </c>
    </row>
    <row r="1466" spans="1:13" x14ac:dyDescent="0.25">
      <c r="A1466" s="45" t="s">
        <v>2462</v>
      </c>
      <c r="B1466" s="44" t="s">
        <v>4777</v>
      </c>
      <c r="C1466" s="47">
        <v>44250</v>
      </c>
      <c r="D1466" s="44">
        <v>202109</v>
      </c>
      <c r="E1466" s="44">
        <v>116.5</v>
      </c>
      <c r="F1466" s="44">
        <v>116.5</v>
      </c>
      <c r="G1466" s="44">
        <v>116.5</v>
      </c>
      <c r="H1466" s="44">
        <v>116.5</v>
      </c>
      <c r="I1466" s="44">
        <v>-2.5</v>
      </c>
      <c r="J1466" s="44">
        <v>-2.1</v>
      </c>
      <c r="K1466" s="44">
        <v>0</v>
      </c>
      <c r="L1466" s="44">
        <v>116.5</v>
      </c>
      <c r="M1466" s="44">
        <v>8</v>
      </c>
    </row>
    <row r="1467" spans="1:13" x14ac:dyDescent="0.25">
      <c r="A1467" s="45" t="s">
        <v>2463</v>
      </c>
      <c r="B1467" s="44" t="s">
        <v>4778</v>
      </c>
      <c r="C1467" s="47">
        <v>44250</v>
      </c>
      <c r="D1467" s="44">
        <v>202112</v>
      </c>
      <c r="E1467" s="44">
        <v>117.5</v>
      </c>
      <c r="F1467" s="44">
        <v>117.5</v>
      </c>
      <c r="G1467" s="44">
        <v>117.5</v>
      </c>
      <c r="H1467" s="44">
        <v>117.5</v>
      </c>
      <c r="I1467" s="44">
        <v>-2.5</v>
      </c>
      <c r="J1467" s="44">
        <v>-2.08</v>
      </c>
      <c r="K1467" s="44">
        <v>0</v>
      </c>
      <c r="L1467" s="44">
        <v>117.5</v>
      </c>
      <c r="M1467" s="44">
        <v>0</v>
      </c>
    </row>
    <row r="1468" spans="1:13" x14ac:dyDescent="0.25">
      <c r="A1468" s="45" t="s">
        <v>1065</v>
      </c>
      <c r="B1468" s="44" t="s">
        <v>4779</v>
      </c>
      <c r="C1468" s="47">
        <v>44250</v>
      </c>
      <c r="D1468" s="44">
        <v>202103</v>
      </c>
      <c r="E1468" s="44">
        <v>170.5</v>
      </c>
      <c r="F1468" s="44">
        <v>177.5</v>
      </c>
      <c r="G1468" s="44">
        <v>170</v>
      </c>
      <c r="H1468" s="44">
        <v>177.5</v>
      </c>
      <c r="I1468" s="44">
        <v>7.5</v>
      </c>
      <c r="J1468" s="44">
        <v>4.41</v>
      </c>
      <c r="K1468" s="44">
        <v>68</v>
      </c>
      <c r="L1468" s="44">
        <v>177.5</v>
      </c>
      <c r="M1468" s="44">
        <v>74</v>
      </c>
    </row>
    <row r="1469" spans="1:13" x14ac:dyDescent="0.25">
      <c r="A1469" s="45" t="s">
        <v>2464</v>
      </c>
      <c r="B1469" s="44" t="s">
        <v>4780</v>
      </c>
      <c r="C1469" s="47">
        <v>44250</v>
      </c>
      <c r="D1469" s="44">
        <v>202103</v>
      </c>
      <c r="E1469" s="44">
        <v>170.5</v>
      </c>
      <c r="F1469" s="44">
        <v>177.5</v>
      </c>
      <c r="G1469" s="44">
        <v>170</v>
      </c>
      <c r="H1469" s="44">
        <v>177.5</v>
      </c>
      <c r="I1469" s="44">
        <v>7.5</v>
      </c>
      <c r="J1469" s="44">
        <v>4.41</v>
      </c>
      <c r="K1469" s="44">
        <v>68</v>
      </c>
      <c r="L1469" s="44">
        <v>177.5</v>
      </c>
      <c r="M1469" s="44">
        <v>74</v>
      </c>
    </row>
    <row r="1470" spans="1:13" x14ac:dyDescent="0.25">
      <c r="A1470" s="45" t="s">
        <v>2465</v>
      </c>
      <c r="B1470" s="44" t="s">
        <v>4781</v>
      </c>
      <c r="C1470" s="47">
        <v>44250</v>
      </c>
      <c r="D1470" s="44">
        <v>202104</v>
      </c>
      <c r="E1470" s="44">
        <v>177</v>
      </c>
      <c r="F1470" s="44">
        <v>177</v>
      </c>
      <c r="G1470" s="44">
        <v>177</v>
      </c>
      <c r="H1470" s="44">
        <v>177</v>
      </c>
      <c r="I1470" s="44">
        <v>7</v>
      </c>
      <c r="J1470" s="44">
        <v>4.12</v>
      </c>
      <c r="K1470" s="44">
        <v>16</v>
      </c>
      <c r="L1470" s="44">
        <v>177</v>
      </c>
      <c r="M1470" s="44">
        <v>28</v>
      </c>
    </row>
    <row r="1471" spans="1:13" x14ac:dyDescent="0.25">
      <c r="A1471" s="45" t="s">
        <v>2466</v>
      </c>
      <c r="B1471" s="44" t="s">
        <v>4782</v>
      </c>
      <c r="C1471" s="47">
        <v>44250</v>
      </c>
      <c r="D1471" s="44">
        <v>202104</v>
      </c>
      <c r="E1471" s="44">
        <v>177</v>
      </c>
      <c r="F1471" s="44">
        <v>177</v>
      </c>
      <c r="G1471" s="44">
        <v>177</v>
      </c>
      <c r="H1471" s="44">
        <v>177</v>
      </c>
      <c r="I1471" s="44">
        <v>7</v>
      </c>
      <c r="J1471" s="44">
        <v>4.12</v>
      </c>
      <c r="K1471" s="44">
        <v>16</v>
      </c>
      <c r="L1471" s="44">
        <v>177</v>
      </c>
      <c r="M1471" s="44">
        <v>28</v>
      </c>
    </row>
    <row r="1472" spans="1:13" x14ac:dyDescent="0.25">
      <c r="A1472" s="45" t="s">
        <v>2467</v>
      </c>
      <c r="C1472" s="47"/>
    </row>
    <row r="1473" spans="1:13" x14ac:dyDescent="0.25">
      <c r="A1473" s="45" t="s">
        <v>2468</v>
      </c>
      <c r="C1473" s="47"/>
    </row>
    <row r="1474" spans="1:13" x14ac:dyDescent="0.25">
      <c r="A1474" s="45" t="s">
        <v>2469</v>
      </c>
      <c r="B1474" s="44" t="s">
        <v>4783</v>
      </c>
      <c r="C1474" s="47">
        <v>44250</v>
      </c>
      <c r="D1474" s="44">
        <v>202103</v>
      </c>
      <c r="E1474" s="44">
        <v>170.5</v>
      </c>
      <c r="F1474" s="44">
        <v>177.5</v>
      </c>
      <c r="G1474" s="44">
        <v>170</v>
      </c>
      <c r="H1474" s="44">
        <v>177.5</v>
      </c>
      <c r="I1474" s="44">
        <v>7.5</v>
      </c>
      <c r="J1474" s="44">
        <v>4.41</v>
      </c>
      <c r="K1474" s="44">
        <v>68</v>
      </c>
      <c r="L1474" s="44">
        <v>177.5</v>
      </c>
      <c r="M1474" s="44">
        <v>74</v>
      </c>
    </row>
    <row r="1475" spans="1:13" x14ac:dyDescent="0.25">
      <c r="A1475" s="45" t="s">
        <v>2470</v>
      </c>
      <c r="B1475" s="44" t="s">
        <v>4784</v>
      </c>
      <c r="C1475" s="47">
        <v>44250</v>
      </c>
      <c r="D1475" s="44">
        <v>202106</v>
      </c>
      <c r="E1475" s="44">
        <v>177</v>
      </c>
      <c r="F1475" s="44">
        <v>177</v>
      </c>
      <c r="G1475" s="44">
        <v>177</v>
      </c>
      <c r="H1475" s="44">
        <v>177</v>
      </c>
      <c r="I1475" s="44">
        <v>7.5</v>
      </c>
      <c r="J1475" s="44">
        <v>4.42</v>
      </c>
      <c r="K1475" s="44">
        <v>0</v>
      </c>
      <c r="L1475" s="44">
        <v>177</v>
      </c>
      <c r="M1475" s="44">
        <v>1</v>
      </c>
    </row>
    <row r="1476" spans="1:13" x14ac:dyDescent="0.25">
      <c r="A1476" s="45" t="s">
        <v>2471</v>
      </c>
      <c r="B1476" s="44" t="s">
        <v>4785</v>
      </c>
      <c r="C1476" s="47">
        <v>44250</v>
      </c>
      <c r="D1476" s="44">
        <v>202109</v>
      </c>
      <c r="E1476" s="44">
        <v>179.5</v>
      </c>
      <c r="F1476" s="44">
        <v>179.5</v>
      </c>
      <c r="G1476" s="44">
        <v>179.5</v>
      </c>
      <c r="H1476" s="44">
        <v>179.5</v>
      </c>
      <c r="I1476" s="44">
        <v>7.5</v>
      </c>
      <c r="J1476" s="44">
        <v>4.3600000000000003</v>
      </c>
      <c r="K1476" s="44">
        <v>0</v>
      </c>
      <c r="L1476" s="44">
        <v>179.5</v>
      </c>
      <c r="M1476" s="44">
        <v>0</v>
      </c>
    </row>
    <row r="1477" spans="1:13" x14ac:dyDescent="0.25">
      <c r="A1477" s="45" t="s">
        <v>2472</v>
      </c>
      <c r="B1477" s="44" t="s">
        <v>4786</v>
      </c>
      <c r="C1477" s="47">
        <v>44250</v>
      </c>
      <c r="D1477" s="44">
        <v>202112</v>
      </c>
      <c r="E1477" s="44">
        <v>178</v>
      </c>
      <c r="F1477" s="44">
        <v>178</v>
      </c>
      <c r="G1477" s="44">
        <v>178</v>
      </c>
      <c r="H1477" s="44">
        <v>178</v>
      </c>
      <c r="I1477" s="44">
        <v>7.5</v>
      </c>
      <c r="J1477" s="44">
        <v>4.4000000000000004</v>
      </c>
      <c r="K1477" s="44">
        <v>0</v>
      </c>
      <c r="L1477" s="44">
        <v>178</v>
      </c>
      <c r="M1477" s="44">
        <v>0</v>
      </c>
    </row>
    <row r="1478" spans="1:13" x14ac:dyDescent="0.25">
      <c r="A1478" s="45" t="s">
        <v>900</v>
      </c>
      <c r="B1478" s="44" t="s">
        <v>4787</v>
      </c>
      <c r="C1478" s="47">
        <v>44250</v>
      </c>
      <c r="D1478" s="44">
        <v>202103</v>
      </c>
      <c r="E1478" s="44">
        <v>426</v>
      </c>
      <c r="F1478" s="44">
        <v>446</v>
      </c>
      <c r="G1478" s="44">
        <v>426</v>
      </c>
      <c r="H1478" s="44">
        <v>441.5</v>
      </c>
      <c r="I1478" s="44">
        <v>16</v>
      </c>
      <c r="J1478" s="44">
        <v>3.76</v>
      </c>
      <c r="K1478" s="44">
        <v>93</v>
      </c>
      <c r="L1478" s="44">
        <v>441.5</v>
      </c>
      <c r="M1478" s="44">
        <v>543</v>
      </c>
    </row>
    <row r="1479" spans="1:13" x14ac:dyDescent="0.25">
      <c r="A1479" s="45" t="s">
        <v>2473</v>
      </c>
      <c r="B1479" s="44" t="s">
        <v>4788</v>
      </c>
      <c r="C1479" s="47">
        <v>44250</v>
      </c>
      <c r="D1479" s="44">
        <v>202103</v>
      </c>
      <c r="E1479" s="44">
        <v>426</v>
      </c>
      <c r="F1479" s="44">
        <v>446</v>
      </c>
      <c r="G1479" s="44">
        <v>426</v>
      </c>
      <c r="H1479" s="44">
        <v>441.5</v>
      </c>
      <c r="I1479" s="44">
        <v>16</v>
      </c>
      <c r="J1479" s="44">
        <v>3.76</v>
      </c>
      <c r="K1479" s="44">
        <v>93</v>
      </c>
      <c r="L1479" s="44">
        <v>441.5</v>
      </c>
      <c r="M1479" s="44">
        <v>543</v>
      </c>
    </row>
    <row r="1480" spans="1:13" x14ac:dyDescent="0.25">
      <c r="A1480" s="45" t="s">
        <v>2474</v>
      </c>
      <c r="B1480" s="44" t="s">
        <v>4789</v>
      </c>
      <c r="C1480" s="47">
        <v>44250</v>
      </c>
      <c r="D1480" s="44">
        <v>202104</v>
      </c>
      <c r="E1480" s="44">
        <v>425</v>
      </c>
      <c r="F1480" s="44">
        <v>425</v>
      </c>
      <c r="G1480" s="44">
        <v>425</v>
      </c>
      <c r="H1480" s="44">
        <v>425</v>
      </c>
      <c r="I1480" s="44">
        <v>0</v>
      </c>
      <c r="J1480" s="44">
        <v>0</v>
      </c>
      <c r="K1480" s="44">
        <v>63</v>
      </c>
      <c r="L1480" s="44">
        <v>441</v>
      </c>
      <c r="M1480" s="44">
        <v>201</v>
      </c>
    </row>
    <row r="1481" spans="1:13" x14ac:dyDescent="0.25">
      <c r="A1481" s="45" t="s">
        <v>2475</v>
      </c>
      <c r="B1481" s="44" t="s">
        <v>4790</v>
      </c>
      <c r="C1481" s="47">
        <v>44250</v>
      </c>
      <c r="D1481" s="44">
        <v>202104</v>
      </c>
      <c r="E1481" s="44">
        <v>425</v>
      </c>
      <c r="F1481" s="44">
        <v>425</v>
      </c>
      <c r="G1481" s="44">
        <v>425</v>
      </c>
      <c r="H1481" s="44">
        <v>425</v>
      </c>
      <c r="I1481" s="44">
        <v>0</v>
      </c>
      <c r="J1481" s="44">
        <v>0</v>
      </c>
      <c r="K1481" s="44">
        <v>63</v>
      </c>
      <c r="L1481" s="44">
        <v>441</v>
      </c>
      <c r="M1481" s="44">
        <v>201</v>
      </c>
    </row>
    <row r="1482" spans="1:13" x14ac:dyDescent="0.25">
      <c r="A1482" s="45" t="s">
        <v>2476</v>
      </c>
      <c r="C1482" s="47"/>
    </row>
    <row r="1483" spans="1:13" x14ac:dyDescent="0.25">
      <c r="A1483" s="45" t="s">
        <v>2477</v>
      </c>
      <c r="C1483" s="47"/>
    </row>
    <row r="1484" spans="1:13" x14ac:dyDescent="0.25">
      <c r="A1484" s="45" t="s">
        <v>2478</v>
      </c>
      <c r="B1484" s="44" t="s">
        <v>4791</v>
      </c>
      <c r="C1484" s="47">
        <v>44250</v>
      </c>
      <c r="D1484" s="44">
        <v>202103</v>
      </c>
      <c r="E1484" s="44">
        <v>426</v>
      </c>
      <c r="F1484" s="44">
        <v>446</v>
      </c>
      <c r="G1484" s="44">
        <v>426</v>
      </c>
      <c r="H1484" s="44">
        <v>441.5</v>
      </c>
      <c r="I1484" s="44">
        <v>16</v>
      </c>
      <c r="J1484" s="44">
        <v>3.76</v>
      </c>
      <c r="K1484" s="44">
        <v>93</v>
      </c>
      <c r="L1484" s="44">
        <v>441.5</v>
      </c>
      <c r="M1484" s="44">
        <v>543</v>
      </c>
    </row>
    <row r="1485" spans="1:13" x14ac:dyDescent="0.25">
      <c r="A1485" s="45" t="s">
        <v>2479</v>
      </c>
      <c r="B1485" s="44" t="s">
        <v>4792</v>
      </c>
      <c r="C1485" s="47">
        <v>44250</v>
      </c>
      <c r="D1485" s="44">
        <v>202106</v>
      </c>
      <c r="E1485" s="44">
        <v>444</v>
      </c>
      <c r="F1485" s="44">
        <v>444</v>
      </c>
      <c r="G1485" s="44">
        <v>444</v>
      </c>
      <c r="H1485" s="44">
        <v>444</v>
      </c>
      <c r="I1485" s="44">
        <v>16</v>
      </c>
      <c r="J1485" s="44">
        <v>3.74</v>
      </c>
      <c r="K1485" s="44">
        <v>0</v>
      </c>
      <c r="L1485" s="44">
        <v>444</v>
      </c>
      <c r="M1485" s="44">
        <v>0</v>
      </c>
    </row>
    <row r="1486" spans="1:13" x14ac:dyDescent="0.25">
      <c r="A1486" s="45" t="s">
        <v>2480</v>
      </c>
      <c r="B1486" s="44" t="s">
        <v>4793</v>
      </c>
      <c r="C1486" s="47">
        <v>44250</v>
      </c>
      <c r="D1486" s="44">
        <v>202109</v>
      </c>
      <c r="E1486" s="44">
        <v>443.5</v>
      </c>
      <c r="F1486" s="44">
        <v>443.5</v>
      </c>
      <c r="G1486" s="44">
        <v>443.5</v>
      </c>
      <c r="H1486" s="44">
        <v>443.5</v>
      </c>
      <c r="I1486" s="44">
        <v>16</v>
      </c>
      <c r="J1486" s="44">
        <v>3.74</v>
      </c>
      <c r="K1486" s="44">
        <v>0</v>
      </c>
      <c r="L1486" s="44">
        <v>443.5</v>
      </c>
      <c r="M1486" s="44">
        <v>0</v>
      </c>
    </row>
    <row r="1487" spans="1:13" x14ac:dyDescent="0.25">
      <c r="A1487" s="45" t="s">
        <v>2481</v>
      </c>
      <c r="B1487" s="44" t="s">
        <v>4794</v>
      </c>
      <c r="C1487" s="47">
        <v>44250</v>
      </c>
      <c r="D1487" s="44">
        <v>202112</v>
      </c>
      <c r="E1487" s="44">
        <v>443</v>
      </c>
      <c r="F1487" s="44">
        <v>443</v>
      </c>
      <c r="G1487" s="44">
        <v>443</v>
      </c>
      <c r="H1487" s="44">
        <v>443</v>
      </c>
      <c r="I1487" s="44">
        <v>16</v>
      </c>
      <c r="J1487" s="44">
        <v>3.75</v>
      </c>
      <c r="K1487" s="44">
        <v>0</v>
      </c>
      <c r="L1487" s="44">
        <v>443</v>
      </c>
      <c r="M1487" s="44">
        <v>0</v>
      </c>
    </row>
    <row r="1488" spans="1:13" x14ac:dyDescent="0.25">
      <c r="A1488" s="45" t="s">
        <v>929</v>
      </c>
      <c r="B1488" s="44" t="s">
        <v>4795</v>
      </c>
      <c r="C1488" s="47">
        <v>44250</v>
      </c>
      <c r="D1488" s="44">
        <v>202103</v>
      </c>
      <c r="E1488" s="44">
        <v>622</v>
      </c>
      <c r="F1488" s="44">
        <v>640</v>
      </c>
      <c r="G1488" s="44">
        <v>617</v>
      </c>
      <c r="H1488" s="44">
        <v>640</v>
      </c>
      <c r="I1488" s="44">
        <v>19</v>
      </c>
      <c r="J1488" s="44">
        <v>3.06</v>
      </c>
      <c r="K1488" s="44">
        <v>1962</v>
      </c>
      <c r="L1488" s="44">
        <v>640</v>
      </c>
      <c r="M1488" s="44">
        <v>1872</v>
      </c>
    </row>
    <row r="1489" spans="1:13" x14ac:dyDescent="0.25">
      <c r="A1489" s="45" t="s">
        <v>2482</v>
      </c>
      <c r="B1489" s="44" t="s">
        <v>4796</v>
      </c>
      <c r="C1489" s="47">
        <v>44250</v>
      </c>
      <c r="D1489" s="44">
        <v>202103</v>
      </c>
      <c r="E1489" s="44">
        <v>622</v>
      </c>
      <c r="F1489" s="44">
        <v>640</v>
      </c>
      <c r="G1489" s="44">
        <v>617</v>
      </c>
      <c r="H1489" s="44">
        <v>640</v>
      </c>
      <c r="I1489" s="44">
        <v>19</v>
      </c>
      <c r="J1489" s="44">
        <v>3.06</v>
      </c>
      <c r="K1489" s="44">
        <v>1962</v>
      </c>
      <c r="L1489" s="44">
        <v>640</v>
      </c>
      <c r="M1489" s="44">
        <v>1872</v>
      </c>
    </row>
    <row r="1490" spans="1:13" x14ac:dyDescent="0.25">
      <c r="A1490" s="45" t="s">
        <v>2483</v>
      </c>
      <c r="B1490" s="44" t="s">
        <v>4797</v>
      </c>
      <c r="C1490" s="47">
        <v>44250</v>
      </c>
      <c r="D1490" s="44">
        <v>202104</v>
      </c>
      <c r="E1490" s="44">
        <v>623</v>
      </c>
      <c r="F1490" s="44">
        <v>637</v>
      </c>
      <c r="G1490" s="44">
        <v>619</v>
      </c>
      <c r="H1490" s="44">
        <v>637</v>
      </c>
      <c r="I1490" s="44">
        <v>16</v>
      </c>
      <c r="J1490" s="44">
        <v>2.58</v>
      </c>
      <c r="K1490" s="44">
        <v>26</v>
      </c>
      <c r="L1490" s="44">
        <v>642</v>
      </c>
      <c r="M1490" s="44">
        <v>20</v>
      </c>
    </row>
    <row r="1491" spans="1:13" x14ac:dyDescent="0.25">
      <c r="A1491" s="45" t="s">
        <v>2484</v>
      </c>
      <c r="B1491" s="44" t="s">
        <v>4798</v>
      </c>
      <c r="C1491" s="47">
        <v>44250</v>
      </c>
      <c r="D1491" s="44">
        <v>202104</v>
      </c>
      <c r="E1491" s="44">
        <v>623</v>
      </c>
      <c r="F1491" s="44">
        <v>637</v>
      </c>
      <c r="G1491" s="44">
        <v>619</v>
      </c>
      <c r="H1491" s="44">
        <v>637</v>
      </c>
      <c r="I1491" s="44">
        <v>16</v>
      </c>
      <c r="J1491" s="44">
        <v>2.58</v>
      </c>
      <c r="K1491" s="44">
        <v>26</v>
      </c>
      <c r="L1491" s="44">
        <v>642</v>
      </c>
      <c r="M1491" s="44">
        <v>20</v>
      </c>
    </row>
    <row r="1492" spans="1:13" x14ac:dyDescent="0.25">
      <c r="A1492" s="45" t="s">
        <v>2485</v>
      </c>
      <c r="C1492" s="47"/>
    </row>
    <row r="1493" spans="1:13" x14ac:dyDescent="0.25">
      <c r="A1493" s="45" t="s">
        <v>2486</v>
      </c>
      <c r="C1493" s="47"/>
    </row>
    <row r="1494" spans="1:13" x14ac:dyDescent="0.25">
      <c r="A1494" s="45" t="s">
        <v>2487</v>
      </c>
      <c r="B1494" s="44" t="s">
        <v>4799</v>
      </c>
      <c r="C1494" s="47">
        <v>44250</v>
      </c>
      <c r="D1494" s="44">
        <v>202103</v>
      </c>
      <c r="E1494" s="44">
        <v>622</v>
      </c>
      <c r="F1494" s="44">
        <v>640</v>
      </c>
      <c r="G1494" s="44">
        <v>617</v>
      </c>
      <c r="H1494" s="44">
        <v>640</v>
      </c>
      <c r="I1494" s="44">
        <v>19</v>
      </c>
      <c r="J1494" s="44">
        <v>3.06</v>
      </c>
      <c r="K1494" s="44">
        <v>1962</v>
      </c>
      <c r="L1494" s="44">
        <v>640</v>
      </c>
      <c r="M1494" s="44">
        <v>1872</v>
      </c>
    </row>
    <row r="1495" spans="1:13" x14ac:dyDescent="0.25">
      <c r="A1495" s="45" t="s">
        <v>2488</v>
      </c>
      <c r="B1495" s="44" t="s">
        <v>4800</v>
      </c>
      <c r="C1495" s="47">
        <v>44250</v>
      </c>
      <c r="D1495" s="44">
        <v>202106</v>
      </c>
      <c r="E1495" s="44">
        <v>636</v>
      </c>
      <c r="F1495" s="44">
        <v>636</v>
      </c>
      <c r="G1495" s="44">
        <v>636</v>
      </c>
      <c r="H1495" s="44">
        <v>636</v>
      </c>
      <c r="I1495" s="44">
        <v>19</v>
      </c>
      <c r="J1495" s="44">
        <v>3.08</v>
      </c>
      <c r="K1495" s="44">
        <v>0</v>
      </c>
      <c r="L1495" s="44">
        <v>636</v>
      </c>
      <c r="M1495" s="44">
        <v>1</v>
      </c>
    </row>
    <row r="1496" spans="1:13" x14ac:dyDescent="0.25">
      <c r="A1496" s="45" t="s">
        <v>2489</v>
      </c>
      <c r="B1496" s="44" t="s">
        <v>4801</v>
      </c>
      <c r="C1496" s="47">
        <v>44250</v>
      </c>
      <c r="D1496" s="44">
        <v>202109</v>
      </c>
      <c r="E1496" s="44">
        <v>637</v>
      </c>
      <c r="F1496" s="44">
        <v>637</v>
      </c>
      <c r="G1496" s="44">
        <v>637</v>
      </c>
      <c r="H1496" s="44">
        <v>637</v>
      </c>
      <c r="I1496" s="44">
        <v>20</v>
      </c>
      <c r="J1496" s="44">
        <v>3.24</v>
      </c>
      <c r="K1496" s="44">
        <v>0</v>
      </c>
      <c r="L1496" s="44">
        <v>637</v>
      </c>
      <c r="M1496" s="44">
        <v>0</v>
      </c>
    </row>
    <row r="1497" spans="1:13" x14ac:dyDescent="0.25">
      <c r="A1497" s="45" t="s">
        <v>2490</v>
      </c>
      <c r="B1497" s="44" t="s">
        <v>4802</v>
      </c>
      <c r="C1497" s="47">
        <v>44250</v>
      </c>
      <c r="D1497" s="44">
        <v>202112</v>
      </c>
      <c r="E1497" s="44">
        <v>638</v>
      </c>
      <c r="F1497" s="44">
        <v>638</v>
      </c>
      <c r="G1497" s="44">
        <v>638</v>
      </c>
      <c r="H1497" s="44">
        <v>638</v>
      </c>
      <c r="I1497" s="44">
        <v>19</v>
      </c>
      <c r="J1497" s="44">
        <v>3.07</v>
      </c>
      <c r="K1497" s="44">
        <v>0</v>
      </c>
      <c r="L1497" s="44">
        <v>638</v>
      </c>
      <c r="M1497" s="44">
        <v>0</v>
      </c>
    </row>
    <row r="1498" spans="1:13" x14ac:dyDescent="0.25">
      <c r="A1498" s="45" t="s">
        <v>1097</v>
      </c>
      <c r="B1498" s="44" t="s">
        <v>4803</v>
      </c>
      <c r="C1498" s="47">
        <v>44250</v>
      </c>
      <c r="D1498" s="44">
        <v>202103</v>
      </c>
      <c r="E1498" s="44">
        <v>292</v>
      </c>
      <c r="F1498" s="44">
        <v>293.5</v>
      </c>
      <c r="G1498" s="44">
        <v>283.5</v>
      </c>
      <c r="H1498" s="44">
        <v>288</v>
      </c>
      <c r="I1498" s="44">
        <v>-8.5</v>
      </c>
      <c r="J1498" s="44">
        <v>-2.87</v>
      </c>
      <c r="K1498" s="44">
        <v>712</v>
      </c>
      <c r="L1498" s="44">
        <v>288</v>
      </c>
      <c r="M1498" s="44">
        <v>754</v>
      </c>
    </row>
    <row r="1499" spans="1:13" x14ac:dyDescent="0.25">
      <c r="A1499" s="45" t="s">
        <v>2491</v>
      </c>
      <c r="B1499" s="44" t="s">
        <v>4804</v>
      </c>
      <c r="C1499" s="47">
        <v>44250</v>
      </c>
      <c r="D1499" s="44">
        <v>202103</v>
      </c>
      <c r="E1499" s="44">
        <v>292</v>
      </c>
      <c r="F1499" s="44">
        <v>293.5</v>
      </c>
      <c r="G1499" s="44">
        <v>283.5</v>
      </c>
      <c r="H1499" s="44">
        <v>288</v>
      </c>
      <c r="I1499" s="44">
        <v>-8.5</v>
      </c>
      <c r="J1499" s="44">
        <v>-2.87</v>
      </c>
      <c r="K1499" s="44">
        <v>712</v>
      </c>
      <c r="L1499" s="44">
        <v>288</v>
      </c>
      <c r="M1499" s="44">
        <v>754</v>
      </c>
    </row>
    <row r="1500" spans="1:13" x14ac:dyDescent="0.25">
      <c r="A1500" s="45" t="s">
        <v>2492</v>
      </c>
      <c r="B1500" s="44" t="s">
        <v>4805</v>
      </c>
      <c r="C1500" s="47">
        <v>44250</v>
      </c>
      <c r="D1500" s="44">
        <v>202104</v>
      </c>
      <c r="E1500" s="44">
        <v>289</v>
      </c>
      <c r="F1500" s="44">
        <v>292</v>
      </c>
      <c r="G1500" s="44">
        <v>285</v>
      </c>
      <c r="H1500" s="44">
        <v>285</v>
      </c>
      <c r="I1500" s="44">
        <v>-10.5</v>
      </c>
      <c r="J1500" s="44">
        <v>-3.55</v>
      </c>
      <c r="K1500" s="44">
        <v>14</v>
      </c>
      <c r="L1500" s="44">
        <v>286.5</v>
      </c>
      <c r="M1500" s="44">
        <v>20</v>
      </c>
    </row>
    <row r="1501" spans="1:13" x14ac:dyDescent="0.25">
      <c r="A1501" s="45" t="s">
        <v>2493</v>
      </c>
      <c r="B1501" s="44" t="s">
        <v>4806</v>
      </c>
      <c r="C1501" s="47">
        <v>44250</v>
      </c>
      <c r="D1501" s="44">
        <v>202104</v>
      </c>
      <c r="E1501" s="44">
        <v>289</v>
      </c>
      <c r="F1501" s="44">
        <v>292</v>
      </c>
      <c r="G1501" s="44">
        <v>285</v>
      </c>
      <c r="H1501" s="44">
        <v>285</v>
      </c>
      <c r="I1501" s="44">
        <v>-10.5</v>
      </c>
      <c r="J1501" s="44">
        <v>-3.55</v>
      </c>
      <c r="K1501" s="44">
        <v>14</v>
      </c>
      <c r="L1501" s="44">
        <v>286.5</v>
      </c>
      <c r="M1501" s="44">
        <v>20</v>
      </c>
    </row>
    <row r="1502" spans="1:13" x14ac:dyDescent="0.25">
      <c r="A1502" s="45" t="s">
        <v>2494</v>
      </c>
      <c r="C1502" s="47"/>
    </row>
    <row r="1503" spans="1:13" x14ac:dyDescent="0.25">
      <c r="A1503" s="45" t="s">
        <v>2495</v>
      </c>
      <c r="C1503" s="47"/>
    </row>
    <row r="1504" spans="1:13" x14ac:dyDescent="0.25">
      <c r="A1504" s="45" t="s">
        <v>2496</v>
      </c>
      <c r="C1504" s="47"/>
    </row>
    <row r="1505" spans="1:13" x14ac:dyDescent="0.25">
      <c r="A1505" s="45" t="s">
        <v>2497</v>
      </c>
      <c r="B1505" s="44" t="s">
        <v>4807</v>
      </c>
      <c r="C1505" s="47">
        <v>44250</v>
      </c>
      <c r="D1505" s="44">
        <v>202103</v>
      </c>
      <c r="E1505" s="44">
        <v>292</v>
      </c>
      <c r="F1505" s="44">
        <v>293.5</v>
      </c>
      <c r="G1505" s="44">
        <v>283.5</v>
      </c>
      <c r="H1505" s="44">
        <v>288</v>
      </c>
      <c r="I1505" s="44">
        <v>-8.5</v>
      </c>
      <c r="J1505" s="44">
        <v>-2.87</v>
      </c>
      <c r="K1505" s="44">
        <v>712</v>
      </c>
      <c r="L1505" s="44">
        <v>288</v>
      </c>
      <c r="M1505" s="44">
        <v>754</v>
      </c>
    </row>
    <row r="1506" spans="1:13" x14ac:dyDescent="0.25">
      <c r="A1506" s="45" t="s">
        <v>2498</v>
      </c>
      <c r="C1506" s="47"/>
    </row>
    <row r="1507" spans="1:13" x14ac:dyDescent="0.25">
      <c r="A1507" s="45" t="s">
        <v>2499</v>
      </c>
      <c r="B1507" s="44" t="s">
        <v>4808</v>
      </c>
      <c r="C1507" s="47">
        <v>44250</v>
      </c>
      <c r="D1507" s="44">
        <v>202106</v>
      </c>
      <c r="E1507" s="44">
        <v>286.5</v>
      </c>
      <c r="F1507" s="44">
        <v>286.5</v>
      </c>
      <c r="G1507" s="44">
        <v>286.5</v>
      </c>
      <c r="H1507" s="44">
        <v>286.5</v>
      </c>
      <c r="I1507" s="44">
        <v>-8.5</v>
      </c>
      <c r="J1507" s="44">
        <v>-2.88</v>
      </c>
      <c r="K1507" s="44">
        <v>0</v>
      </c>
      <c r="L1507" s="44">
        <v>286.5</v>
      </c>
      <c r="M1507" s="44">
        <v>0</v>
      </c>
    </row>
    <row r="1508" spans="1:13" x14ac:dyDescent="0.25">
      <c r="A1508" s="45" t="s">
        <v>2500</v>
      </c>
      <c r="B1508" s="44" t="s">
        <v>4809</v>
      </c>
      <c r="C1508" s="47">
        <v>44250</v>
      </c>
      <c r="D1508" s="44">
        <v>202109</v>
      </c>
      <c r="E1508" s="44">
        <v>286.5</v>
      </c>
      <c r="F1508" s="44">
        <v>286.5</v>
      </c>
      <c r="G1508" s="44">
        <v>286.5</v>
      </c>
      <c r="H1508" s="44">
        <v>286.5</v>
      </c>
      <c r="I1508" s="44">
        <v>-8.5</v>
      </c>
      <c r="J1508" s="44">
        <v>-2.88</v>
      </c>
      <c r="K1508" s="44">
        <v>0</v>
      </c>
      <c r="L1508" s="44">
        <v>286.5</v>
      </c>
      <c r="M1508" s="44">
        <v>0</v>
      </c>
    </row>
    <row r="1509" spans="1:13" x14ac:dyDescent="0.25">
      <c r="A1509" s="45" t="s">
        <v>2501</v>
      </c>
      <c r="B1509" s="44" t="s">
        <v>4810</v>
      </c>
      <c r="C1509" s="47">
        <v>44250</v>
      </c>
      <c r="D1509" s="44">
        <v>202112</v>
      </c>
      <c r="E1509" s="44">
        <v>286</v>
      </c>
      <c r="F1509" s="44">
        <v>286</v>
      </c>
      <c r="G1509" s="44">
        <v>286</v>
      </c>
      <c r="H1509" s="44">
        <v>286</v>
      </c>
      <c r="I1509" s="44">
        <v>-8.5</v>
      </c>
      <c r="J1509" s="44">
        <v>-2.89</v>
      </c>
      <c r="K1509" s="44">
        <v>0</v>
      </c>
      <c r="L1509" s="44">
        <v>286</v>
      </c>
      <c r="M1509" s="44">
        <v>0</v>
      </c>
    </row>
    <row r="1510" spans="1:13" x14ac:dyDescent="0.25">
      <c r="A1510" s="45" t="s">
        <v>909</v>
      </c>
      <c r="B1510" s="44" t="s">
        <v>4811</v>
      </c>
      <c r="C1510" s="47">
        <v>44250</v>
      </c>
      <c r="D1510" s="44">
        <v>202103</v>
      </c>
      <c r="E1510" s="44">
        <v>180</v>
      </c>
      <c r="F1510" s="44">
        <v>180</v>
      </c>
      <c r="G1510" s="44">
        <v>180</v>
      </c>
      <c r="H1510" s="44">
        <v>180</v>
      </c>
      <c r="I1510" s="44">
        <v>1.5</v>
      </c>
      <c r="J1510" s="44">
        <v>0.84</v>
      </c>
      <c r="K1510" s="44">
        <v>0</v>
      </c>
      <c r="L1510" s="44">
        <v>180</v>
      </c>
      <c r="M1510" s="44">
        <v>44</v>
      </c>
    </row>
    <row r="1511" spans="1:13" x14ac:dyDescent="0.25">
      <c r="A1511" s="45" t="s">
        <v>2502</v>
      </c>
      <c r="B1511" s="44" t="s">
        <v>4812</v>
      </c>
      <c r="C1511" s="47">
        <v>44250</v>
      </c>
      <c r="D1511" s="44">
        <v>202103</v>
      </c>
      <c r="E1511" s="44">
        <v>180</v>
      </c>
      <c r="F1511" s="44">
        <v>180</v>
      </c>
      <c r="G1511" s="44">
        <v>180</v>
      </c>
      <c r="H1511" s="44">
        <v>180</v>
      </c>
      <c r="I1511" s="44">
        <v>1.5</v>
      </c>
      <c r="J1511" s="44">
        <v>0.84</v>
      </c>
      <c r="K1511" s="44">
        <v>0</v>
      </c>
      <c r="L1511" s="44">
        <v>180</v>
      </c>
      <c r="M1511" s="44">
        <v>44</v>
      </c>
    </row>
    <row r="1512" spans="1:13" x14ac:dyDescent="0.25">
      <c r="A1512" s="45" t="s">
        <v>2503</v>
      </c>
      <c r="B1512" s="44" t="s">
        <v>4813</v>
      </c>
      <c r="C1512" s="47">
        <v>44250</v>
      </c>
      <c r="D1512" s="44">
        <v>202104</v>
      </c>
      <c r="E1512" s="44">
        <v>179.5</v>
      </c>
      <c r="F1512" s="44">
        <v>179.5</v>
      </c>
      <c r="G1512" s="44">
        <v>179.5</v>
      </c>
      <c r="H1512" s="44">
        <v>179.5</v>
      </c>
      <c r="I1512" s="44">
        <v>1.5</v>
      </c>
      <c r="J1512" s="44">
        <v>0.84</v>
      </c>
      <c r="K1512" s="44">
        <v>0</v>
      </c>
      <c r="L1512" s="44">
        <v>179.5</v>
      </c>
      <c r="M1512" s="44">
        <v>0</v>
      </c>
    </row>
    <row r="1513" spans="1:13" x14ac:dyDescent="0.25">
      <c r="A1513" s="45" t="s">
        <v>2504</v>
      </c>
      <c r="B1513" s="44" t="s">
        <v>4814</v>
      </c>
      <c r="C1513" s="47">
        <v>44250</v>
      </c>
      <c r="D1513" s="44">
        <v>202104</v>
      </c>
      <c r="E1513" s="44">
        <v>179.5</v>
      </c>
      <c r="F1513" s="44">
        <v>179.5</v>
      </c>
      <c r="G1513" s="44">
        <v>179.5</v>
      </c>
      <c r="H1513" s="44">
        <v>179.5</v>
      </c>
      <c r="I1513" s="44">
        <v>1.5</v>
      </c>
      <c r="J1513" s="44">
        <v>0.84</v>
      </c>
      <c r="K1513" s="44">
        <v>0</v>
      </c>
      <c r="L1513" s="44">
        <v>179.5</v>
      </c>
      <c r="M1513" s="44">
        <v>0</v>
      </c>
    </row>
    <row r="1514" spans="1:13" x14ac:dyDescent="0.25">
      <c r="A1514" s="45" t="s">
        <v>2505</v>
      </c>
      <c r="C1514" s="47"/>
    </row>
    <row r="1515" spans="1:13" x14ac:dyDescent="0.25">
      <c r="A1515" s="45" t="s">
        <v>2506</v>
      </c>
      <c r="C1515" s="47"/>
    </row>
    <row r="1516" spans="1:13" x14ac:dyDescent="0.25">
      <c r="A1516" s="45" t="s">
        <v>2507</v>
      </c>
      <c r="B1516" s="44" t="s">
        <v>4815</v>
      </c>
      <c r="C1516" s="47">
        <v>44250</v>
      </c>
      <c r="D1516" s="44">
        <v>202103</v>
      </c>
      <c r="E1516" s="44">
        <v>180</v>
      </c>
      <c r="F1516" s="44">
        <v>180</v>
      </c>
      <c r="G1516" s="44">
        <v>180</v>
      </c>
      <c r="H1516" s="44">
        <v>180</v>
      </c>
      <c r="I1516" s="44">
        <v>1.5</v>
      </c>
      <c r="J1516" s="44">
        <v>0.84</v>
      </c>
      <c r="K1516" s="44">
        <v>0</v>
      </c>
      <c r="L1516" s="44">
        <v>180</v>
      </c>
      <c r="M1516" s="44">
        <v>44</v>
      </c>
    </row>
    <row r="1517" spans="1:13" x14ac:dyDescent="0.25">
      <c r="A1517" s="45" t="s">
        <v>2508</v>
      </c>
      <c r="B1517" s="44" t="s">
        <v>4816</v>
      </c>
      <c r="C1517" s="47">
        <v>44250</v>
      </c>
      <c r="D1517" s="44">
        <v>202106</v>
      </c>
      <c r="E1517" s="44">
        <v>179.5</v>
      </c>
      <c r="F1517" s="44">
        <v>179.5</v>
      </c>
      <c r="G1517" s="44">
        <v>179.5</v>
      </c>
      <c r="H1517" s="44">
        <v>179.5</v>
      </c>
      <c r="I1517" s="44">
        <v>1.5</v>
      </c>
      <c r="J1517" s="44">
        <v>0.84</v>
      </c>
      <c r="K1517" s="44">
        <v>0</v>
      </c>
      <c r="L1517" s="44">
        <v>179.5</v>
      </c>
      <c r="M1517" s="44">
        <v>2</v>
      </c>
    </row>
    <row r="1518" spans="1:13" x14ac:dyDescent="0.25">
      <c r="A1518" s="45" t="s">
        <v>2509</v>
      </c>
      <c r="B1518" s="44" t="s">
        <v>4817</v>
      </c>
      <c r="C1518" s="47">
        <v>44250</v>
      </c>
      <c r="D1518" s="44">
        <v>202109</v>
      </c>
      <c r="E1518" s="44">
        <v>179</v>
      </c>
      <c r="F1518" s="44">
        <v>179</v>
      </c>
      <c r="G1518" s="44">
        <v>179</v>
      </c>
      <c r="H1518" s="44">
        <v>179</v>
      </c>
      <c r="I1518" s="44">
        <v>1.5</v>
      </c>
      <c r="J1518" s="44">
        <v>0.85</v>
      </c>
      <c r="K1518" s="44">
        <v>0</v>
      </c>
      <c r="L1518" s="44">
        <v>179</v>
      </c>
      <c r="M1518" s="44">
        <v>0</v>
      </c>
    </row>
    <row r="1519" spans="1:13" x14ac:dyDescent="0.25">
      <c r="A1519" s="45" t="s">
        <v>2510</v>
      </c>
      <c r="B1519" s="44" t="s">
        <v>4818</v>
      </c>
      <c r="C1519" s="47">
        <v>44250</v>
      </c>
      <c r="D1519" s="44">
        <v>202112</v>
      </c>
      <c r="E1519" s="44">
        <v>180</v>
      </c>
      <c r="F1519" s="44">
        <v>180</v>
      </c>
      <c r="G1519" s="44">
        <v>180</v>
      </c>
      <c r="H1519" s="44">
        <v>180</v>
      </c>
      <c r="I1519" s="44">
        <v>1.5</v>
      </c>
      <c r="J1519" s="44">
        <v>0.84</v>
      </c>
      <c r="K1519" s="44">
        <v>0</v>
      </c>
      <c r="L1519" s="44">
        <v>180</v>
      </c>
      <c r="M1519" s="44">
        <v>0</v>
      </c>
    </row>
    <row r="1520" spans="1:13" x14ac:dyDescent="0.25">
      <c r="A1520" s="45" t="s">
        <v>944</v>
      </c>
      <c r="B1520" s="44" t="s">
        <v>4819</v>
      </c>
      <c r="C1520" s="47">
        <v>44250</v>
      </c>
      <c r="D1520" s="44">
        <v>202103</v>
      </c>
      <c r="E1520" s="44">
        <v>35.450000000000003</v>
      </c>
      <c r="F1520" s="44">
        <v>35.450000000000003</v>
      </c>
      <c r="G1520" s="44">
        <v>34.65</v>
      </c>
      <c r="H1520" s="44">
        <v>34.9</v>
      </c>
      <c r="I1520" s="44">
        <v>-0.6</v>
      </c>
      <c r="J1520" s="44">
        <v>-1.69</v>
      </c>
      <c r="K1520" s="44">
        <v>26</v>
      </c>
      <c r="L1520" s="44">
        <v>34.9</v>
      </c>
      <c r="M1520" s="44">
        <v>329</v>
      </c>
    </row>
    <row r="1521" spans="1:13" x14ac:dyDescent="0.25">
      <c r="A1521" s="45" t="s">
        <v>2511</v>
      </c>
      <c r="B1521" s="44" t="s">
        <v>4820</v>
      </c>
      <c r="C1521" s="47">
        <v>44250</v>
      </c>
      <c r="D1521" s="44">
        <v>202103</v>
      </c>
      <c r="E1521" s="44">
        <v>35.450000000000003</v>
      </c>
      <c r="F1521" s="44">
        <v>35.450000000000003</v>
      </c>
      <c r="G1521" s="44">
        <v>34.65</v>
      </c>
      <c r="H1521" s="44">
        <v>34.9</v>
      </c>
      <c r="I1521" s="44">
        <v>-0.6</v>
      </c>
      <c r="J1521" s="44">
        <v>-1.69</v>
      </c>
      <c r="K1521" s="44">
        <v>26</v>
      </c>
      <c r="L1521" s="44">
        <v>34.9</v>
      </c>
      <c r="M1521" s="44">
        <v>329</v>
      </c>
    </row>
    <row r="1522" spans="1:13" x14ac:dyDescent="0.25">
      <c r="A1522" s="45" t="s">
        <v>2512</v>
      </c>
      <c r="B1522" s="44" t="s">
        <v>4821</v>
      </c>
      <c r="C1522" s="47">
        <v>44250</v>
      </c>
      <c r="D1522" s="44">
        <v>202104</v>
      </c>
      <c r="E1522" s="44">
        <v>34.75</v>
      </c>
      <c r="F1522" s="44">
        <v>34.75</v>
      </c>
      <c r="G1522" s="44">
        <v>34.75</v>
      </c>
      <c r="H1522" s="44">
        <v>34.75</v>
      </c>
      <c r="I1522" s="44">
        <v>-0.55000000000000004</v>
      </c>
      <c r="J1522" s="44">
        <v>-1.56</v>
      </c>
      <c r="K1522" s="44">
        <v>1</v>
      </c>
      <c r="L1522" s="44">
        <v>34.75</v>
      </c>
      <c r="M1522" s="44">
        <v>205</v>
      </c>
    </row>
    <row r="1523" spans="1:13" x14ac:dyDescent="0.25">
      <c r="A1523" s="45" t="s">
        <v>2513</v>
      </c>
      <c r="B1523" s="44" t="s">
        <v>4822</v>
      </c>
      <c r="C1523" s="47">
        <v>44250</v>
      </c>
      <c r="D1523" s="44">
        <v>202104</v>
      </c>
      <c r="E1523" s="44">
        <v>34.75</v>
      </c>
      <c r="F1523" s="44">
        <v>34.75</v>
      </c>
      <c r="G1523" s="44">
        <v>34.75</v>
      </c>
      <c r="H1523" s="44">
        <v>34.75</v>
      </c>
      <c r="I1523" s="44">
        <v>-0.55000000000000004</v>
      </c>
      <c r="J1523" s="44">
        <v>-1.56</v>
      </c>
      <c r="K1523" s="44">
        <v>1</v>
      </c>
      <c r="L1523" s="44">
        <v>34.75</v>
      </c>
      <c r="M1523" s="44">
        <v>205</v>
      </c>
    </row>
    <row r="1524" spans="1:13" x14ac:dyDescent="0.25">
      <c r="A1524" s="45" t="s">
        <v>2514</v>
      </c>
      <c r="C1524" s="47"/>
    </row>
    <row r="1525" spans="1:13" x14ac:dyDescent="0.25">
      <c r="A1525" s="45" t="s">
        <v>2515</v>
      </c>
      <c r="C1525" s="47"/>
    </row>
    <row r="1526" spans="1:13" x14ac:dyDescent="0.25">
      <c r="A1526" s="45" t="s">
        <v>2516</v>
      </c>
      <c r="B1526" s="44" t="s">
        <v>4823</v>
      </c>
      <c r="C1526" s="47">
        <v>44250</v>
      </c>
      <c r="D1526" s="44">
        <v>202103</v>
      </c>
      <c r="E1526" s="44">
        <v>35.450000000000003</v>
      </c>
      <c r="F1526" s="44">
        <v>35.450000000000003</v>
      </c>
      <c r="G1526" s="44">
        <v>34.65</v>
      </c>
      <c r="H1526" s="44">
        <v>34.9</v>
      </c>
      <c r="I1526" s="44">
        <v>-0.6</v>
      </c>
      <c r="J1526" s="44">
        <v>-1.69</v>
      </c>
      <c r="K1526" s="44">
        <v>26</v>
      </c>
      <c r="L1526" s="44">
        <v>34.9</v>
      </c>
      <c r="M1526" s="44">
        <v>329</v>
      </c>
    </row>
    <row r="1527" spans="1:13" x14ac:dyDescent="0.25">
      <c r="A1527" s="45" t="s">
        <v>2517</v>
      </c>
      <c r="B1527" s="44" t="s">
        <v>4824</v>
      </c>
      <c r="C1527" s="47">
        <v>44250</v>
      </c>
      <c r="D1527" s="44">
        <v>202106</v>
      </c>
      <c r="E1527" s="44">
        <v>34.25</v>
      </c>
      <c r="F1527" s="44">
        <v>34.25</v>
      </c>
      <c r="G1527" s="44">
        <v>34.25</v>
      </c>
      <c r="H1527" s="44">
        <v>34.25</v>
      </c>
      <c r="I1527" s="44">
        <v>-0.6</v>
      </c>
      <c r="J1527" s="44">
        <v>-1.72</v>
      </c>
      <c r="K1527" s="44">
        <v>0</v>
      </c>
      <c r="L1527" s="44">
        <v>34.25</v>
      </c>
      <c r="M1527" s="44">
        <v>20</v>
      </c>
    </row>
    <row r="1528" spans="1:13" x14ac:dyDescent="0.25">
      <c r="A1528" s="45" t="s">
        <v>2518</v>
      </c>
      <c r="B1528" s="44" t="s">
        <v>4825</v>
      </c>
      <c r="C1528" s="47">
        <v>44250</v>
      </c>
      <c r="D1528" s="44">
        <v>202109</v>
      </c>
      <c r="E1528" s="44">
        <v>34.5</v>
      </c>
      <c r="F1528" s="44">
        <v>34.5</v>
      </c>
      <c r="G1528" s="44">
        <v>34.5</v>
      </c>
      <c r="H1528" s="44">
        <v>34.5</v>
      </c>
      <c r="I1528" s="44">
        <v>-0.6</v>
      </c>
      <c r="J1528" s="44">
        <v>-1.71</v>
      </c>
      <c r="K1528" s="44">
        <v>0</v>
      </c>
      <c r="L1528" s="44">
        <v>34.5</v>
      </c>
      <c r="M1528" s="44">
        <v>0</v>
      </c>
    </row>
    <row r="1529" spans="1:13" x14ac:dyDescent="0.25">
      <c r="A1529" s="45" t="s">
        <v>2519</v>
      </c>
      <c r="B1529" s="44" t="s">
        <v>4826</v>
      </c>
      <c r="C1529" s="47">
        <v>44250</v>
      </c>
      <c r="D1529" s="44">
        <v>202112</v>
      </c>
      <c r="E1529" s="44">
        <v>34.549999999999997</v>
      </c>
      <c r="F1529" s="44">
        <v>34.549999999999997</v>
      </c>
      <c r="G1529" s="44">
        <v>34.549999999999997</v>
      </c>
      <c r="H1529" s="44">
        <v>34.549999999999997</v>
      </c>
      <c r="I1529" s="44">
        <v>-0.6</v>
      </c>
      <c r="J1529" s="44">
        <v>-1.71</v>
      </c>
      <c r="K1529" s="44">
        <v>0</v>
      </c>
      <c r="L1529" s="44">
        <v>34.549999999999997</v>
      </c>
      <c r="M1529" s="44">
        <v>0</v>
      </c>
    </row>
    <row r="1530" spans="1:13" x14ac:dyDescent="0.25">
      <c r="A1530" s="45" t="s">
        <v>947</v>
      </c>
      <c r="B1530" s="44" t="s">
        <v>4827</v>
      </c>
      <c r="C1530" s="47">
        <v>44250</v>
      </c>
      <c r="D1530" s="44">
        <v>202103</v>
      </c>
      <c r="E1530" s="44">
        <v>219.5</v>
      </c>
      <c r="F1530" s="44">
        <v>219.5</v>
      </c>
      <c r="G1530" s="44">
        <v>213.5</v>
      </c>
      <c r="H1530" s="44">
        <v>216</v>
      </c>
      <c r="I1530" s="44">
        <v>-6.5</v>
      </c>
      <c r="J1530" s="44">
        <v>-2.92</v>
      </c>
      <c r="K1530" s="44">
        <v>25</v>
      </c>
      <c r="L1530" s="44">
        <v>216</v>
      </c>
      <c r="M1530" s="44">
        <v>72</v>
      </c>
    </row>
    <row r="1531" spans="1:13" x14ac:dyDescent="0.25">
      <c r="A1531" s="45" t="s">
        <v>2520</v>
      </c>
      <c r="B1531" s="44" t="s">
        <v>4828</v>
      </c>
      <c r="C1531" s="47">
        <v>44250</v>
      </c>
      <c r="D1531" s="44">
        <v>202103</v>
      </c>
      <c r="E1531" s="44">
        <v>219.5</v>
      </c>
      <c r="F1531" s="44">
        <v>219.5</v>
      </c>
      <c r="G1531" s="44">
        <v>213.5</v>
      </c>
      <c r="H1531" s="44">
        <v>216</v>
      </c>
      <c r="I1531" s="44">
        <v>-6.5</v>
      </c>
      <c r="J1531" s="44">
        <v>-2.92</v>
      </c>
      <c r="K1531" s="44">
        <v>25</v>
      </c>
      <c r="L1531" s="44">
        <v>216</v>
      </c>
      <c r="M1531" s="44">
        <v>72</v>
      </c>
    </row>
    <row r="1532" spans="1:13" x14ac:dyDescent="0.25">
      <c r="A1532" s="45" t="s">
        <v>2521</v>
      </c>
      <c r="B1532" s="44" t="s">
        <v>4829</v>
      </c>
      <c r="C1532" s="47">
        <v>44250</v>
      </c>
      <c r="D1532" s="44">
        <v>202104</v>
      </c>
      <c r="E1532" s="44">
        <v>216</v>
      </c>
      <c r="F1532" s="44">
        <v>216</v>
      </c>
      <c r="G1532" s="44">
        <v>216</v>
      </c>
      <c r="H1532" s="44">
        <v>216</v>
      </c>
      <c r="I1532" s="44">
        <v>-6.5</v>
      </c>
      <c r="J1532" s="44">
        <v>-2.92</v>
      </c>
      <c r="K1532" s="44">
        <v>0</v>
      </c>
      <c r="L1532" s="44">
        <v>216</v>
      </c>
      <c r="M1532" s="44">
        <v>1</v>
      </c>
    </row>
    <row r="1533" spans="1:13" x14ac:dyDescent="0.25">
      <c r="A1533" s="45" t="s">
        <v>2522</v>
      </c>
      <c r="B1533" s="44" t="s">
        <v>4830</v>
      </c>
      <c r="C1533" s="47">
        <v>44250</v>
      </c>
      <c r="D1533" s="44">
        <v>202104</v>
      </c>
      <c r="E1533" s="44">
        <v>216</v>
      </c>
      <c r="F1533" s="44">
        <v>216</v>
      </c>
      <c r="G1533" s="44">
        <v>216</v>
      </c>
      <c r="H1533" s="44">
        <v>216</v>
      </c>
      <c r="I1533" s="44">
        <v>-6.5</v>
      </c>
      <c r="J1533" s="44">
        <v>-2.92</v>
      </c>
      <c r="K1533" s="44">
        <v>0</v>
      </c>
      <c r="L1533" s="44">
        <v>216</v>
      </c>
      <c r="M1533" s="44">
        <v>1</v>
      </c>
    </row>
    <row r="1534" spans="1:13" x14ac:dyDescent="0.25">
      <c r="A1534" s="45" t="s">
        <v>2523</v>
      </c>
      <c r="C1534" s="47"/>
    </row>
    <row r="1535" spans="1:13" x14ac:dyDescent="0.25">
      <c r="A1535" s="45" t="s">
        <v>2524</v>
      </c>
      <c r="C1535" s="47"/>
    </row>
    <row r="1536" spans="1:13" x14ac:dyDescent="0.25">
      <c r="A1536" s="45" t="s">
        <v>2525</v>
      </c>
      <c r="B1536" s="44" t="s">
        <v>4831</v>
      </c>
      <c r="C1536" s="47">
        <v>44250</v>
      </c>
      <c r="D1536" s="44">
        <v>202103</v>
      </c>
      <c r="E1536" s="44">
        <v>219.5</v>
      </c>
      <c r="F1536" s="44">
        <v>219.5</v>
      </c>
      <c r="G1536" s="44">
        <v>213.5</v>
      </c>
      <c r="H1536" s="44">
        <v>216</v>
      </c>
      <c r="I1536" s="44">
        <v>-6.5</v>
      </c>
      <c r="J1536" s="44">
        <v>-2.92</v>
      </c>
      <c r="K1536" s="44">
        <v>25</v>
      </c>
      <c r="L1536" s="44">
        <v>216</v>
      </c>
      <c r="M1536" s="44">
        <v>72</v>
      </c>
    </row>
    <row r="1537" spans="1:13" x14ac:dyDescent="0.25">
      <c r="A1537" s="45" t="s">
        <v>2526</v>
      </c>
      <c r="B1537" s="44" t="s">
        <v>4832</v>
      </c>
      <c r="C1537" s="47">
        <v>44250</v>
      </c>
      <c r="D1537" s="44">
        <v>202106</v>
      </c>
      <c r="E1537" s="44">
        <v>217.5</v>
      </c>
      <c r="F1537" s="44">
        <v>217.5</v>
      </c>
      <c r="G1537" s="44">
        <v>217.5</v>
      </c>
      <c r="H1537" s="44">
        <v>217.5</v>
      </c>
      <c r="I1537" s="44">
        <v>-6.5</v>
      </c>
      <c r="J1537" s="44">
        <v>-2.9</v>
      </c>
      <c r="K1537" s="44">
        <v>0</v>
      </c>
      <c r="L1537" s="44">
        <v>217.5</v>
      </c>
      <c r="M1537" s="44">
        <v>0</v>
      </c>
    </row>
    <row r="1538" spans="1:13" x14ac:dyDescent="0.25">
      <c r="A1538" s="45" t="s">
        <v>2527</v>
      </c>
      <c r="B1538" s="44" t="s">
        <v>4833</v>
      </c>
      <c r="C1538" s="47">
        <v>44250</v>
      </c>
      <c r="D1538" s="44">
        <v>202109</v>
      </c>
      <c r="E1538" s="44">
        <v>216</v>
      </c>
      <c r="F1538" s="44">
        <v>216</v>
      </c>
      <c r="G1538" s="44">
        <v>216</v>
      </c>
      <c r="H1538" s="44">
        <v>216</v>
      </c>
      <c r="I1538" s="44">
        <v>-6.5</v>
      </c>
      <c r="J1538" s="44">
        <v>-2.92</v>
      </c>
      <c r="K1538" s="44">
        <v>0</v>
      </c>
      <c r="L1538" s="44">
        <v>216</v>
      </c>
      <c r="M1538" s="44">
        <v>2</v>
      </c>
    </row>
    <row r="1539" spans="1:13" x14ac:dyDescent="0.25">
      <c r="A1539" s="45" t="s">
        <v>2528</v>
      </c>
      <c r="B1539" s="44" t="s">
        <v>4834</v>
      </c>
      <c r="C1539" s="47">
        <v>44250</v>
      </c>
      <c r="D1539" s="44">
        <v>202112</v>
      </c>
      <c r="E1539" s="44">
        <v>217.5</v>
      </c>
      <c r="F1539" s="44">
        <v>217.5</v>
      </c>
      <c r="G1539" s="44">
        <v>217.5</v>
      </c>
      <c r="H1539" s="44">
        <v>217.5</v>
      </c>
      <c r="I1539" s="44">
        <v>-6.5</v>
      </c>
      <c r="J1539" s="44">
        <v>-2.9</v>
      </c>
      <c r="K1539" s="44">
        <v>0</v>
      </c>
      <c r="L1539" s="44">
        <v>217.5</v>
      </c>
      <c r="M1539" s="44">
        <v>0</v>
      </c>
    </row>
    <row r="1540" spans="1:13" x14ac:dyDescent="0.25">
      <c r="A1540" s="45" t="s">
        <v>962</v>
      </c>
      <c r="B1540" s="44" t="s">
        <v>4835</v>
      </c>
      <c r="C1540" s="47">
        <v>44250</v>
      </c>
      <c r="D1540" s="44">
        <v>202103</v>
      </c>
      <c r="E1540" s="44">
        <v>135</v>
      </c>
      <c r="F1540" s="44">
        <v>137.5</v>
      </c>
      <c r="G1540" s="44">
        <v>135</v>
      </c>
      <c r="H1540" s="44">
        <v>137</v>
      </c>
      <c r="I1540" s="44">
        <v>0.5</v>
      </c>
      <c r="J1540" s="44">
        <v>0.37</v>
      </c>
      <c r="K1540" s="44">
        <v>85</v>
      </c>
      <c r="L1540" s="44">
        <v>137</v>
      </c>
      <c r="M1540" s="44">
        <v>584</v>
      </c>
    </row>
    <row r="1541" spans="1:13" x14ac:dyDescent="0.25">
      <c r="A1541" s="45" t="s">
        <v>2529</v>
      </c>
      <c r="B1541" s="44" t="s">
        <v>4836</v>
      </c>
      <c r="C1541" s="47">
        <v>44250</v>
      </c>
      <c r="D1541" s="44">
        <v>202103</v>
      </c>
      <c r="E1541" s="44">
        <v>135</v>
      </c>
      <c r="F1541" s="44">
        <v>137.5</v>
      </c>
      <c r="G1541" s="44">
        <v>135</v>
      </c>
      <c r="H1541" s="44">
        <v>137</v>
      </c>
      <c r="I1541" s="44">
        <v>0.5</v>
      </c>
      <c r="J1541" s="44">
        <v>0.37</v>
      </c>
      <c r="K1541" s="44">
        <v>85</v>
      </c>
      <c r="L1541" s="44">
        <v>137</v>
      </c>
      <c r="M1541" s="44">
        <v>584</v>
      </c>
    </row>
    <row r="1542" spans="1:13" x14ac:dyDescent="0.25">
      <c r="A1542" s="45" t="s">
        <v>2530</v>
      </c>
      <c r="B1542" s="44" t="s">
        <v>4837</v>
      </c>
      <c r="C1542" s="47">
        <v>44250</v>
      </c>
      <c r="D1542" s="44">
        <v>202104</v>
      </c>
      <c r="E1542" s="44">
        <v>136.5</v>
      </c>
      <c r="F1542" s="44">
        <v>136.5</v>
      </c>
      <c r="G1542" s="44">
        <v>135.5</v>
      </c>
      <c r="H1542" s="44">
        <v>135.5</v>
      </c>
      <c r="I1542" s="44">
        <v>0</v>
      </c>
      <c r="J1542" s="44">
        <v>0</v>
      </c>
      <c r="K1542" s="44">
        <v>22</v>
      </c>
      <c r="L1542" s="44">
        <v>135.5</v>
      </c>
      <c r="M1542" s="44">
        <v>67</v>
      </c>
    </row>
    <row r="1543" spans="1:13" x14ac:dyDescent="0.25">
      <c r="A1543" s="45" t="s">
        <v>2531</v>
      </c>
      <c r="B1543" s="44" t="s">
        <v>4838</v>
      </c>
      <c r="C1543" s="47">
        <v>44250</v>
      </c>
      <c r="D1543" s="44">
        <v>202104</v>
      </c>
      <c r="E1543" s="44">
        <v>136.5</v>
      </c>
      <c r="F1543" s="44">
        <v>136.5</v>
      </c>
      <c r="G1543" s="44">
        <v>135.5</v>
      </c>
      <c r="H1543" s="44">
        <v>135.5</v>
      </c>
      <c r="I1543" s="44">
        <v>0</v>
      </c>
      <c r="J1543" s="44">
        <v>0</v>
      </c>
      <c r="K1543" s="44">
        <v>22</v>
      </c>
      <c r="L1543" s="44">
        <v>135.5</v>
      </c>
      <c r="M1543" s="44">
        <v>67</v>
      </c>
    </row>
    <row r="1544" spans="1:13" x14ac:dyDescent="0.25">
      <c r="A1544" s="45" t="s">
        <v>2532</v>
      </c>
      <c r="C1544" s="47"/>
    </row>
    <row r="1545" spans="1:13" x14ac:dyDescent="0.25">
      <c r="A1545" s="45" t="s">
        <v>2533</v>
      </c>
      <c r="C1545" s="47"/>
    </row>
    <row r="1546" spans="1:13" x14ac:dyDescent="0.25">
      <c r="A1546" s="45" t="s">
        <v>2534</v>
      </c>
      <c r="B1546" s="44" t="s">
        <v>4839</v>
      </c>
      <c r="C1546" s="47">
        <v>44250</v>
      </c>
      <c r="D1546" s="44">
        <v>202103</v>
      </c>
      <c r="E1546" s="44">
        <v>135</v>
      </c>
      <c r="F1546" s="44">
        <v>137.5</v>
      </c>
      <c r="G1546" s="44">
        <v>135</v>
      </c>
      <c r="H1546" s="44">
        <v>137</v>
      </c>
      <c r="I1546" s="44">
        <v>0.5</v>
      </c>
      <c r="J1546" s="44">
        <v>0.37</v>
      </c>
      <c r="K1546" s="44">
        <v>85</v>
      </c>
      <c r="L1546" s="44">
        <v>137</v>
      </c>
      <c r="M1546" s="44">
        <v>584</v>
      </c>
    </row>
    <row r="1547" spans="1:13" x14ac:dyDescent="0.25">
      <c r="A1547" s="45" t="s">
        <v>2535</v>
      </c>
      <c r="B1547" s="44" t="s">
        <v>4840</v>
      </c>
      <c r="C1547" s="47">
        <v>44250</v>
      </c>
      <c r="D1547" s="44">
        <v>202106</v>
      </c>
      <c r="E1547" s="44">
        <v>136.5</v>
      </c>
      <c r="F1547" s="44">
        <v>136.5</v>
      </c>
      <c r="G1547" s="44">
        <v>136.5</v>
      </c>
      <c r="H1547" s="44">
        <v>136.5</v>
      </c>
      <c r="I1547" s="44">
        <v>0.5</v>
      </c>
      <c r="J1547" s="44">
        <v>0.37</v>
      </c>
      <c r="K1547" s="44">
        <v>0</v>
      </c>
      <c r="L1547" s="44">
        <v>136.5</v>
      </c>
      <c r="M1547" s="44">
        <v>6</v>
      </c>
    </row>
    <row r="1548" spans="1:13" x14ac:dyDescent="0.25">
      <c r="A1548" s="45" t="s">
        <v>2536</v>
      </c>
      <c r="B1548" s="44" t="s">
        <v>4841</v>
      </c>
      <c r="C1548" s="47">
        <v>44250</v>
      </c>
      <c r="D1548" s="44">
        <v>202109</v>
      </c>
      <c r="E1548" s="44">
        <v>135</v>
      </c>
      <c r="F1548" s="44">
        <v>135</v>
      </c>
      <c r="G1548" s="44">
        <v>135</v>
      </c>
      <c r="H1548" s="44">
        <v>135</v>
      </c>
      <c r="I1548" s="44">
        <v>0.5</v>
      </c>
      <c r="J1548" s="44">
        <v>0.37</v>
      </c>
      <c r="K1548" s="44">
        <v>0</v>
      </c>
      <c r="L1548" s="44">
        <v>135</v>
      </c>
      <c r="M1548" s="44">
        <v>3</v>
      </c>
    </row>
    <row r="1549" spans="1:13" x14ac:dyDescent="0.25">
      <c r="A1549" s="45" t="s">
        <v>2537</v>
      </c>
      <c r="B1549" s="44" t="s">
        <v>4842</v>
      </c>
      <c r="C1549" s="47">
        <v>44250</v>
      </c>
      <c r="D1549" s="44">
        <v>202112</v>
      </c>
      <c r="E1549" s="44">
        <v>138</v>
      </c>
      <c r="F1549" s="44">
        <v>138</v>
      </c>
      <c r="G1549" s="44">
        <v>138</v>
      </c>
      <c r="H1549" s="44">
        <v>138</v>
      </c>
      <c r="I1549" s="44">
        <v>0.5</v>
      </c>
      <c r="J1549" s="44">
        <v>0.36</v>
      </c>
      <c r="K1549" s="44">
        <v>0</v>
      </c>
      <c r="L1549" s="44">
        <v>138</v>
      </c>
      <c r="M1549" s="44">
        <v>0</v>
      </c>
    </row>
    <row r="1550" spans="1:13" x14ac:dyDescent="0.25">
      <c r="A1550" s="45" t="s">
        <v>1075</v>
      </c>
      <c r="B1550" s="44" t="s">
        <v>4843</v>
      </c>
      <c r="C1550" s="47">
        <v>44250</v>
      </c>
      <c r="D1550" s="44">
        <v>202103</v>
      </c>
      <c r="E1550" s="44">
        <v>85.1</v>
      </c>
      <c r="F1550" s="44">
        <v>85.8</v>
      </c>
      <c r="G1550" s="44">
        <v>85.1</v>
      </c>
      <c r="H1550" s="44">
        <v>85.4</v>
      </c>
      <c r="I1550" s="44">
        <v>-0.6</v>
      </c>
      <c r="J1550" s="44">
        <v>-0.7</v>
      </c>
      <c r="K1550" s="44">
        <v>5</v>
      </c>
      <c r="L1550" s="44">
        <v>86.5</v>
      </c>
      <c r="M1550" s="44">
        <v>11</v>
      </c>
    </row>
    <row r="1551" spans="1:13" x14ac:dyDescent="0.25">
      <c r="A1551" s="45" t="s">
        <v>2538</v>
      </c>
      <c r="B1551" s="44" t="s">
        <v>4844</v>
      </c>
      <c r="C1551" s="47">
        <v>44250</v>
      </c>
      <c r="D1551" s="44">
        <v>202103</v>
      </c>
      <c r="E1551" s="44">
        <v>85.1</v>
      </c>
      <c r="F1551" s="44">
        <v>85.8</v>
      </c>
      <c r="G1551" s="44">
        <v>85.1</v>
      </c>
      <c r="H1551" s="44">
        <v>85.4</v>
      </c>
      <c r="I1551" s="44">
        <v>-0.6</v>
      </c>
      <c r="J1551" s="44">
        <v>-0.7</v>
      </c>
      <c r="K1551" s="44">
        <v>5</v>
      </c>
      <c r="L1551" s="44">
        <v>86.5</v>
      </c>
      <c r="M1551" s="44">
        <v>11</v>
      </c>
    </row>
    <row r="1552" spans="1:13" x14ac:dyDescent="0.25">
      <c r="A1552" s="45" t="s">
        <v>2539</v>
      </c>
      <c r="B1552" s="44" t="s">
        <v>4845</v>
      </c>
      <c r="C1552" s="47">
        <v>44250</v>
      </c>
      <c r="D1552" s="44">
        <v>202104</v>
      </c>
      <c r="E1552" s="44">
        <v>86.5</v>
      </c>
      <c r="F1552" s="44">
        <v>86.5</v>
      </c>
      <c r="G1552" s="44">
        <v>86.5</v>
      </c>
      <c r="H1552" s="44">
        <v>86.5</v>
      </c>
      <c r="I1552" s="44">
        <v>0.5</v>
      </c>
      <c r="J1552" s="44">
        <v>0.57999999999999996</v>
      </c>
      <c r="K1552" s="44">
        <v>0</v>
      </c>
      <c r="L1552" s="44">
        <v>86.5</v>
      </c>
      <c r="M1552" s="44">
        <v>0</v>
      </c>
    </row>
    <row r="1553" spans="1:13" x14ac:dyDescent="0.25">
      <c r="A1553" s="45" t="s">
        <v>2540</v>
      </c>
      <c r="B1553" s="44" t="s">
        <v>4846</v>
      </c>
      <c r="C1553" s="47">
        <v>44250</v>
      </c>
      <c r="D1553" s="44">
        <v>202104</v>
      </c>
      <c r="E1553" s="44">
        <v>86.5</v>
      </c>
      <c r="F1553" s="44">
        <v>86.5</v>
      </c>
      <c r="G1553" s="44">
        <v>86.5</v>
      </c>
      <c r="H1553" s="44">
        <v>86.5</v>
      </c>
      <c r="I1553" s="44">
        <v>0.5</v>
      </c>
      <c r="J1553" s="44">
        <v>0.57999999999999996</v>
      </c>
      <c r="K1553" s="44">
        <v>0</v>
      </c>
      <c r="L1553" s="44">
        <v>86.5</v>
      </c>
      <c r="M1553" s="44">
        <v>0</v>
      </c>
    </row>
    <row r="1554" spans="1:13" x14ac:dyDescent="0.25">
      <c r="A1554" s="45" t="s">
        <v>2541</v>
      </c>
      <c r="C1554" s="47"/>
    </row>
    <row r="1555" spans="1:13" x14ac:dyDescent="0.25">
      <c r="A1555" s="45" t="s">
        <v>2542</v>
      </c>
      <c r="B1555" s="44" t="s">
        <v>4847</v>
      </c>
      <c r="C1555" s="47">
        <v>44250</v>
      </c>
      <c r="D1555" s="44">
        <v>202103</v>
      </c>
      <c r="E1555" s="44">
        <v>85.1</v>
      </c>
      <c r="F1555" s="44">
        <v>85.8</v>
      </c>
      <c r="G1555" s="44">
        <v>85.1</v>
      </c>
      <c r="H1555" s="44">
        <v>85.4</v>
      </c>
      <c r="I1555" s="44">
        <v>-0.6</v>
      </c>
      <c r="J1555" s="44">
        <v>-0.7</v>
      </c>
      <c r="K1555" s="44">
        <v>5</v>
      </c>
      <c r="L1555" s="44">
        <v>86.5</v>
      </c>
      <c r="M1555" s="44">
        <v>11</v>
      </c>
    </row>
    <row r="1556" spans="1:13" x14ac:dyDescent="0.25">
      <c r="A1556" s="45" t="s">
        <v>2543</v>
      </c>
      <c r="B1556" s="44" t="s">
        <v>4848</v>
      </c>
      <c r="C1556" s="47">
        <v>44250</v>
      </c>
      <c r="D1556" s="44">
        <v>202106</v>
      </c>
      <c r="E1556" s="44">
        <v>86.3</v>
      </c>
      <c r="F1556" s="44">
        <v>86.3</v>
      </c>
      <c r="G1556" s="44">
        <v>86.3</v>
      </c>
      <c r="H1556" s="44">
        <v>86.3</v>
      </c>
      <c r="I1556" s="44">
        <v>0.5</v>
      </c>
      <c r="J1556" s="44">
        <v>0.57999999999999996</v>
      </c>
      <c r="K1556" s="44">
        <v>0</v>
      </c>
      <c r="L1556" s="44">
        <v>86.3</v>
      </c>
      <c r="M1556" s="44">
        <v>1</v>
      </c>
    </row>
    <row r="1557" spans="1:13" x14ac:dyDescent="0.25">
      <c r="A1557" s="45" t="s">
        <v>2544</v>
      </c>
      <c r="B1557" s="44" t="s">
        <v>4849</v>
      </c>
      <c r="C1557" s="47">
        <v>44250</v>
      </c>
      <c r="D1557" s="44">
        <v>202109</v>
      </c>
      <c r="E1557" s="44">
        <v>86.6</v>
      </c>
      <c r="F1557" s="44">
        <v>86.6</v>
      </c>
      <c r="G1557" s="44">
        <v>86.6</v>
      </c>
      <c r="H1557" s="44">
        <v>86.6</v>
      </c>
      <c r="I1557" s="44">
        <v>0.5</v>
      </c>
      <c r="J1557" s="44">
        <v>0.57999999999999996</v>
      </c>
      <c r="K1557" s="44">
        <v>0</v>
      </c>
      <c r="L1557" s="44">
        <v>86.6</v>
      </c>
      <c r="M1557" s="44">
        <v>3</v>
      </c>
    </row>
    <row r="1558" spans="1:13" x14ac:dyDescent="0.25">
      <c r="A1558" s="45" t="s">
        <v>2545</v>
      </c>
      <c r="B1558" s="44" t="s">
        <v>4850</v>
      </c>
      <c r="C1558" s="47">
        <v>44250</v>
      </c>
      <c r="D1558" s="44">
        <v>202112</v>
      </c>
      <c r="E1558" s="44">
        <v>86.8</v>
      </c>
      <c r="F1558" s="44">
        <v>86.8</v>
      </c>
      <c r="G1558" s="44">
        <v>86.8</v>
      </c>
      <c r="H1558" s="44">
        <v>86.8</v>
      </c>
      <c r="I1558" s="44">
        <v>0.5</v>
      </c>
      <c r="J1558" s="44">
        <v>0.57999999999999996</v>
      </c>
      <c r="K1558" s="44">
        <v>0</v>
      </c>
      <c r="L1558" s="44">
        <v>86.8</v>
      </c>
      <c r="M1558" s="44">
        <v>0</v>
      </c>
    </row>
    <row r="1559" spans="1:13" x14ac:dyDescent="0.25">
      <c r="A1559" s="45" t="s">
        <v>1077</v>
      </c>
      <c r="B1559" s="44" t="s">
        <v>4851</v>
      </c>
      <c r="C1559" s="47">
        <v>44250</v>
      </c>
      <c r="D1559" s="44">
        <v>202103</v>
      </c>
      <c r="E1559" s="44">
        <v>51.2</v>
      </c>
      <c r="F1559" s="44">
        <v>52.1</v>
      </c>
      <c r="G1559" s="44">
        <v>50.9</v>
      </c>
      <c r="H1559" s="44">
        <v>52</v>
      </c>
      <c r="I1559" s="44">
        <v>0</v>
      </c>
      <c r="J1559" s="44">
        <v>0</v>
      </c>
      <c r="K1559" s="44">
        <v>189</v>
      </c>
      <c r="L1559" s="44">
        <v>52</v>
      </c>
      <c r="M1559" s="44">
        <v>935</v>
      </c>
    </row>
    <row r="1560" spans="1:13" x14ac:dyDescent="0.25">
      <c r="A1560" s="45" t="s">
        <v>2546</v>
      </c>
      <c r="B1560" s="44" t="s">
        <v>4852</v>
      </c>
      <c r="C1560" s="47">
        <v>44250</v>
      </c>
      <c r="D1560" s="44">
        <v>202103</v>
      </c>
      <c r="E1560" s="44">
        <v>51.2</v>
      </c>
      <c r="F1560" s="44">
        <v>52.1</v>
      </c>
      <c r="G1560" s="44">
        <v>50.9</v>
      </c>
      <c r="H1560" s="44">
        <v>52</v>
      </c>
      <c r="I1560" s="44">
        <v>0</v>
      </c>
      <c r="J1560" s="44">
        <v>0</v>
      </c>
      <c r="K1560" s="44">
        <v>189</v>
      </c>
      <c r="L1560" s="44">
        <v>52</v>
      </c>
      <c r="M1560" s="44">
        <v>935</v>
      </c>
    </row>
    <row r="1561" spans="1:13" x14ac:dyDescent="0.25">
      <c r="A1561" s="45" t="s">
        <v>2547</v>
      </c>
      <c r="B1561" s="44" t="s">
        <v>4853</v>
      </c>
      <c r="C1561" s="47">
        <v>44250</v>
      </c>
      <c r="D1561" s="44">
        <v>202104</v>
      </c>
      <c r="E1561" s="44">
        <v>51.5</v>
      </c>
      <c r="F1561" s="44">
        <v>51.8</v>
      </c>
      <c r="G1561" s="44">
        <v>51.5</v>
      </c>
      <c r="H1561" s="44">
        <v>51.8</v>
      </c>
      <c r="I1561" s="44">
        <v>0</v>
      </c>
      <c r="J1561" s="44">
        <v>0</v>
      </c>
      <c r="K1561" s="44">
        <v>29</v>
      </c>
      <c r="L1561" s="44">
        <v>51.8</v>
      </c>
      <c r="M1561" s="44">
        <v>164</v>
      </c>
    </row>
    <row r="1562" spans="1:13" x14ac:dyDescent="0.25">
      <c r="A1562" s="45" t="s">
        <v>2548</v>
      </c>
      <c r="B1562" s="44" t="s">
        <v>4854</v>
      </c>
      <c r="C1562" s="47">
        <v>44250</v>
      </c>
      <c r="D1562" s="44">
        <v>202104</v>
      </c>
      <c r="E1562" s="44">
        <v>51.5</v>
      </c>
      <c r="F1562" s="44">
        <v>51.8</v>
      </c>
      <c r="G1562" s="44">
        <v>51.5</v>
      </c>
      <c r="H1562" s="44">
        <v>51.8</v>
      </c>
      <c r="I1562" s="44">
        <v>0</v>
      </c>
      <c r="J1562" s="44">
        <v>0</v>
      </c>
      <c r="K1562" s="44">
        <v>29</v>
      </c>
      <c r="L1562" s="44">
        <v>51.8</v>
      </c>
      <c r="M1562" s="44">
        <v>164</v>
      </c>
    </row>
    <row r="1563" spans="1:13" x14ac:dyDescent="0.25">
      <c r="A1563" s="45" t="s">
        <v>2549</v>
      </c>
      <c r="C1563" s="47"/>
    </row>
    <row r="1564" spans="1:13" x14ac:dyDescent="0.25">
      <c r="A1564" s="45" t="s">
        <v>2550</v>
      </c>
      <c r="C1564" s="47"/>
    </row>
    <row r="1565" spans="1:13" x14ac:dyDescent="0.25">
      <c r="A1565" s="45" t="s">
        <v>2551</v>
      </c>
      <c r="B1565" s="44" t="s">
        <v>4855</v>
      </c>
      <c r="C1565" s="47">
        <v>44250</v>
      </c>
      <c r="D1565" s="44">
        <v>202103</v>
      </c>
      <c r="E1565" s="44">
        <v>51.2</v>
      </c>
      <c r="F1565" s="44">
        <v>52.1</v>
      </c>
      <c r="G1565" s="44">
        <v>50.9</v>
      </c>
      <c r="H1565" s="44">
        <v>52</v>
      </c>
      <c r="I1565" s="44">
        <v>0</v>
      </c>
      <c r="J1565" s="44">
        <v>0</v>
      </c>
      <c r="K1565" s="44">
        <v>189</v>
      </c>
      <c r="L1565" s="44">
        <v>52</v>
      </c>
      <c r="M1565" s="44">
        <v>935</v>
      </c>
    </row>
    <row r="1566" spans="1:13" x14ac:dyDescent="0.25">
      <c r="A1566" s="45" t="s">
        <v>2552</v>
      </c>
      <c r="B1566" s="44" t="s">
        <v>4856</v>
      </c>
      <c r="C1566" s="47">
        <v>44250</v>
      </c>
      <c r="D1566" s="44">
        <v>202106</v>
      </c>
      <c r="E1566" s="44">
        <v>51.3</v>
      </c>
      <c r="F1566" s="44">
        <v>51.3</v>
      </c>
      <c r="G1566" s="44">
        <v>51.3</v>
      </c>
      <c r="H1566" s="44">
        <v>51.3</v>
      </c>
      <c r="I1566" s="44">
        <v>0</v>
      </c>
      <c r="J1566" s="44">
        <v>0</v>
      </c>
      <c r="K1566" s="44">
        <v>0</v>
      </c>
      <c r="L1566" s="44">
        <v>51.3</v>
      </c>
      <c r="M1566" s="44">
        <v>0</v>
      </c>
    </row>
    <row r="1567" spans="1:13" x14ac:dyDescent="0.25">
      <c r="A1567" s="45" t="s">
        <v>2553</v>
      </c>
      <c r="B1567" s="44" t="s">
        <v>4857</v>
      </c>
      <c r="C1567" s="47">
        <v>44250</v>
      </c>
      <c r="D1567" s="44">
        <v>202109</v>
      </c>
      <c r="E1567" s="44">
        <v>51.3</v>
      </c>
      <c r="F1567" s="44">
        <v>51.3</v>
      </c>
      <c r="G1567" s="44">
        <v>51.3</v>
      </c>
      <c r="H1567" s="44">
        <v>51.3</v>
      </c>
      <c r="I1567" s="44">
        <v>0</v>
      </c>
      <c r="J1567" s="44">
        <v>0</v>
      </c>
      <c r="K1567" s="44">
        <v>0</v>
      </c>
      <c r="L1567" s="44">
        <v>51.3</v>
      </c>
      <c r="M1567" s="44">
        <v>0</v>
      </c>
    </row>
    <row r="1568" spans="1:13" x14ac:dyDescent="0.25">
      <c r="A1568" s="45" t="s">
        <v>2554</v>
      </c>
      <c r="B1568" s="44" t="s">
        <v>4858</v>
      </c>
      <c r="C1568" s="47">
        <v>44250</v>
      </c>
      <c r="D1568" s="44">
        <v>202112</v>
      </c>
      <c r="E1568" s="44">
        <v>51.7</v>
      </c>
      <c r="F1568" s="44">
        <v>51.7</v>
      </c>
      <c r="G1568" s="44">
        <v>51.7</v>
      </c>
      <c r="H1568" s="44">
        <v>51.7</v>
      </c>
      <c r="I1568" s="44">
        <v>0</v>
      </c>
      <c r="J1568" s="44">
        <v>0</v>
      </c>
      <c r="K1568" s="44">
        <v>0</v>
      </c>
      <c r="L1568" s="44">
        <v>51.7</v>
      </c>
      <c r="M1568" s="44">
        <v>0</v>
      </c>
    </row>
    <row r="1569" spans="1:13" x14ac:dyDescent="0.25">
      <c r="A1569" s="45" t="s">
        <v>2555</v>
      </c>
      <c r="B1569" s="44" t="s">
        <v>4859</v>
      </c>
      <c r="C1569" s="47">
        <v>44250</v>
      </c>
      <c r="D1569" s="44">
        <v>202102</v>
      </c>
      <c r="E1569" s="44">
        <v>16286</v>
      </c>
      <c r="F1569" s="44">
        <v>16493</v>
      </c>
      <c r="G1569" s="44">
        <v>16247</v>
      </c>
      <c r="H1569" s="44">
        <v>16485</v>
      </c>
      <c r="I1569" s="44">
        <v>59</v>
      </c>
      <c r="J1569" s="44">
        <v>0.36</v>
      </c>
      <c r="K1569" s="44">
        <v>679</v>
      </c>
      <c r="L1569" s="44">
        <v>16483</v>
      </c>
      <c r="M1569" s="44">
        <v>536</v>
      </c>
    </row>
    <row r="1570" spans="1:13" x14ac:dyDescent="0.25">
      <c r="A1570" s="45" t="s">
        <v>2556</v>
      </c>
      <c r="C1570" s="47"/>
    </row>
    <row r="1571" spans="1:13" x14ac:dyDescent="0.25">
      <c r="A1571" s="45" t="s">
        <v>2557</v>
      </c>
      <c r="C1571" s="47"/>
    </row>
    <row r="1572" spans="1:13" x14ac:dyDescent="0.25">
      <c r="A1572" s="45" t="s">
        <v>2558</v>
      </c>
      <c r="C1572" s="47"/>
    </row>
    <row r="1573" spans="1:13" x14ac:dyDescent="0.25">
      <c r="A1573" s="45" t="s">
        <v>2559</v>
      </c>
      <c r="C1573" s="47"/>
    </row>
    <row r="1574" spans="1:13" x14ac:dyDescent="0.25">
      <c r="A1574" s="45" t="s">
        <v>2560</v>
      </c>
      <c r="B1574" s="44" t="s">
        <v>4860</v>
      </c>
      <c r="C1574" s="47"/>
    </row>
    <row r="1575" spans="1:13" x14ac:dyDescent="0.25">
      <c r="A1575" s="45" t="s">
        <v>2561</v>
      </c>
      <c r="B1575" s="44" t="s">
        <v>4861</v>
      </c>
      <c r="C1575" s="47">
        <v>44250</v>
      </c>
      <c r="D1575" s="44">
        <v>202103</v>
      </c>
      <c r="E1575" s="44">
        <v>16227</v>
      </c>
      <c r="F1575" s="44">
        <v>16450</v>
      </c>
      <c r="G1575" s="44">
        <v>16182</v>
      </c>
      <c r="H1575" s="44">
        <v>16440</v>
      </c>
      <c r="I1575" s="44">
        <v>58</v>
      </c>
      <c r="J1575" s="44">
        <v>0.35</v>
      </c>
      <c r="K1575" s="44">
        <v>205648</v>
      </c>
      <c r="L1575" s="44">
        <v>16434</v>
      </c>
      <c r="M1575" s="44">
        <v>41006</v>
      </c>
    </row>
    <row r="1576" spans="1:13" x14ac:dyDescent="0.25">
      <c r="A1576" s="45" t="s">
        <v>2562</v>
      </c>
      <c r="B1576" s="44" t="s">
        <v>4862</v>
      </c>
      <c r="C1576" s="47">
        <v>44250</v>
      </c>
      <c r="D1576" s="44">
        <v>202103</v>
      </c>
      <c r="E1576" s="44">
        <v>16227</v>
      </c>
      <c r="F1576" s="44">
        <v>16450</v>
      </c>
      <c r="G1576" s="44">
        <v>16182</v>
      </c>
      <c r="H1576" s="44">
        <v>16440</v>
      </c>
      <c r="I1576" s="44">
        <v>58</v>
      </c>
      <c r="J1576" s="44">
        <v>0.35</v>
      </c>
      <c r="K1576" s="44">
        <v>205648</v>
      </c>
      <c r="L1576" s="44">
        <v>16434</v>
      </c>
      <c r="M1576" s="44">
        <v>41006</v>
      </c>
    </row>
    <row r="1577" spans="1:13" x14ac:dyDescent="0.25">
      <c r="A1577" s="45" t="s">
        <v>2563</v>
      </c>
      <c r="B1577" s="44" t="s">
        <v>4863</v>
      </c>
      <c r="C1577" s="47"/>
    </row>
    <row r="1578" spans="1:13" x14ac:dyDescent="0.25">
      <c r="A1578" s="45" t="s">
        <v>2564</v>
      </c>
      <c r="B1578" s="44" t="s">
        <v>4864</v>
      </c>
      <c r="C1578" s="47">
        <v>44250</v>
      </c>
      <c r="D1578" s="44">
        <v>202104</v>
      </c>
      <c r="E1578" s="44">
        <v>16169</v>
      </c>
      <c r="F1578" s="44">
        <v>16383</v>
      </c>
      <c r="G1578" s="44">
        <v>16122</v>
      </c>
      <c r="H1578" s="44">
        <v>16372</v>
      </c>
      <c r="I1578" s="44">
        <v>53</v>
      </c>
      <c r="J1578" s="44">
        <v>0.32</v>
      </c>
      <c r="K1578" s="44">
        <v>5028</v>
      </c>
      <c r="L1578" s="44">
        <v>16367</v>
      </c>
      <c r="M1578" s="44">
        <v>6794</v>
      </c>
    </row>
    <row r="1579" spans="1:13" x14ac:dyDescent="0.25">
      <c r="A1579" s="45" t="s">
        <v>2565</v>
      </c>
      <c r="B1579" s="44" t="s">
        <v>4865</v>
      </c>
      <c r="C1579" s="47">
        <v>44250</v>
      </c>
      <c r="D1579" s="44">
        <v>202104</v>
      </c>
      <c r="E1579" s="44">
        <v>16169</v>
      </c>
      <c r="F1579" s="44">
        <v>16383</v>
      </c>
      <c r="G1579" s="44">
        <v>16122</v>
      </c>
      <c r="H1579" s="44">
        <v>16372</v>
      </c>
      <c r="I1579" s="44">
        <v>53</v>
      </c>
      <c r="J1579" s="44">
        <v>0.32</v>
      </c>
      <c r="K1579" s="44">
        <v>5028</v>
      </c>
      <c r="L1579" s="44">
        <v>16367</v>
      </c>
      <c r="M1579" s="44">
        <v>6794</v>
      </c>
    </row>
    <row r="1580" spans="1:13" x14ac:dyDescent="0.25">
      <c r="A1580" s="45" t="s">
        <v>2566</v>
      </c>
      <c r="B1580" s="44" t="s">
        <v>4866</v>
      </c>
      <c r="C1580" s="47"/>
    </row>
    <row r="1581" spans="1:13" x14ac:dyDescent="0.25">
      <c r="A1581" s="45" t="s">
        <v>2567</v>
      </c>
      <c r="C1581" s="47"/>
    </row>
    <row r="1582" spans="1:13" x14ac:dyDescent="0.25">
      <c r="A1582" s="45" t="s">
        <v>2568</v>
      </c>
      <c r="C1582" s="47"/>
    </row>
    <row r="1583" spans="1:13" x14ac:dyDescent="0.25">
      <c r="A1583" s="45" t="s">
        <v>2569</v>
      </c>
      <c r="C1583" s="47"/>
    </row>
    <row r="1584" spans="1:13" x14ac:dyDescent="0.25">
      <c r="A1584" s="45" t="s">
        <v>2570</v>
      </c>
      <c r="C1584" s="47"/>
    </row>
    <row r="1585" spans="1:13" x14ac:dyDescent="0.25">
      <c r="A1585" s="45" t="s">
        <v>2571</v>
      </c>
      <c r="C1585" s="47"/>
    </row>
    <row r="1586" spans="1:13" x14ac:dyDescent="0.25">
      <c r="A1586" s="45" t="s">
        <v>2572</v>
      </c>
      <c r="C1586" s="47"/>
    </row>
    <row r="1587" spans="1:13" x14ac:dyDescent="0.25">
      <c r="A1587" s="45" t="s">
        <v>2573</v>
      </c>
      <c r="C1587" s="47"/>
    </row>
    <row r="1588" spans="1:13" x14ac:dyDescent="0.25">
      <c r="A1588" s="45" t="s">
        <v>2574</v>
      </c>
      <c r="C1588" s="47"/>
    </row>
    <row r="1589" spans="1:13" x14ac:dyDescent="0.25">
      <c r="A1589" s="45" t="s">
        <v>2575</v>
      </c>
      <c r="C1589" s="47"/>
    </row>
    <row r="1590" spans="1:13" x14ac:dyDescent="0.25">
      <c r="A1590" s="45" t="s">
        <v>2576</v>
      </c>
      <c r="C1590" s="47"/>
    </row>
    <row r="1591" spans="1:13" x14ac:dyDescent="0.25">
      <c r="A1591" s="45" t="s">
        <v>2577</v>
      </c>
      <c r="C1591" s="47"/>
    </row>
    <row r="1592" spans="1:13" x14ac:dyDescent="0.25">
      <c r="A1592" s="45" t="s">
        <v>2578</v>
      </c>
      <c r="C1592" s="47"/>
    </row>
    <row r="1593" spans="1:13" x14ac:dyDescent="0.25">
      <c r="A1593" s="45" t="s">
        <v>2579</v>
      </c>
      <c r="B1593" s="44" t="s">
        <v>4867</v>
      </c>
      <c r="C1593" s="47">
        <v>44250</v>
      </c>
      <c r="D1593" s="44">
        <v>202103</v>
      </c>
      <c r="E1593" s="44">
        <v>16227</v>
      </c>
      <c r="F1593" s="44">
        <v>16450</v>
      </c>
      <c r="G1593" s="44">
        <v>16182</v>
      </c>
      <c r="H1593" s="44">
        <v>16440</v>
      </c>
      <c r="I1593" s="44">
        <v>58</v>
      </c>
      <c r="J1593" s="44">
        <v>0.35</v>
      </c>
      <c r="K1593" s="44">
        <v>205648</v>
      </c>
      <c r="L1593" s="44">
        <v>16434</v>
      </c>
      <c r="M1593" s="44">
        <v>41006</v>
      </c>
    </row>
    <row r="1594" spans="1:13" x14ac:dyDescent="0.25">
      <c r="A1594" s="45" t="s">
        <v>2580</v>
      </c>
      <c r="B1594" s="44" t="s">
        <v>4868</v>
      </c>
      <c r="C1594" s="47"/>
    </row>
    <row r="1595" spans="1:13" x14ac:dyDescent="0.25">
      <c r="A1595" s="45" t="s">
        <v>2581</v>
      </c>
      <c r="B1595" s="44" t="s">
        <v>4869</v>
      </c>
      <c r="C1595" s="47">
        <v>44250</v>
      </c>
      <c r="D1595" s="44" t="s">
        <v>5792</v>
      </c>
      <c r="E1595" s="44">
        <v>0</v>
      </c>
      <c r="F1595" s="44">
        <v>0</v>
      </c>
      <c r="G1595" s="44">
        <v>0</v>
      </c>
      <c r="H1595" s="44">
        <v>0</v>
      </c>
      <c r="K1595" s="44">
        <v>0</v>
      </c>
    </row>
    <row r="1596" spans="1:13" x14ac:dyDescent="0.25">
      <c r="A1596" s="45" t="s">
        <v>2582</v>
      </c>
      <c r="B1596" s="44" t="s">
        <v>4870</v>
      </c>
      <c r="C1596" s="47"/>
    </row>
    <row r="1597" spans="1:13" x14ac:dyDescent="0.25">
      <c r="A1597" s="45" t="s">
        <v>2583</v>
      </c>
      <c r="B1597" s="44" t="s">
        <v>4871</v>
      </c>
      <c r="C1597" s="47"/>
    </row>
    <row r="1598" spans="1:13" x14ac:dyDescent="0.25">
      <c r="A1598" s="45" t="s">
        <v>2584</v>
      </c>
      <c r="B1598" s="44" t="s">
        <v>4872</v>
      </c>
      <c r="C1598" s="47">
        <v>44250</v>
      </c>
      <c r="D1598" s="44">
        <v>202104</v>
      </c>
      <c r="E1598" s="44">
        <v>16169</v>
      </c>
      <c r="F1598" s="44">
        <v>16383</v>
      </c>
      <c r="G1598" s="44">
        <v>16122</v>
      </c>
      <c r="H1598" s="44">
        <v>16372</v>
      </c>
      <c r="I1598" s="44">
        <v>53</v>
      </c>
      <c r="J1598" s="44">
        <v>0.32</v>
      </c>
      <c r="K1598" s="44">
        <v>5028</v>
      </c>
      <c r="L1598" s="44">
        <v>16367</v>
      </c>
      <c r="M1598" s="44">
        <v>6794</v>
      </c>
    </row>
    <row r="1599" spans="1:13" x14ac:dyDescent="0.25">
      <c r="A1599" s="45" t="s">
        <v>2585</v>
      </c>
      <c r="B1599" s="44" t="s">
        <v>4873</v>
      </c>
      <c r="C1599" s="47"/>
    </row>
    <row r="1600" spans="1:13" x14ac:dyDescent="0.25">
      <c r="A1600" s="45" t="s">
        <v>2586</v>
      </c>
      <c r="B1600" s="44" t="s">
        <v>4874</v>
      </c>
      <c r="C1600" s="47">
        <v>44250</v>
      </c>
      <c r="D1600" s="44">
        <v>202106</v>
      </c>
      <c r="E1600" s="44">
        <v>16055</v>
      </c>
      <c r="F1600" s="44">
        <v>16259</v>
      </c>
      <c r="G1600" s="44">
        <v>16002</v>
      </c>
      <c r="H1600" s="44">
        <v>16247</v>
      </c>
      <c r="I1600" s="44">
        <v>48</v>
      </c>
      <c r="J1600" s="44">
        <v>0.3</v>
      </c>
      <c r="K1600" s="44">
        <v>351</v>
      </c>
      <c r="L1600" s="44">
        <v>16247</v>
      </c>
      <c r="M1600" s="44">
        <v>2896</v>
      </c>
    </row>
    <row r="1601" spans="1:13" x14ac:dyDescent="0.25">
      <c r="A1601" s="45" t="s">
        <v>2587</v>
      </c>
      <c r="C1601" s="47"/>
    </row>
    <row r="1602" spans="1:13" x14ac:dyDescent="0.25">
      <c r="A1602" s="45" t="s">
        <v>2588</v>
      </c>
      <c r="B1602" s="44" t="s">
        <v>4875</v>
      </c>
      <c r="C1602" s="47"/>
    </row>
    <row r="1603" spans="1:13" x14ac:dyDescent="0.25">
      <c r="A1603" s="45" t="s">
        <v>2589</v>
      </c>
      <c r="B1603" s="44" t="s">
        <v>4876</v>
      </c>
      <c r="C1603" s="47">
        <v>44250</v>
      </c>
      <c r="D1603" s="44">
        <v>202109</v>
      </c>
      <c r="E1603" s="44">
        <v>15601</v>
      </c>
      <c r="F1603" s="44">
        <v>15829</v>
      </c>
      <c r="G1603" s="44">
        <v>15580</v>
      </c>
      <c r="H1603" s="44">
        <v>15811</v>
      </c>
      <c r="I1603" s="44">
        <v>38</v>
      </c>
      <c r="J1603" s="44">
        <v>0.24</v>
      </c>
      <c r="K1603" s="44">
        <v>124</v>
      </c>
      <c r="L1603" s="44">
        <v>15813</v>
      </c>
      <c r="M1603" s="44">
        <v>1629</v>
      </c>
    </row>
    <row r="1604" spans="1:13" x14ac:dyDescent="0.25">
      <c r="A1604" s="45" t="s">
        <v>2590</v>
      </c>
      <c r="C1604" s="47"/>
    </row>
    <row r="1605" spans="1:13" x14ac:dyDescent="0.25">
      <c r="A1605" s="45" t="s">
        <v>2591</v>
      </c>
      <c r="C1605" s="47"/>
    </row>
    <row r="1606" spans="1:13" x14ac:dyDescent="0.25">
      <c r="A1606" s="45" t="s">
        <v>2592</v>
      </c>
      <c r="B1606" s="44" t="s">
        <v>4877</v>
      </c>
      <c r="C1606" s="47"/>
    </row>
    <row r="1607" spans="1:13" x14ac:dyDescent="0.25">
      <c r="A1607" s="45" t="s">
        <v>2593</v>
      </c>
      <c r="B1607" s="44" t="s">
        <v>4878</v>
      </c>
      <c r="C1607" s="47">
        <v>44250</v>
      </c>
      <c r="D1607" s="44">
        <v>202112</v>
      </c>
      <c r="E1607" s="44">
        <v>15480</v>
      </c>
      <c r="F1607" s="44">
        <v>15666</v>
      </c>
      <c r="G1607" s="44">
        <v>15423</v>
      </c>
      <c r="H1607" s="44">
        <v>15645</v>
      </c>
      <c r="I1607" s="44">
        <v>26</v>
      </c>
      <c r="J1607" s="44">
        <v>0.17</v>
      </c>
      <c r="K1607" s="44">
        <v>141</v>
      </c>
      <c r="L1607" s="44">
        <v>15656</v>
      </c>
      <c r="M1607" s="44">
        <v>746</v>
      </c>
    </row>
    <row r="1608" spans="1:13" x14ac:dyDescent="0.25">
      <c r="A1608" s="45" t="s">
        <v>2594</v>
      </c>
      <c r="B1608" s="44" t="s">
        <v>4879</v>
      </c>
      <c r="C1608" s="47"/>
    </row>
    <row r="1609" spans="1:13" x14ac:dyDescent="0.25">
      <c r="A1609" s="45" t="s">
        <v>2595</v>
      </c>
      <c r="B1609" s="44" t="s">
        <v>4880</v>
      </c>
      <c r="C1609" s="47"/>
    </row>
    <row r="1610" spans="1:13" x14ac:dyDescent="0.25">
      <c r="A1610" s="45" t="s">
        <v>2596</v>
      </c>
      <c r="B1610" s="44" t="s">
        <v>4881</v>
      </c>
      <c r="C1610" s="47">
        <v>44250</v>
      </c>
      <c r="D1610" s="44">
        <v>202105</v>
      </c>
      <c r="E1610" s="44">
        <v>16111</v>
      </c>
      <c r="F1610" s="44">
        <v>16320</v>
      </c>
      <c r="G1610" s="44">
        <v>16065</v>
      </c>
      <c r="H1610" s="44">
        <v>16310</v>
      </c>
      <c r="I1610" s="44">
        <v>43</v>
      </c>
      <c r="J1610" s="44">
        <v>0.26</v>
      </c>
      <c r="K1610" s="44">
        <v>609</v>
      </c>
      <c r="L1610" s="44">
        <v>16310</v>
      </c>
      <c r="M1610" s="44">
        <v>694</v>
      </c>
    </row>
    <row r="1611" spans="1:13" x14ac:dyDescent="0.25">
      <c r="A1611" s="45" t="s">
        <v>2597</v>
      </c>
      <c r="B1611" s="44" t="s">
        <v>4882</v>
      </c>
      <c r="C1611" s="47">
        <v>44250</v>
      </c>
      <c r="D1611" s="44">
        <v>202105</v>
      </c>
      <c r="E1611" s="44">
        <v>16111</v>
      </c>
      <c r="F1611" s="44">
        <v>16320</v>
      </c>
      <c r="G1611" s="44">
        <v>16065</v>
      </c>
      <c r="H1611" s="44">
        <v>16310</v>
      </c>
      <c r="I1611" s="44">
        <v>43</v>
      </c>
      <c r="J1611" s="44">
        <v>0.26</v>
      </c>
      <c r="K1611" s="44">
        <v>609</v>
      </c>
      <c r="L1611" s="44">
        <v>16310</v>
      </c>
      <c r="M1611" s="44">
        <v>694</v>
      </c>
    </row>
    <row r="1612" spans="1:13" x14ac:dyDescent="0.25">
      <c r="A1612" s="45" t="s">
        <v>2598</v>
      </c>
      <c r="B1612" s="44" t="s">
        <v>4883</v>
      </c>
      <c r="C1612" s="47"/>
    </row>
    <row r="1613" spans="1:13" x14ac:dyDescent="0.25">
      <c r="A1613" s="45" t="s">
        <v>2599</v>
      </c>
      <c r="B1613" s="44" t="s">
        <v>4884</v>
      </c>
      <c r="C1613" s="47"/>
    </row>
    <row r="1614" spans="1:13" x14ac:dyDescent="0.25">
      <c r="A1614" s="45" t="s">
        <v>1108</v>
      </c>
      <c r="B1614" s="44" t="s">
        <v>4885</v>
      </c>
      <c r="C1614" s="47">
        <v>44250</v>
      </c>
      <c r="D1614" s="44">
        <v>202103</v>
      </c>
      <c r="E1614" s="44">
        <v>85.5</v>
      </c>
      <c r="F1614" s="44">
        <v>87.4</v>
      </c>
      <c r="G1614" s="44">
        <v>85.1</v>
      </c>
      <c r="H1614" s="44">
        <v>86.7</v>
      </c>
      <c r="I1614" s="44">
        <v>1</v>
      </c>
      <c r="J1614" s="44">
        <v>1.17</v>
      </c>
      <c r="K1614" s="44">
        <v>230</v>
      </c>
      <c r="L1614" s="44">
        <v>86.7</v>
      </c>
      <c r="M1614" s="44">
        <v>607</v>
      </c>
    </row>
    <row r="1615" spans="1:13" x14ac:dyDescent="0.25">
      <c r="A1615" s="45" t="s">
        <v>2600</v>
      </c>
      <c r="B1615" s="44" t="s">
        <v>4886</v>
      </c>
      <c r="C1615" s="47">
        <v>44250</v>
      </c>
      <c r="D1615" s="44">
        <v>202103</v>
      </c>
      <c r="E1615" s="44">
        <v>85.5</v>
      </c>
      <c r="F1615" s="44">
        <v>87.4</v>
      </c>
      <c r="G1615" s="44">
        <v>85.1</v>
      </c>
      <c r="H1615" s="44">
        <v>86.7</v>
      </c>
      <c r="I1615" s="44">
        <v>1</v>
      </c>
      <c r="J1615" s="44">
        <v>1.17</v>
      </c>
      <c r="K1615" s="44">
        <v>230</v>
      </c>
      <c r="L1615" s="44">
        <v>86.7</v>
      </c>
      <c r="M1615" s="44">
        <v>607</v>
      </c>
    </row>
    <row r="1616" spans="1:13" x14ac:dyDescent="0.25">
      <c r="A1616" s="45" t="s">
        <v>2601</v>
      </c>
      <c r="B1616" s="44" t="s">
        <v>4887</v>
      </c>
      <c r="C1616" s="47">
        <v>44250</v>
      </c>
      <c r="D1616" s="44">
        <v>202104</v>
      </c>
      <c r="E1616" s="44">
        <v>85.5</v>
      </c>
      <c r="F1616" s="44">
        <v>85.5</v>
      </c>
      <c r="G1616" s="44">
        <v>85.2</v>
      </c>
      <c r="H1616" s="44">
        <v>85.2</v>
      </c>
      <c r="I1616" s="44">
        <v>0</v>
      </c>
      <c r="J1616" s="44">
        <v>0</v>
      </c>
      <c r="K1616" s="44">
        <v>100</v>
      </c>
      <c r="L1616" s="44">
        <v>86.6</v>
      </c>
      <c r="M1616" s="44">
        <v>203</v>
      </c>
    </row>
    <row r="1617" spans="1:13" x14ac:dyDescent="0.25">
      <c r="A1617" s="45" t="s">
        <v>2602</v>
      </c>
      <c r="B1617" s="44" t="s">
        <v>4888</v>
      </c>
      <c r="C1617" s="47">
        <v>44250</v>
      </c>
      <c r="D1617" s="44">
        <v>202104</v>
      </c>
      <c r="E1617" s="44">
        <v>85.5</v>
      </c>
      <c r="F1617" s="44">
        <v>85.5</v>
      </c>
      <c r="G1617" s="44">
        <v>85.2</v>
      </c>
      <c r="H1617" s="44">
        <v>85.2</v>
      </c>
      <c r="I1617" s="44">
        <v>0</v>
      </c>
      <c r="J1617" s="44">
        <v>0</v>
      </c>
      <c r="K1617" s="44">
        <v>100</v>
      </c>
      <c r="L1617" s="44">
        <v>86.6</v>
      </c>
      <c r="M1617" s="44">
        <v>203</v>
      </c>
    </row>
    <row r="1618" spans="1:13" x14ac:dyDescent="0.25">
      <c r="A1618" s="45" t="s">
        <v>2603</v>
      </c>
      <c r="C1618" s="47"/>
    </row>
    <row r="1619" spans="1:13" x14ac:dyDescent="0.25">
      <c r="A1619" s="45" t="s">
        <v>2604</v>
      </c>
      <c r="C1619" s="47"/>
    </row>
    <row r="1620" spans="1:13" x14ac:dyDescent="0.25">
      <c r="A1620" s="45" t="s">
        <v>2605</v>
      </c>
      <c r="B1620" s="44" t="s">
        <v>4889</v>
      </c>
      <c r="C1620" s="47">
        <v>44250</v>
      </c>
      <c r="D1620" s="44">
        <v>202103</v>
      </c>
      <c r="E1620" s="44">
        <v>85.5</v>
      </c>
      <c r="F1620" s="44">
        <v>87.4</v>
      </c>
      <c r="G1620" s="44">
        <v>85.1</v>
      </c>
      <c r="H1620" s="44">
        <v>86.7</v>
      </c>
      <c r="I1620" s="44">
        <v>1</v>
      </c>
      <c r="J1620" s="44">
        <v>1.17</v>
      </c>
      <c r="K1620" s="44">
        <v>230</v>
      </c>
      <c r="L1620" s="44">
        <v>86.7</v>
      </c>
      <c r="M1620" s="44">
        <v>607</v>
      </c>
    </row>
    <row r="1621" spans="1:13" x14ac:dyDescent="0.25">
      <c r="A1621" s="45" t="s">
        <v>2606</v>
      </c>
      <c r="B1621" s="44" t="s">
        <v>4890</v>
      </c>
      <c r="C1621" s="47">
        <v>44250</v>
      </c>
      <c r="D1621" s="44">
        <v>202106</v>
      </c>
      <c r="E1621" s="44">
        <v>85.9</v>
      </c>
      <c r="F1621" s="44">
        <v>85.9</v>
      </c>
      <c r="G1621" s="44">
        <v>85.9</v>
      </c>
      <c r="H1621" s="44">
        <v>85.9</v>
      </c>
      <c r="I1621" s="44">
        <v>1</v>
      </c>
      <c r="J1621" s="44">
        <v>1.18</v>
      </c>
      <c r="K1621" s="44">
        <v>0</v>
      </c>
      <c r="L1621" s="44">
        <v>85.9</v>
      </c>
      <c r="M1621" s="44">
        <v>0</v>
      </c>
    </row>
    <row r="1622" spans="1:13" x14ac:dyDescent="0.25">
      <c r="A1622" s="45" t="s">
        <v>2607</v>
      </c>
      <c r="B1622" s="44" t="s">
        <v>4891</v>
      </c>
      <c r="C1622" s="47">
        <v>44250</v>
      </c>
      <c r="D1622" s="44">
        <v>202109</v>
      </c>
      <c r="E1622" s="44">
        <v>86</v>
      </c>
      <c r="F1622" s="44">
        <v>86</v>
      </c>
      <c r="G1622" s="44">
        <v>86</v>
      </c>
      <c r="H1622" s="44">
        <v>86</v>
      </c>
      <c r="I1622" s="44">
        <v>1</v>
      </c>
      <c r="J1622" s="44">
        <v>1.18</v>
      </c>
      <c r="K1622" s="44">
        <v>0</v>
      </c>
      <c r="L1622" s="44">
        <v>86</v>
      </c>
      <c r="M1622" s="44">
        <v>0</v>
      </c>
    </row>
    <row r="1623" spans="1:13" x14ac:dyDescent="0.25">
      <c r="A1623" s="45" t="s">
        <v>2608</v>
      </c>
      <c r="B1623" s="44" t="s">
        <v>4892</v>
      </c>
      <c r="C1623" s="47">
        <v>44250</v>
      </c>
      <c r="D1623" s="44">
        <v>202112</v>
      </c>
      <c r="E1623" s="44">
        <v>86.3</v>
      </c>
      <c r="F1623" s="44">
        <v>86.3</v>
      </c>
      <c r="G1623" s="44">
        <v>86.3</v>
      </c>
      <c r="H1623" s="44">
        <v>86.3</v>
      </c>
      <c r="I1623" s="44">
        <v>1</v>
      </c>
      <c r="J1623" s="44">
        <v>1.17</v>
      </c>
      <c r="K1623" s="44">
        <v>0</v>
      </c>
      <c r="L1623" s="44">
        <v>86.3</v>
      </c>
      <c r="M1623" s="44">
        <v>0</v>
      </c>
    </row>
    <row r="1624" spans="1:13" x14ac:dyDescent="0.25">
      <c r="A1624" s="45" t="s">
        <v>904</v>
      </c>
      <c r="B1624" s="44" t="s">
        <v>4893</v>
      </c>
      <c r="C1624" s="47">
        <v>44250</v>
      </c>
      <c r="D1624" s="44">
        <v>202103</v>
      </c>
      <c r="E1624" s="44">
        <v>277</v>
      </c>
      <c r="F1624" s="44">
        <v>277</v>
      </c>
      <c r="G1624" s="44">
        <v>277</v>
      </c>
      <c r="H1624" s="44">
        <v>277</v>
      </c>
      <c r="I1624" s="44">
        <v>-3</v>
      </c>
      <c r="J1624" s="44">
        <v>-1.07</v>
      </c>
      <c r="K1624" s="44">
        <v>0</v>
      </c>
      <c r="L1624" s="44">
        <v>277</v>
      </c>
      <c r="M1624" s="44">
        <v>0</v>
      </c>
    </row>
    <row r="1625" spans="1:13" x14ac:dyDescent="0.25">
      <c r="A1625" s="45" t="s">
        <v>2609</v>
      </c>
      <c r="B1625" s="44" t="s">
        <v>4894</v>
      </c>
      <c r="C1625" s="47">
        <v>44250</v>
      </c>
      <c r="D1625" s="44">
        <v>202103</v>
      </c>
      <c r="E1625" s="44">
        <v>277</v>
      </c>
      <c r="F1625" s="44">
        <v>277</v>
      </c>
      <c r="G1625" s="44">
        <v>277</v>
      </c>
      <c r="H1625" s="44">
        <v>277</v>
      </c>
      <c r="I1625" s="44">
        <v>-3</v>
      </c>
      <c r="J1625" s="44">
        <v>-1.07</v>
      </c>
      <c r="K1625" s="44">
        <v>0</v>
      </c>
      <c r="L1625" s="44">
        <v>277</v>
      </c>
      <c r="M1625" s="44">
        <v>0</v>
      </c>
    </row>
    <row r="1626" spans="1:13" x14ac:dyDescent="0.25">
      <c r="A1626" s="45" t="s">
        <v>2610</v>
      </c>
      <c r="B1626" s="44" t="s">
        <v>4895</v>
      </c>
      <c r="C1626" s="47">
        <v>44250</v>
      </c>
      <c r="D1626" s="44">
        <v>202104</v>
      </c>
      <c r="E1626" s="44">
        <v>275.5</v>
      </c>
      <c r="F1626" s="44">
        <v>275.5</v>
      </c>
      <c r="G1626" s="44">
        <v>275.5</v>
      </c>
      <c r="H1626" s="44">
        <v>275.5</v>
      </c>
      <c r="I1626" s="44">
        <v>-3</v>
      </c>
      <c r="J1626" s="44">
        <v>-1.08</v>
      </c>
      <c r="K1626" s="44">
        <v>0</v>
      </c>
      <c r="L1626" s="44">
        <v>275.5</v>
      </c>
      <c r="M1626" s="44">
        <v>0</v>
      </c>
    </row>
    <row r="1627" spans="1:13" x14ac:dyDescent="0.25">
      <c r="A1627" s="45" t="s">
        <v>2611</v>
      </c>
      <c r="B1627" s="44" t="s">
        <v>4896</v>
      </c>
      <c r="C1627" s="47">
        <v>44250</v>
      </c>
      <c r="D1627" s="44">
        <v>202104</v>
      </c>
      <c r="E1627" s="44">
        <v>275.5</v>
      </c>
      <c r="F1627" s="44">
        <v>275.5</v>
      </c>
      <c r="G1627" s="44">
        <v>275.5</v>
      </c>
      <c r="H1627" s="44">
        <v>275.5</v>
      </c>
      <c r="I1627" s="44">
        <v>-3</v>
      </c>
      <c r="J1627" s="44">
        <v>-1.08</v>
      </c>
      <c r="K1627" s="44">
        <v>0</v>
      </c>
      <c r="L1627" s="44">
        <v>275.5</v>
      </c>
      <c r="M1627" s="44">
        <v>0</v>
      </c>
    </row>
    <row r="1628" spans="1:13" x14ac:dyDescent="0.25">
      <c r="A1628" s="45" t="s">
        <v>2612</v>
      </c>
      <c r="C1628" s="47"/>
    </row>
    <row r="1629" spans="1:13" x14ac:dyDescent="0.25">
      <c r="A1629" s="45" t="s">
        <v>2613</v>
      </c>
      <c r="B1629" s="44" t="s">
        <v>4897</v>
      </c>
      <c r="C1629" s="47">
        <v>44250</v>
      </c>
      <c r="D1629" s="44">
        <v>202103</v>
      </c>
      <c r="E1629" s="44">
        <v>277</v>
      </c>
      <c r="F1629" s="44">
        <v>277</v>
      </c>
      <c r="G1629" s="44">
        <v>277</v>
      </c>
      <c r="H1629" s="44">
        <v>277</v>
      </c>
      <c r="I1629" s="44">
        <v>-3</v>
      </c>
      <c r="J1629" s="44">
        <v>-1.07</v>
      </c>
      <c r="K1629" s="44">
        <v>0</v>
      </c>
      <c r="L1629" s="44">
        <v>277</v>
      </c>
      <c r="M1629" s="44">
        <v>0</v>
      </c>
    </row>
    <row r="1630" spans="1:13" x14ac:dyDescent="0.25">
      <c r="A1630" s="45" t="s">
        <v>2614</v>
      </c>
      <c r="B1630" s="44" t="s">
        <v>4898</v>
      </c>
      <c r="C1630" s="47">
        <v>44250</v>
      </c>
      <c r="D1630" s="44">
        <v>202106</v>
      </c>
      <c r="E1630" s="44">
        <v>276</v>
      </c>
      <c r="F1630" s="44">
        <v>276</v>
      </c>
      <c r="G1630" s="44">
        <v>276</v>
      </c>
      <c r="H1630" s="44">
        <v>276</v>
      </c>
      <c r="I1630" s="44">
        <v>-3</v>
      </c>
      <c r="J1630" s="44">
        <v>-1.08</v>
      </c>
      <c r="K1630" s="44">
        <v>0</v>
      </c>
      <c r="L1630" s="44">
        <v>276</v>
      </c>
      <c r="M1630" s="44">
        <v>0</v>
      </c>
    </row>
    <row r="1631" spans="1:13" x14ac:dyDescent="0.25">
      <c r="A1631" s="45" t="s">
        <v>2615</v>
      </c>
      <c r="B1631" s="44" t="s">
        <v>4899</v>
      </c>
      <c r="C1631" s="47">
        <v>44250</v>
      </c>
      <c r="D1631" s="44">
        <v>202109</v>
      </c>
      <c r="E1631" s="44">
        <v>277.5</v>
      </c>
      <c r="F1631" s="44">
        <v>277.5</v>
      </c>
      <c r="G1631" s="44">
        <v>277.5</v>
      </c>
      <c r="H1631" s="44">
        <v>277.5</v>
      </c>
      <c r="I1631" s="44">
        <v>-3</v>
      </c>
      <c r="J1631" s="44">
        <v>-1.07</v>
      </c>
      <c r="K1631" s="44">
        <v>0</v>
      </c>
      <c r="L1631" s="44">
        <v>277.5</v>
      </c>
      <c r="M1631" s="44">
        <v>0</v>
      </c>
    </row>
    <row r="1632" spans="1:13" x14ac:dyDescent="0.25">
      <c r="A1632" s="45" t="s">
        <v>2616</v>
      </c>
      <c r="B1632" s="44" t="s">
        <v>4900</v>
      </c>
      <c r="C1632" s="47">
        <v>44250</v>
      </c>
      <c r="D1632" s="44">
        <v>202112</v>
      </c>
      <c r="E1632" s="44">
        <v>278</v>
      </c>
      <c r="F1632" s="44">
        <v>278</v>
      </c>
      <c r="G1632" s="44">
        <v>278</v>
      </c>
      <c r="H1632" s="44">
        <v>278</v>
      </c>
      <c r="I1632" s="44">
        <v>-3</v>
      </c>
      <c r="J1632" s="44">
        <v>-1.07</v>
      </c>
      <c r="K1632" s="44">
        <v>0</v>
      </c>
      <c r="L1632" s="44">
        <v>278</v>
      </c>
      <c r="M1632" s="44">
        <v>0</v>
      </c>
    </row>
    <row r="1633" spans="1:13" x14ac:dyDescent="0.25">
      <c r="A1633" s="45" t="s">
        <v>1012</v>
      </c>
      <c r="B1633" s="44" t="s">
        <v>4901</v>
      </c>
      <c r="C1633" s="47">
        <v>44250</v>
      </c>
      <c r="D1633" s="44">
        <v>202103</v>
      </c>
      <c r="E1633" s="44">
        <v>414.5</v>
      </c>
      <c r="F1633" s="44">
        <v>416.5</v>
      </c>
      <c r="G1633" s="44">
        <v>405</v>
      </c>
      <c r="H1633" s="44">
        <v>407</v>
      </c>
      <c r="I1633" s="44">
        <v>-7</v>
      </c>
      <c r="J1633" s="44">
        <v>-1.69</v>
      </c>
      <c r="K1633" s="44">
        <v>362</v>
      </c>
      <c r="L1633" s="44">
        <v>409</v>
      </c>
      <c r="M1633" s="44">
        <v>628</v>
      </c>
    </row>
    <row r="1634" spans="1:13" x14ac:dyDescent="0.25">
      <c r="A1634" s="45" t="s">
        <v>2617</v>
      </c>
      <c r="B1634" s="44" t="s">
        <v>4902</v>
      </c>
      <c r="C1634" s="47">
        <v>44250</v>
      </c>
      <c r="D1634" s="44">
        <v>202103</v>
      </c>
      <c r="E1634" s="44">
        <v>414.5</v>
      </c>
      <c r="F1634" s="44">
        <v>416.5</v>
      </c>
      <c r="G1634" s="44">
        <v>405</v>
      </c>
      <c r="H1634" s="44">
        <v>407</v>
      </c>
      <c r="I1634" s="44">
        <v>-7</v>
      </c>
      <c r="J1634" s="44">
        <v>-1.69</v>
      </c>
      <c r="K1634" s="44">
        <v>362</v>
      </c>
      <c r="L1634" s="44">
        <v>409</v>
      </c>
      <c r="M1634" s="44">
        <v>628</v>
      </c>
    </row>
    <row r="1635" spans="1:13" x14ac:dyDescent="0.25">
      <c r="A1635" s="45" t="s">
        <v>2618</v>
      </c>
      <c r="B1635" s="44" t="s">
        <v>4903</v>
      </c>
      <c r="C1635" s="47">
        <v>44250</v>
      </c>
      <c r="D1635" s="44">
        <v>202104</v>
      </c>
      <c r="E1635" s="44">
        <v>414</v>
      </c>
      <c r="F1635" s="44">
        <v>414</v>
      </c>
      <c r="G1635" s="44">
        <v>405</v>
      </c>
      <c r="H1635" s="44">
        <v>405</v>
      </c>
      <c r="I1635" s="44">
        <v>-6</v>
      </c>
      <c r="J1635" s="44">
        <v>-1.46</v>
      </c>
      <c r="K1635" s="44">
        <v>5</v>
      </c>
      <c r="L1635" s="44">
        <v>407</v>
      </c>
      <c r="M1635" s="44">
        <v>10</v>
      </c>
    </row>
    <row r="1636" spans="1:13" x14ac:dyDescent="0.25">
      <c r="A1636" s="45" t="s">
        <v>2619</v>
      </c>
      <c r="B1636" s="44" t="s">
        <v>4904</v>
      </c>
      <c r="C1636" s="47">
        <v>44250</v>
      </c>
      <c r="D1636" s="44">
        <v>202104</v>
      </c>
      <c r="E1636" s="44">
        <v>414</v>
      </c>
      <c r="F1636" s="44">
        <v>414</v>
      </c>
      <c r="G1636" s="44">
        <v>405</v>
      </c>
      <c r="H1636" s="44">
        <v>405</v>
      </c>
      <c r="I1636" s="44">
        <v>-6</v>
      </c>
      <c r="J1636" s="44">
        <v>-1.46</v>
      </c>
      <c r="K1636" s="44">
        <v>5</v>
      </c>
      <c r="L1636" s="44">
        <v>407</v>
      </c>
      <c r="M1636" s="44">
        <v>10</v>
      </c>
    </row>
    <row r="1637" spans="1:13" x14ac:dyDescent="0.25">
      <c r="A1637" s="45" t="s">
        <v>2620</v>
      </c>
      <c r="C1637" s="47"/>
    </row>
    <row r="1638" spans="1:13" x14ac:dyDescent="0.25">
      <c r="A1638" s="45" t="s">
        <v>2621</v>
      </c>
      <c r="C1638" s="47"/>
    </row>
    <row r="1639" spans="1:13" x14ac:dyDescent="0.25">
      <c r="A1639" s="45" t="s">
        <v>2622</v>
      </c>
      <c r="B1639" s="44" t="s">
        <v>4905</v>
      </c>
      <c r="C1639" s="47">
        <v>44250</v>
      </c>
      <c r="D1639" s="44">
        <v>202103</v>
      </c>
      <c r="E1639" s="44">
        <v>414.5</v>
      </c>
      <c r="F1639" s="44">
        <v>416.5</v>
      </c>
      <c r="G1639" s="44">
        <v>405</v>
      </c>
      <c r="H1639" s="44">
        <v>407</v>
      </c>
      <c r="I1639" s="44">
        <v>-7</v>
      </c>
      <c r="J1639" s="44">
        <v>-1.69</v>
      </c>
      <c r="K1639" s="44">
        <v>362</v>
      </c>
      <c r="L1639" s="44">
        <v>409</v>
      </c>
      <c r="M1639" s="44">
        <v>628</v>
      </c>
    </row>
    <row r="1640" spans="1:13" x14ac:dyDescent="0.25">
      <c r="A1640" s="45" t="s">
        <v>2623</v>
      </c>
      <c r="B1640" s="44" t="s">
        <v>4906</v>
      </c>
      <c r="C1640" s="47">
        <v>44250</v>
      </c>
      <c r="D1640" s="44">
        <v>202106</v>
      </c>
      <c r="E1640" s="44">
        <v>405</v>
      </c>
      <c r="F1640" s="44">
        <v>405</v>
      </c>
      <c r="G1640" s="44">
        <v>405</v>
      </c>
      <c r="H1640" s="44">
        <v>405</v>
      </c>
      <c r="I1640" s="44">
        <v>-5</v>
      </c>
      <c r="J1640" s="44">
        <v>-1.22</v>
      </c>
      <c r="K1640" s="44">
        <v>0</v>
      </c>
      <c r="L1640" s="44">
        <v>405</v>
      </c>
      <c r="M1640" s="44">
        <v>1</v>
      </c>
    </row>
    <row r="1641" spans="1:13" x14ac:dyDescent="0.25">
      <c r="A1641" s="45" t="s">
        <v>2624</v>
      </c>
      <c r="B1641" s="44" t="s">
        <v>4907</v>
      </c>
      <c r="C1641" s="47">
        <v>44250</v>
      </c>
      <c r="D1641" s="44">
        <v>202109</v>
      </c>
      <c r="E1641" s="44">
        <v>406</v>
      </c>
      <c r="F1641" s="44">
        <v>406</v>
      </c>
      <c r="G1641" s="44">
        <v>406</v>
      </c>
      <c r="H1641" s="44">
        <v>406</v>
      </c>
      <c r="I1641" s="44">
        <v>-5</v>
      </c>
      <c r="J1641" s="44">
        <v>-1.22</v>
      </c>
      <c r="K1641" s="44">
        <v>0</v>
      </c>
      <c r="L1641" s="44">
        <v>406</v>
      </c>
      <c r="M1641" s="44">
        <v>1</v>
      </c>
    </row>
    <row r="1642" spans="1:13" x14ac:dyDescent="0.25">
      <c r="A1642" s="45" t="s">
        <v>2625</v>
      </c>
      <c r="B1642" s="44" t="s">
        <v>4908</v>
      </c>
      <c r="C1642" s="47">
        <v>44250</v>
      </c>
      <c r="D1642" s="44">
        <v>202112</v>
      </c>
      <c r="E1642" s="44">
        <v>406</v>
      </c>
      <c r="F1642" s="44">
        <v>406</v>
      </c>
      <c r="G1642" s="44">
        <v>406</v>
      </c>
      <c r="H1642" s="44">
        <v>406</v>
      </c>
      <c r="I1642" s="44">
        <v>-5</v>
      </c>
      <c r="J1642" s="44">
        <v>-1.22</v>
      </c>
      <c r="K1642" s="44">
        <v>0</v>
      </c>
      <c r="L1642" s="44">
        <v>406</v>
      </c>
      <c r="M1642" s="44">
        <v>0</v>
      </c>
    </row>
    <row r="1643" spans="1:13" x14ac:dyDescent="0.25">
      <c r="A1643" s="45" t="s">
        <v>1014</v>
      </c>
      <c r="B1643" s="44" t="s">
        <v>4909</v>
      </c>
      <c r="C1643" s="47">
        <v>44250</v>
      </c>
      <c r="D1643" s="44">
        <v>202103</v>
      </c>
      <c r="E1643" s="44">
        <v>487.5</v>
      </c>
      <c r="F1643" s="44">
        <v>487.5</v>
      </c>
      <c r="G1643" s="44">
        <v>481.5</v>
      </c>
      <c r="H1643" s="44">
        <v>481.5</v>
      </c>
      <c r="I1643" s="44">
        <v>-8.5</v>
      </c>
      <c r="J1643" s="44">
        <v>-1.73</v>
      </c>
      <c r="K1643" s="44">
        <v>2</v>
      </c>
      <c r="L1643" s="44">
        <v>481.5</v>
      </c>
      <c r="M1643" s="44">
        <v>26</v>
      </c>
    </row>
    <row r="1644" spans="1:13" x14ac:dyDescent="0.25">
      <c r="A1644" s="45" t="s">
        <v>2626</v>
      </c>
      <c r="B1644" s="44" t="s">
        <v>4910</v>
      </c>
      <c r="C1644" s="47">
        <v>44250</v>
      </c>
      <c r="D1644" s="44">
        <v>202103</v>
      </c>
      <c r="E1644" s="44">
        <v>487.5</v>
      </c>
      <c r="F1644" s="44">
        <v>487.5</v>
      </c>
      <c r="G1644" s="44">
        <v>481.5</v>
      </c>
      <c r="H1644" s="44">
        <v>481.5</v>
      </c>
      <c r="I1644" s="44">
        <v>-8.5</v>
      </c>
      <c r="J1644" s="44">
        <v>-1.73</v>
      </c>
      <c r="K1644" s="44">
        <v>2</v>
      </c>
      <c r="L1644" s="44">
        <v>481.5</v>
      </c>
      <c r="M1644" s="44">
        <v>26</v>
      </c>
    </row>
    <row r="1645" spans="1:13" x14ac:dyDescent="0.25">
      <c r="A1645" s="45" t="s">
        <v>2627</v>
      </c>
      <c r="B1645" s="44" t="s">
        <v>4911</v>
      </c>
      <c r="C1645" s="47">
        <v>44250</v>
      </c>
      <c r="D1645" s="44">
        <v>202104</v>
      </c>
      <c r="E1645" s="44">
        <v>485.5</v>
      </c>
      <c r="F1645" s="44">
        <v>485.5</v>
      </c>
      <c r="G1645" s="44">
        <v>485.5</v>
      </c>
      <c r="H1645" s="44">
        <v>485.5</v>
      </c>
      <c r="I1645" s="44">
        <v>-8.5</v>
      </c>
      <c r="J1645" s="44">
        <v>-1.72</v>
      </c>
      <c r="K1645" s="44">
        <v>0</v>
      </c>
      <c r="L1645" s="44">
        <v>485.5</v>
      </c>
      <c r="M1645" s="44">
        <v>0</v>
      </c>
    </row>
    <row r="1646" spans="1:13" x14ac:dyDescent="0.25">
      <c r="A1646" s="45" t="s">
        <v>2628</v>
      </c>
      <c r="B1646" s="44" t="s">
        <v>4912</v>
      </c>
      <c r="C1646" s="47">
        <v>44250</v>
      </c>
      <c r="D1646" s="44">
        <v>202104</v>
      </c>
      <c r="E1646" s="44">
        <v>485.5</v>
      </c>
      <c r="F1646" s="44">
        <v>485.5</v>
      </c>
      <c r="G1646" s="44">
        <v>485.5</v>
      </c>
      <c r="H1646" s="44">
        <v>485.5</v>
      </c>
      <c r="I1646" s="44">
        <v>-8.5</v>
      </c>
      <c r="J1646" s="44">
        <v>-1.72</v>
      </c>
      <c r="K1646" s="44">
        <v>0</v>
      </c>
      <c r="L1646" s="44">
        <v>485.5</v>
      </c>
      <c r="M1646" s="44">
        <v>0</v>
      </c>
    </row>
    <row r="1647" spans="1:13" x14ac:dyDescent="0.25">
      <c r="A1647" s="45" t="s">
        <v>2629</v>
      </c>
      <c r="C1647" s="47"/>
    </row>
    <row r="1648" spans="1:13" x14ac:dyDescent="0.25">
      <c r="A1648" s="45" t="s">
        <v>2630</v>
      </c>
      <c r="C1648" s="47"/>
    </row>
    <row r="1649" spans="1:13" x14ac:dyDescent="0.25">
      <c r="A1649" s="45" t="s">
        <v>2631</v>
      </c>
      <c r="B1649" s="44" t="s">
        <v>4913</v>
      </c>
      <c r="C1649" s="47">
        <v>44250</v>
      </c>
      <c r="D1649" s="44">
        <v>202103</v>
      </c>
      <c r="E1649" s="44">
        <v>487.5</v>
      </c>
      <c r="F1649" s="44">
        <v>487.5</v>
      </c>
      <c r="G1649" s="44">
        <v>481.5</v>
      </c>
      <c r="H1649" s="44">
        <v>481.5</v>
      </c>
      <c r="I1649" s="44">
        <v>-8.5</v>
      </c>
      <c r="J1649" s="44">
        <v>-1.73</v>
      </c>
      <c r="K1649" s="44">
        <v>2</v>
      </c>
      <c r="L1649" s="44">
        <v>481.5</v>
      </c>
      <c r="M1649" s="44">
        <v>26</v>
      </c>
    </row>
    <row r="1650" spans="1:13" x14ac:dyDescent="0.25">
      <c r="A1650" s="45" t="s">
        <v>2632</v>
      </c>
      <c r="B1650" s="44" t="s">
        <v>4914</v>
      </c>
      <c r="C1650" s="47">
        <v>44250</v>
      </c>
      <c r="D1650" s="44">
        <v>202106</v>
      </c>
      <c r="E1650" s="44">
        <v>490</v>
      </c>
      <c r="F1650" s="44">
        <v>490</v>
      </c>
      <c r="G1650" s="44">
        <v>490</v>
      </c>
      <c r="H1650" s="44">
        <v>490</v>
      </c>
      <c r="I1650" s="44">
        <v>-8.5</v>
      </c>
      <c r="J1650" s="44">
        <v>-1.71</v>
      </c>
      <c r="K1650" s="44">
        <v>0</v>
      </c>
      <c r="L1650" s="44">
        <v>490</v>
      </c>
      <c r="M1650" s="44">
        <v>2</v>
      </c>
    </row>
    <row r="1651" spans="1:13" x14ac:dyDescent="0.25">
      <c r="A1651" s="45" t="s">
        <v>2633</v>
      </c>
      <c r="B1651" s="44" t="s">
        <v>4915</v>
      </c>
      <c r="C1651" s="47">
        <v>44250</v>
      </c>
      <c r="D1651" s="44">
        <v>202109</v>
      </c>
      <c r="E1651" s="44">
        <v>487</v>
      </c>
      <c r="F1651" s="44">
        <v>487</v>
      </c>
      <c r="G1651" s="44">
        <v>487</v>
      </c>
      <c r="H1651" s="44">
        <v>487</v>
      </c>
      <c r="I1651" s="44">
        <v>-8.5</v>
      </c>
      <c r="J1651" s="44">
        <v>-1.72</v>
      </c>
      <c r="K1651" s="44">
        <v>0</v>
      </c>
      <c r="L1651" s="44">
        <v>487</v>
      </c>
      <c r="M1651" s="44">
        <v>12</v>
      </c>
    </row>
    <row r="1652" spans="1:13" x14ac:dyDescent="0.25">
      <c r="A1652" s="45" t="s">
        <v>2634</v>
      </c>
      <c r="B1652" s="44" t="s">
        <v>4916</v>
      </c>
      <c r="C1652" s="47">
        <v>44250</v>
      </c>
      <c r="D1652" s="44">
        <v>202112</v>
      </c>
      <c r="E1652" s="44">
        <v>485</v>
      </c>
      <c r="F1652" s="44">
        <v>485</v>
      </c>
      <c r="G1652" s="44">
        <v>485</v>
      </c>
      <c r="H1652" s="44">
        <v>485</v>
      </c>
      <c r="I1652" s="44">
        <v>-8.5</v>
      </c>
      <c r="J1652" s="44">
        <v>-1.72</v>
      </c>
      <c r="K1652" s="44">
        <v>0</v>
      </c>
      <c r="L1652" s="44">
        <v>485</v>
      </c>
      <c r="M1652" s="44">
        <v>0</v>
      </c>
    </row>
    <row r="1653" spans="1:13" x14ac:dyDescent="0.25">
      <c r="A1653" s="45" t="s">
        <v>1016</v>
      </c>
      <c r="B1653" s="44" t="s">
        <v>4917</v>
      </c>
      <c r="C1653" s="47">
        <v>44250</v>
      </c>
      <c r="D1653" s="44">
        <v>202103</v>
      </c>
      <c r="E1653" s="44">
        <v>104.5</v>
      </c>
      <c r="F1653" s="44">
        <v>106.5</v>
      </c>
      <c r="G1653" s="44">
        <v>104.5</v>
      </c>
      <c r="H1653" s="44">
        <v>105</v>
      </c>
      <c r="I1653" s="44">
        <v>-2</v>
      </c>
      <c r="J1653" s="44">
        <v>-1.87</v>
      </c>
      <c r="K1653" s="44">
        <v>66</v>
      </c>
      <c r="L1653" s="44">
        <v>105</v>
      </c>
      <c r="M1653" s="44">
        <v>196</v>
      </c>
    </row>
    <row r="1654" spans="1:13" x14ac:dyDescent="0.25">
      <c r="A1654" s="45" t="s">
        <v>2635</v>
      </c>
      <c r="B1654" s="44" t="s">
        <v>4918</v>
      </c>
      <c r="C1654" s="47">
        <v>44250</v>
      </c>
      <c r="D1654" s="44">
        <v>202103</v>
      </c>
      <c r="E1654" s="44">
        <v>104.5</v>
      </c>
      <c r="F1654" s="44">
        <v>106.5</v>
      </c>
      <c r="G1654" s="44">
        <v>104.5</v>
      </c>
      <c r="H1654" s="44">
        <v>105</v>
      </c>
      <c r="I1654" s="44">
        <v>-2</v>
      </c>
      <c r="J1654" s="44">
        <v>-1.87</v>
      </c>
      <c r="K1654" s="44">
        <v>66</v>
      </c>
      <c r="L1654" s="44">
        <v>105</v>
      </c>
      <c r="M1654" s="44">
        <v>196</v>
      </c>
    </row>
    <row r="1655" spans="1:13" x14ac:dyDescent="0.25">
      <c r="A1655" s="45" t="s">
        <v>2636</v>
      </c>
      <c r="B1655" s="44" t="s">
        <v>4919</v>
      </c>
      <c r="C1655" s="47">
        <v>44250</v>
      </c>
      <c r="D1655" s="44">
        <v>202104</v>
      </c>
      <c r="E1655" s="44">
        <v>105</v>
      </c>
      <c r="F1655" s="44">
        <v>105</v>
      </c>
      <c r="G1655" s="44">
        <v>105</v>
      </c>
      <c r="H1655" s="44">
        <v>105</v>
      </c>
      <c r="I1655" s="44">
        <v>-2.5</v>
      </c>
      <c r="J1655" s="44">
        <v>-2.33</v>
      </c>
      <c r="K1655" s="44">
        <v>56</v>
      </c>
      <c r="L1655" s="44">
        <v>105</v>
      </c>
      <c r="M1655" s="44">
        <v>123</v>
      </c>
    </row>
    <row r="1656" spans="1:13" x14ac:dyDescent="0.25">
      <c r="A1656" s="45" t="s">
        <v>2637</v>
      </c>
      <c r="B1656" s="44" t="s">
        <v>4920</v>
      </c>
      <c r="C1656" s="47">
        <v>44250</v>
      </c>
      <c r="D1656" s="44">
        <v>202104</v>
      </c>
      <c r="E1656" s="44">
        <v>105</v>
      </c>
      <c r="F1656" s="44">
        <v>105</v>
      </c>
      <c r="G1656" s="44">
        <v>105</v>
      </c>
      <c r="H1656" s="44">
        <v>105</v>
      </c>
      <c r="I1656" s="44">
        <v>-2.5</v>
      </c>
      <c r="J1656" s="44">
        <v>-2.33</v>
      </c>
      <c r="K1656" s="44">
        <v>56</v>
      </c>
      <c r="L1656" s="44">
        <v>105</v>
      </c>
      <c r="M1656" s="44">
        <v>123</v>
      </c>
    </row>
    <row r="1657" spans="1:13" x14ac:dyDescent="0.25">
      <c r="A1657" s="45" t="s">
        <v>2638</v>
      </c>
      <c r="C1657" s="47"/>
    </row>
    <row r="1658" spans="1:13" x14ac:dyDescent="0.25">
      <c r="A1658" s="45" t="s">
        <v>2639</v>
      </c>
      <c r="C1658" s="47"/>
    </row>
    <row r="1659" spans="1:13" x14ac:dyDescent="0.25">
      <c r="A1659" s="45" t="s">
        <v>2640</v>
      </c>
      <c r="B1659" s="44" t="s">
        <v>4921</v>
      </c>
      <c r="C1659" s="47">
        <v>44250</v>
      </c>
      <c r="D1659" s="44">
        <v>202103</v>
      </c>
      <c r="E1659" s="44">
        <v>104.5</v>
      </c>
      <c r="F1659" s="44">
        <v>106.5</v>
      </c>
      <c r="G1659" s="44">
        <v>104.5</v>
      </c>
      <c r="H1659" s="44">
        <v>105</v>
      </c>
      <c r="I1659" s="44">
        <v>-2</v>
      </c>
      <c r="J1659" s="44">
        <v>-1.87</v>
      </c>
      <c r="K1659" s="44">
        <v>66</v>
      </c>
      <c r="L1659" s="44">
        <v>105</v>
      </c>
      <c r="M1659" s="44">
        <v>196</v>
      </c>
    </row>
    <row r="1660" spans="1:13" x14ac:dyDescent="0.25">
      <c r="A1660" s="45" t="s">
        <v>2641</v>
      </c>
      <c r="B1660" s="44" t="s">
        <v>4922</v>
      </c>
      <c r="C1660" s="47">
        <v>44250</v>
      </c>
      <c r="D1660" s="44">
        <v>202106</v>
      </c>
      <c r="E1660" s="44">
        <v>105</v>
      </c>
      <c r="F1660" s="44">
        <v>105</v>
      </c>
      <c r="G1660" s="44">
        <v>105</v>
      </c>
      <c r="H1660" s="44">
        <v>105</v>
      </c>
      <c r="I1660" s="44">
        <v>-2</v>
      </c>
      <c r="J1660" s="44">
        <v>-1.87</v>
      </c>
      <c r="K1660" s="44">
        <v>0</v>
      </c>
      <c r="L1660" s="44">
        <v>105</v>
      </c>
      <c r="M1660" s="44">
        <v>0</v>
      </c>
    </row>
    <row r="1661" spans="1:13" x14ac:dyDescent="0.25">
      <c r="A1661" s="45" t="s">
        <v>2642</v>
      </c>
      <c r="B1661" s="44" t="s">
        <v>4923</v>
      </c>
      <c r="C1661" s="47">
        <v>44250</v>
      </c>
      <c r="D1661" s="44">
        <v>202109</v>
      </c>
      <c r="E1661" s="44">
        <v>105.5</v>
      </c>
      <c r="F1661" s="44">
        <v>105.5</v>
      </c>
      <c r="G1661" s="44">
        <v>105.5</v>
      </c>
      <c r="H1661" s="44">
        <v>105.5</v>
      </c>
      <c r="I1661" s="44">
        <v>-2</v>
      </c>
      <c r="J1661" s="44">
        <v>-1.86</v>
      </c>
      <c r="K1661" s="44">
        <v>0</v>
      </c>
      <c r="L1661" s="44">
        <v>105.5</v>
      </c>
      <c r="M1661" s="44">
        <v>0</v>
      </c>
    </row>
    <row r="1662" spans="1:13" x14ac:dyDescent="0.25">
      <c r="A1662" s="45" t="s">
        <v>2643</v>
      </c>
      <c r="B1662" s="44" t="s">
        <v>4924</v>
      </c>
      <c r="C1662" s="47">
        <v>44250</v>
      </c>
      <c r="D1662" s="44">
        <v>202112</v>
      </c>
      <c r="E1662" s="44">
        <v>105.5</v>
      </c>
      <c r="F1662" s="44">
        <v>105.5</v>
      </c>
      <c r="G1662" s="44">
        <v>105.5</v>
      </c>
      <c r="H1662" s="44">
        <v>105.5</v>
      </c>
      <c r="I1662" s="44">
        <v>-2</v>
      </c>
      <c r="J1662" s="44">
        <v>-1.86</v>
      </c>
      <c r="K1662" s="44">
        <v>0</v>
      </c>
      <c r="L1662" s="44">
        <v>105.5</v>
      </c>
      <c r="M1662" s="44">
        <v>0</v>
      </c>
    </row>
    <row r="1663" spans="1:13" x14ac:dyDescent="0.25">
      <c r="A1663" s="45" t="s">
        <v>1019</v>
      </c>
      <c r="B1663" s="44" t="s">
        <v>4925</v>
      </c>
      <c r="C1663" s="47">
        <v>44250</v>
      </c>
      <c r="D1663" s="44">
        <v>202103</v>
      </c>
      <c r="E1663" s="44">
        <v>81.5</v>
      </c>
      <c r="F1663" s="44">
        <v>88.8</v>
      </c>
      <c r="G1663" s="44">
        <v>80.099999999999994</v>
      </c>
      <c r="H1663" s="44">
        <v>87.3</v>
      </c>
      <c r="I1663" s="44">
        <v>4.9000000000000004</v>
      </c>
      <c r="J1663" s="44">
        <v>5.95</v>
      </c>
      <c r="K1663" s="44">
        <v>1834</v>
      </c>
      <c r="L1663" s="44">
        <v>87.4</v>
      </c>
      <c r="M1663" s="44">
        <v>1148</v>
      </c>
    </row>
    <row r="1664" spans="1:13" x14ac:dyDescent="0.25">
      <c r="A1664" s="45" t="s">
        <v>2644</v>
      </c>
      <c r="B1664" s="44" t="s">
        <v>4926</v>
      </c>
      <c r="C1664" s="47">
        <v>44250</v>
      </c>
      <c r="D1664" s="44">
        <v>202103</v>
      </c>
      <c r="E1664" s="44">
        <v>81.5</v>
      </c>
      <c r="F1664" s="44">
        <v>88.8</v>
      </c>
      <c r="G1664" s="44">
        <v>80.099999999999994</v>
      </c>
      <c r="H1664" s="44">
        <v>87.3</v>
      </c>
      <c r="I1664" s="44">
        <v>4.9000000000000004</v>
      </c>
      <c r="J1664" s="44">
        <v>5.95</v>
      </c>
      <c r="K1664" s="44">
        <v>1834</v>
      </c>
      <c r="L1664" s="44">
        <v>87.4</v>
      </c>
      <c r="M1664" s="44">
        <v>1148</v>
      </c>
    </row>
    <row r="1665" spans="1:13" x14ac:dyDescent="0.25">
      <c r="A1665" s="45" t="s">
        <v>2645</v>
      </c>
      <c r="B1665" s="44" t="s">
        <v>4927</v>
      </c>
      <c r="C1665" s="47">
        <v>44250</v>
      </c>
      <c r="D1665" s="44">
        <v>202104</v>
      </c>
      <c r="E1665" s="44">
        <v>81.2</v>
      </c>
      <c r="F1665" s="44">
        <v>88.4</v>
      </c>
      <c r="G1665" s="44">
        <v>80</v>
      </c>
      <c r="H1665" s="44">
        <v>87.2</v>
      </c>
      <c r="I1665" s="44">
        <v>5.3</v>
      </c>
      <c r="J1665" s="44">
        <v>6.47</v>
      </c>
      <c r="K1665" s="44">
        <v>88</v>
      </c>
      <c r="L1665" s="44">
        <v>87.2</v>
      </c>
      <c r="M1665" s="44">
        <v>136</v>
      </c>
    </row>
    <row r="1666" spans="1:13" x14ac:dyDescent="0.25">
      <c r="A1666" s="45" t="s">
        <v>2646</v>
      </c>
      <c r="B1666" s="44" t="s">
        <v>4928</v>
      </c>
      <c r="C1666" s="47">
        <v>44250</v>
      </c>
      <c r="D1666" s="44">
        <v>202104</v>
      </c>
      <c r="E1666" s="44">
        <v>81.2</v>
      </c>
      <c r="F1666" s="44">
        <v>88.4</v>
      </c>
      <c r="G1666" s="44">
        <v>80</v>
      </c>
      <c r="H1666" s="44">
        <v>87.2</v>
      </c>
      <c r="I1666" s="44">
        <v>5.3</v>
      </c>
      <c r="J1666" s="44">
        <v>6.47</v>
      </c>
      <c r="K1666" s="44">
        <v>88</v>
      </c>
      <c r="L1666" s="44">
        <v>87.2</v>
      </c>
      <c r="M1666" s="44">
        <v>136</v>
      </c>
    </row>
    <row r="1667" spans="1:13" x14ac:dyDescent="0.25">
      <c r="A1667" s="45" t="s">
        <v>2647</v>
      </c>
      <c r="C1667" s="47"/>
    </row>
    <row r="1668" spans="1:13" x14ac:dyDescent="0.25">
      <c r="A1668" s="45" t="s">
        <v>2648</v>
      </c>
      <c r="C1668" s="47"/>
    </row>
    <row r="1669" spans="1:13" x14ac:dyDescent="0.25">
      <c r="A1669" s="45" t="s">
        <v>2649</v>
      </c>
      <c r="B1669" s="44" t="s">
        <v>4929</v>
      </c>
      <c r="C1669" s="47">
        <v>44250</v>
      </c>
      <c r="D1669" s="44">
        <v>202103</v>
      </c>
      <c r="E1669" s="44">
        <v>81.5</v>
      </c>
      <c r="F1669" s="44">
        <v>88.8</v>
      </c>
      <c r="G1669" s="44">
        <v>80.099999999999994</v>
      </c>
      <c r="H1669" s="44">
        <v>87.3</v>
      </c>
      <c r="I1669" s="44">
        <v>4.9000000000000004</v>
      </c>
      <c r="J1669" s="44">
        <v>5.95</v>
      </c>
      <c r="K1669" s="44">
        <v>1834</v>
      </c>
      <c r="L1669" s="44">
        <v>87.4</v>
      </c>
      <c r="M1669" s="44">
        <v>1148</v>
      </c>
    </row>
    <row r="1670" spans="1:13" x14ac:dyDescent="0.25">
      <c r="A1670" s="45" t="s">
        <v>2650</v>
      </c>
      <c r="C1670" s="47"/>
    </row>
    <row r="1671" spans="1:13" x14ac:dyDescent="0.25">
      <c r="A1671" s="45" t="s">
        <v>2651</v>
      </c>
      <c r="B1671" s="44" t="s">
        <v>4930</v>
      </c>
      <c r="C1671" s="47">
        <v>44250</v>
      </c>
      <c r="D1671" s="44">
        <v>202106</v>
      </c>
      <c r="E1671" s="44">
        <v>86.3</v>
      </c>
      <c r="F1671" s="44">
        <v>86.3</v>
      </c>
      <c r="G1671" s="44">
        <v>86.3</v>
      </c>
      <c r="H1671" s="44">
        <v>86.3</v>
      </c>
      <c r="I1671" s="44">
        <v>5</v>
      </c>
      <c r="J1671" s="44">
        <v>6.15</v>
      </c>
      <c r="K1671" s="44">
        <v>0</v>
      </c>
      <c r="L1671" s="44">
        <v>86.3</v>
      </c>
      <c r="M1671" s="44">
        <v>4</v>
      </c>
    </row>
    <row r="1672" spans="1:13" x14ac:dyDescent="0.25">
      <c r="A1672" s="45" t="s">
        <v>2652</v>
      </c>
      <c r="B1672" s="44" t="s">
        <v>4931</v>
      </c>
      <c r="C1672" s="47">
        <v>44250</v>
      </c>
      <c r="D1672" s="44">
        <v>202109</v>
      </c>
      <c r="E1672" s="44">
        <v>86.8</v>
      </c>
      <c r="F1672" s="44">
        <v>86.8</v>
      </c>
      <c r="G1672" s="44">
        <v>86.8</v>
      </c>
      <c r="H1672" s="44">
        <v>86.8</v>
      </c>
      <c r="I1672" s="44">
        <v>5</v>
      </c>
      <c r="J1672" s="44">
        <v>6.11</v>
      </c>
      <c r="K1672" s="44">
        <v>0</v>
      </c>
      <c r="L1672" s="44">
        <v>86.8</v>
      </c>
      <c r="M1672" s="44">
        <v>0</v>
      </c>
    </row>
    <row r="1673" spans="1:13" x14ac:dyDescent="0.25">
      <c r="A1673" s="45" t="s">
        <v>2653</v>
      </c>
      <c r="B1673" s="44" t="s">
        <v>4932</v>
      </c>
      <c r="C1673" s="47">
        <v>44250</v>
      </c>
      <c r="D1673" s="44">
        <v>202112</v>
      </c>
      <c r="E1673" s="44">
        <v>86.7</v>
      </c>
      <c r="F1673" s="44">
        <v>86.7</v>
      </c>
      <c r="G1673" s="44">
        <v>86.7</v>
      </c>
      <c r="H1673" s="44">
        <v>86.7</v>
      </c>
      <c r="I1673" s="44">
        <v>5</v>
      </c>
      <c r="J1673" s="44">
        <v>6.12</v>
      </c>
      <c r="K1673" s="44">
        <v>0</v>
      </c>
      <c r="L1673" s="44">
        <v>86.7</v>
      </c>
      <c r="M1673" s="44">
        <v>0</v>
      </c>
    </row>
    <row r="1674" spans="1:13" x14ac:dyDescent="0.25">
      <c r="A1674" s="45" t="s">
        <v>1020</v>
      </c>
      <c r="B1674" s="44" t="s">
        <v>4933</v>
      </c>
      <c r="C1674" s="47">
        <v>44250</v>
      </c>
      <c r="D1674" s="44">
        <v>202103</v>
      </c>
      <c r="E1674" s="44">
        <v>47.1</v>
      </c>
      <c r="F1674" s="44">
        <v>47.3</v>
      </c>
      <c r="G1674" s="44">
        <v>46</v>
      </c>
      <c r="H1674" s="44">
        <v>46.3</v>
      </c>
      <c r="I1674" s="44">
        <v>-0.75</v>
      </c>
      <c r="J1674" s="44">
        <v>-1.59</v>
      </c>
      <c r="K1674" s="44">
        <v>153</v>
      </c>
      <c r="L1674" s="44">
        <v>46.3</v>
      </c>
      <c r="M1674" s="44">
        <v>640</v>
      </c>
    </row>
    <row r="1675" spans="1:13" x14ac:dyDescent="0.25">
      <c r="A1675" s="45" t="s">
        <v>2654</v>
      </c>
      <c r="B1675" s="44" t="s">
        <v>4934</v>
      </c>
      <c r="C1675" s="47">
        <v>44250</v>
      </c>
      <c r="D1675" s="44">
        <v>202103</v>
      </c>
      <c r="E1675" s="44">
        <v>47.1</v>
      </c>
      <c r="F1675" s="44">
        <v>47.3</v>
      </c>
      <c r="G1675" s="44">
        <v>46</v>
      </c>
      <c r="H1675" s="44">
        <v>46.3</v>
      </c>
      <c r="I1675" s="44">
        <v>-0.75</v>
      </c>
      <c r="J1675" s="44">
        <v>-1.59</v>
      </c>
      <c r="K1675" s="44">
        <v>153</v>
      </c>
      <c r="L1675" s="44">
        <v>46.3</v>
      </c>
      <c r="M1675" s="44">
        <v>640</v>
      </c>
    </row>
    <row r="1676" spans="1:13" x14ac:dyDescent="0.25">
      <c r="A1676" s="45" t="s">
        <v>2655</v>
      </c>
      <c r="B1676" s="44" t="s">
        <v>4935</v>
      </c>
      <c r="C1676" s="47">
        <v>44250</v>
      </c>
      <c r="D1676" s="44">
        <v>202104</v>
      </c>
      <c r="E1676" s="44">
        <v>46.6</v>
      </c>
      <c r="F1676" s="44">
        <v>46.6</v>
      </c>
      <c r="G1676" s="44">
        <v>46.2</v>
      </c>
      <c r="H1676" s="44">
        <v>46.35</v>
      </c>
      <c r="I1676" s="44">
        <v>-0.45</v>
      </c>
      <c r="J1676" s="44">
        <v>-0.96</v>
      </c>
      <c r="K1676" s="44">
        <v>28</v>
      </c>
      <c r="L1676" s="44">
        <v>46.35</v>
      </c>
      <c r="M1676" s="44">
        <v>64</v>
      </c>
    </row>
    <row r="1677" spans="1:13" x14ac:dyDescent="0.25">
      <c r="A1677" s="45" t="s">
        <v>2656</v>
      </c>
      <c r="B1677" s="44" t="s">
        <v>4936</v>
      </c>
      <c r="C1677" s="47">
        <v>44250</v>
      </c>
      <c r="D1677" s="44">
        <v>202104</v>
      </c>
      <c r="E1677" s="44">
        <v>46.6</v>
      </c>
      <c r="F1677" s="44">
        <v>46.6</v>
      </c>
      <c r="G1677" s="44">
        <v>46.2</v>
      </c>
      <c r="H1677" s="44">
        <v>46.35</v>
      </c>
      <c r="I1677" s="44">
        <v>-0.45</v>
      </c>
      <c r="J1677" s="44">
        <v>-0.96</v>
      </c>
      <c r="K1677" s="44">
        <v>28</v>
      </c>
      <c r="L1677" s="44">
        <v>46.35</v>
      </c>
      <c r="M1677" s="44">
        <v>64</v>
      </c>
    </row>
    <row r="1678" spans="1:13" x14ac:dyDescent="0.25">
      <c r="A1678" s="45" t="s">
        <v>2657</v>
      </c>
      <c r="C1678" s="47"/>
    </row>
    <row r="1679" spans="1:13" x14ac:dyDescent="0.25">
      <c r="A1679" s="45" t="s">
        <v>2658</v>
      </c>
      <c r="C1679" s="47"/>
    </row>
    <row r="1680" spans="1:13" x14ac:dyDescent="0.25">
      <c r="A1680" s="45" t="s">
        <v>2659</v>
      </c>
      <c r="B1680" s="44" t="s">
        <v>4937</v>
      </c>
      <c r="C1680" s="47">
        <v>44250</v>
      </c>
      <c r="D1680" s="44">
        <v>202103</v>
      </c>
      <c r="E1680" s="44">
        <v>47.1</v>
      </c>
      <c r="F1680" s="44">
        <v>47.3</v>
      </c>
      <c r="G1680" s="44">
        <v>46</v>
      </c>
      <c r="H1680" s="44">
        <v>46.3</v>
      </c>
      <c r="I1680" s="44">
        <v>-0.75</v>
      </c>
      <c r="J1680" s="44">
        <v>-1.59</v>
      </c>
      <c r="K1680" s="44">
        <v>153</v>
      </c>
      <c r="L1680" s="44">
        <v>46.3</v>
      </c>
      <c r="M1680" s="44">
        <v>640</v>
      </c>
    </row>
    <row r="1681" spans="1:13" x14ac:dyDescent="0.25">
      <c r="A1681" s="45" t="s">
        <v>2660</v>
      </c>
      <c r="B1681" s="44" t="s">
        <v>4938</v>
      </c>
      <c r="C1681" s="47">
        <v>44250</v>
      </c>
      <c r="D1681" s="44">
        <v>202106</v>
      </c>
      <c r="E1681" s="44">
        <v>45.8</v>
      </c>
      <c r="F1681" s="44">
        <v>45.8</v>
      </c>
      <c r="G1681" s="44">
        <v>45.8</v>
      </c>
      <c r="H1681" s="44">
        <v>45.8</v>
      </c>
      <c r="I1681" s="44">
        <v>-0.75</v>
      </c>
      <c r="J1681" s="44">
        <v>-1.61</v>
      </c>
      <c r="K1681" s="44">
        <v>0</v>
      </c>
      <c r="L1681" s="44">
        <v>45.8</v>
      </c>
      <c r="M1681" s="44">
        <v>0</v>
      </c>
    </row>
    <row r="1682" spans="1:13" x14ac:dyDescent="0.25">
      <c r="A1682" s="45" t="s">
        <v>2661</v>
      </c>
      <c r="B1682" s="44" t="s">
        <v>4939</v>
      </c>
      <c r="C1682" s="47">
        <v>44250</v>
      </c>
      <c r="D1682" s="44">
        <v>202109</v>
      </c>
      <c r="E1682" s="44">
        <v>45.65</v>
      </c>
      <c r="F1682" s="44">
        <v>45.65</v>
      </c>
      <c r="G1682" s="44">
        <v>45.65</v>
      </c>
      <c r="H1682" s="44">
        <v>45.65</v>
      </c>
      <c r="I1682" s="44">
        <v>-0.75</v>
      </c>
      <c r="J1682" s="44">
        <v>-1.62</v>
      </c>
      <c r="K1682" s="44">
        <v>0</v>
      </c>
      <c r="L1682" s="44">
        <v>45.65</v>
      </c>
      <c r="M1682" s="44">
        <v>0</v>
      </c>
    </row>
    <row r="1683" spans="1:13" x14ac:dyDescent="0.25">
      <c r="A1683" s="45" t="s">
        <v>2662</v>
      </c>
      <c r="B1683" s="44" t="s">
        <v>4940</v>
      </c>
      <c r="C1683" s="47">
        <v>44250</v>
      </c>
      <c r="D1683" s="44">
        <v>202112</v>
      </c>
      <c r="E1683" s="44">
        <v>45.75</v>
      </c>
      <c r="F1683" s="44">
        <v>45.75</v>
      </c>
      <c r="G1683" s="44">
        <v>45.75</v>
      </c>
      <c r="H1683" s="44">
        <v>45.75</v>
      </c>
      <c r="I1683" s="44">
        <v>-0.75</v>
      </c>
      <c r="J1683" s="44">
        <v>-1.61</v>
      </c>
      <c r="K1683" s="44">
        <v>0</v>
      </c>
      <c r="L1683" s="44">
        <v>45.75</v>
      </c>
      <c r="M1683" s="44">
        <v>0</v>
      </c>
    </row>
    <row r="1684" spans="1:13" x14ac:dyDescent="0.25">
      <c r="A1684" s="45" t="s">
        <v>1040</v>
      </c>
      <c r="B1684" s="44" t="s">
        <v>4941</v>
      </c>
      <c r="C1684" s="47">
        <v>44250</v>
      </c>
      <c r="D1684" s="44">
        <v>202103</v>
      </c>
      <c r="E1684" s="44">
        <v>187.5</v>
      </c>
      <c r="F1684" s="44">
        <v>192</v>
      </c>
      <c r="G1684" s="44">
        <v>186.5</v>
      </c>
      <c r="H1684" s="44">
        <v>188.5</v>
      </c>
      <c r="I1684" s="44">
        <v>-1</v>
      </c>
      <c r="J1684" s="44">
        <v>-0.53</v>
      </c>
      <c r="K1684" s="44">
        <v>32</v>
      </c>
      <c r="L1684" s="44">
        <v>188.5</v>
      </c>
      <c r="M1684" s="44">
        <v>93</v>
      </c>
    </row>
    <row r="1685" spans="1:13" x14ac:dyDescent="0.25">
      <c r="A1685" s="45" t="s">
        <v>2663</v>
      </c>
      <c r="B1685" s="44" t="s">
        <v>4942</v>
      </c>
      <c r="C1685" s="47">
        <v>44250</v>
      </c>
      <c r="D1685" s="44">
        <v>202103</v>
      </c>
      <c r="E1685" s="44">
        <v>187.5</v>
      </c>
      <c r="F1685" s="44">
        <v>192</v>
      </c>
      <c r="G1685" s="44">
        <v>186.5</v>
      </c>
      <c r="H1685" s="44">
        <v>188.5</v>
      </c>
      <c r="I1685" s="44">
        <v>-1</v>
      </c>
      <c r="J1685" s="44">
        <v>-0.53</v>
      </c>
      <c r="K1685" s="44">
        <v>32</v>
      </c>
      <c r="L1685" s="44">
        <v>188.5</v>
      </c>
      <c r="M1685" s="44">
        <v>93</v>
      </c>
    </row>
    <row r="1686" spans="1:13" x14ac:dyDescent="0.25">
      <c r="A1686" s="45" t="s">
        <v>2664</v>
      </c>
      <c r="B1686" s="44" t="s">
        <v>4943</v>
      </c>
      <c r="C1686" s="47">
        <v>44250</v>
      </c>
      <c r="D1686" s="44">
        <v>202104</v>
      </c>
      <c r="E1686" s="44">
        <v>188</v>
      </c>
      <c r="F1686" s="44">
        <v>188</v>
      </c>
      <c r="G1686" s="44">
        <v>188</v>
      </c>
      <c r="H1686" s="44">
        <v>188</v>
      </c>
      <c r="I1686" s="44">
        <v>-2.5</v>
      </c>
      <c r="J1686" s="44">
        <v>-1.31</v>
      </c>
      <c r="K1686" s="44">
        <v>0</v>
      </c>
      <c r="L1686" s="44">
        <v>188</v>
      </c>
      <c r="M1686" s="44">
        <v>2</v>
      </c>
    </row>
    <row r="1687" spans="1:13" x14ac:dyDescent="0.25">
      <c r="A1687" s="45" t="s">
        <v>2665</v>
      </c>
      <c r="B1687" s="44" t="s">
        <v>4944</v>
      </c>
      <c r="C1687" s="47">
        <v>44250</v>
      </c>
      <c r="D1687" s="44">
        <v>202104</v>
      </c>
      <c r="E1687" s="44">
        <v>188</v>
      </c>
      <c r="F1687" s="44">
        <v>188</v>
      </c>
      <c r="G1687" s="44">
        <v>188</v>
      </c>
      <c r="H1687" s="44">
        <v>188</v>
      </c>
      <c r="I1687" s="44">
        <v>-2.5</v>
      </c>
      <c r="J1687" s="44">
        <v>-1.31</v>
      </c>
      <c r="K1687" s="44">
        <v>0</v>
      </c>
      <c r="L1687" s="44">
        <v>188</v>
      </c>
      <c r="M1687" s="44">
        <v>2</v>
      </c>
    </row>
    <row r="1688" spans="1:13" x14ac:dyDescent="0.25">
      <c r="A1688" s="45" t="s">
        <v>2666</v>
      </c>
      <c r="C1688" s="47"/>
    </row>
    <row r="1689" spans="1:13" x14ac:dyDescent="0.25">
      <c r="A1689" s="45" t="s">
        <v>2667</v>
      </c>
      <c r="C1689" s="47"/>
    </row>
    <row r="1690" spans="1:13" x14ac:dyDescent="0.25">
      <c r="A1690" s="45" t="s">
        <v>2668</v>
      </c>
      <c r="B1690" s="44" t="s">
        <v>4945</v>
      </c>
      <c r="C1690" s="47">
        <v>44250</v>
      </c>
      <c r="D1690" s="44">
        <v>202103</v>
      </c>
      <c r="E1690" s="44">
        <v>187.5</v>
      </c>
      <c r="F1690" s="44">
        <v>192</v>
      </c>
      <c r="G1690" s="44">
        <v>186.5</v>
      </c>
      <c r="H1690" s="44">
        <v>188.5</v>
      </c>
      <c r="I1690" s="44">
        <v>-1</v>
      </c>
      <c r="J1690" s="44">
        <v>-0.53</v>
      </c>
      <c r="K1690" s="44">
        <v>32</v>
      </c>
      <c r="L1690" s="44">
        <v>188.5</v>
      </c>
      <c r="M1690" s="44">
        <v>93</v>
      </c>
    </row>
    <row r="1691" spans="1:13" x14ac:dyDescent="0.25">
      <c r="A1691" s="45" t="s">
        <v>2669</v>
      </c>
      <c r="B1691" s="44" t="s">
        <v>4946</v>
      </c>
      <c r="C1691" s="47">
        <v>44250</v>
      </c>
      <c r="D1691" s="44">
        <v>202106</v>
      </c>
      <c r="E1691" s="44">
        <v>188</v>
      </c>
      <c r="F1691" s="44">
        <v>188</v>
      </c>
      <c r="G1691" s="44">
        <v>188</v>
      </c>
      <c r="H1691" s="44">
        <v>188</v>
      </c>
      <c r="I1691" s="44">
        <v>-1</v>
      </c>
      <c r="J1691" s="44">
        <v>-0.53</v>
      </c>
      <c r="K1691" s="44">
        <v>0</v>
      </c>
      <c r="L1691" s="44">
        <v>188</v>
      </c>
      <c r="M1691" s="44">
        <v>3</v>
      </c>
    </row>
    <row r="1692" spans="1:13" x14ac:dyDescent="0.25">
      <c r="A1692" s="45" t="s">
        <v>2670</v>
      </c>
      <c r="B1692" s="44" t="s">
        <v>4947</v>
      </c>
      <c r="C1692" s="47">
        <v>44250</v>
      </c>
      <c r="D1692" s="44">
        <v>202109</v>
      </c>
      <c r="E1692" s="44">
        <v>188.5</v>
      </c>
      <c r="F1692" s="44">
        <v>188.5</v>
      </c>
      <c r="G1692" s="44">
        <v>188.5</v>
      </c>
      <c r="H1692" s="44">
        <v>188.5</v>
      </c>
      <c r="I1692" s="44">
        <v>-1</v>
      </c>
      <c r="J1692" s="44">
        <v>-0.53</v>
      </c>
      <c r="K1692" s="44">
        <v>0</v>
      </c>
      <c r="L1692" s="44">
        <v>188.5</v>
      </c>
      <c r="M1692" s="44">
        <v>0</v>
      </c>
    </row>
    <row r="1693" spans="1:13" x14ac:dyDescent="0.25">
      <c r="A1693" s="45" t="s">
        <v>2671</v>
      </c>
      <c r="B1693" s="44" t="s">
        <v>4948</v>
      </c>
      <c r="C1693" s="47">
        <v>44250</v>
      </c>
      <c r="D1693" s="44">
        <v>202112</v>
      </c>
      <c r="E1693" s="44">
        <v>189</v>
      </c>
      <c r="F1693" s="44">
        <v>189</v>
      </c>
      <c r="G1693" s="44">
        <v>189</v>
      </c>
      <c r="H1693" s="44">
        <v>189</v>
      </c>
      <c r="I1693" s="44">
        <v>-1</v>
      </c>
      <c r="J1693" s="44">
        <v>-0.53</v>
      </c>
      <c r="K1693" s="44">
        <v>0</v>
      </c>
      <c r="L1693" s="44">
        <v>189</v>
      </c>
      <c r="M1693" s="44">
        <v>0</v>
      </c>
    </row>
    <row r="1694" spans="1:13" x14ac:dyDescent="0.25">
      <c r="A1694" s="45" t="s">
        <v>1047</v>
      </c>
      <c r="B1694" s="44" t="s">
        <v>4949</v>
      </c>
      <c r="C1694" s="47">
        <v>44250</v>
      </c>
      <c r="D1694" s="44">
        <v>202103</v>
      </c>
      <c r="E1694" s="44">
        <v>68.2</v>
      </c>
      <c r="F1694" s="44">
        <v>68.2</v>
      </c>
      <c r="G1694" s="44">
        <v>65.3</v>
      </c>
      <c r="H1694" s="44">
        <v>65.8</v>
      </c>
      <c r="I1694" s="44">
        <v>-2.2999999999999998</v>
      </c>
      <c r="J1694" s="44">
        <v>-3.38</v>
      </c>
      <c r="K1694" s="44">
        <v>52</v>
      </c>
      <c r="L1694" s="44">
        <v>65.8</v>
      </c>
      <c r="M1694" s="44">
        <v>317</v>
      </c>
    </row>
    <row r="1695" spans="1:13" x14ac:dyDescent="0.25">
      <c r="A1695" s="45" t="s">
        <v>2672</v>
      </c>
      <c r="B1695" s="44" t="s">
        <v>4950</v>
      </c>
      <c r="C1695" s="47">
        <v>44250</v>
      </c>
      <c r="D1695" s="44">
        <v>202103</v>
      </c>
      <c r="E1695" s="44">
        <v>68.2</v>
      </c>
      <c r="F1695" s="44">
        <v>68.2</v>
      </c>
      <c r="G1695" s="44">
        <v>65.3</v>
      </c>
      <c r="H1695" s="44">
        <v>65.8</v>
      </c>
      <c r="I1695" s="44">
        <v>-2.2999999999999998</v>
      </c>
      <c r="J1695" s="44">
        <v>-3.38</v>
      </c>
      <c r="K1695" s="44">
        <v>52</v>
      </c>
      <c r="L1695" s="44">
        <v>65.8</v>
      </c>
      <c r="M1695" s="44">
        <v>317</v>
      </c>
    </row>
    <row r="1696" spans="1:13" x14ac:dyDescent="0.25">
      <c r="A1696" s="45" t="s">
        <v>2673</v>
      </c>
      <c r="B1696" s="44" t="s">
        <v>4951</v>
      </c>
      <c r="C1696" s="47">
        <v>44250</v>
      </c>
      <c r="D1696" s="44">
        <v>202104</v>
      </c>
      <c r="E1696" s="44">
        <v>66</v>
      </c>
      <c r="F1696" s="44">
        <v>66</v>
      </c>
      <c r="G1696" s="44">
        <v>66</v>
      </c>
      <c r="H1696" s="44">
        <v>66</v>
      </c>
      <c r="I1696" s="44">
        <v>-2</v>
      </c>
      <c r="J1696" s="44">
        <v>-2.94</v>
      </c>
      <c r="K1696" s="44">
        <v>1</v>
      </c>
      <c r="L1696" s="44">
        <v>66</v>
      </c>
      <c r="M1696" s="44">
        <v>30</v>
      </c>
    </row>
    <row r="1697" spans="1:13" x14ac:dyDescent="0.25">
      <c r="A1697" s="45" t="s">
        <v>2674</v>
      </c>
      <c r="B1697" s="44" t="s">
        <v>4952</v>
      </c>
      <c r="C1697" s="47">
        <v>44250</v>
      </c>
      <c r="D1697" s="44">
        <v>202104</v>
      </c>
      <c r="E1697" s="44">
        <v>66</v>
      </c>
      <c r="F1697" s="44">
        <v>66</v>
      </c>
      <c r="G1697" s="44">
        <v>66</v>
      </c>
      <c r="H1697" s="44">
        <v>66</v>
      </c>
      <c r="I1697" s="44">
        <v>-2</v>
      </c>
      <c r="J1697" s="44">
        <v>-2.94</v>
      </c>
      <c r="K1697" s="44">
        <v>1</v>
      </c>
      <c r="L1697" s="44">
        <v>66</v>
      </c>
      <c r="M1697" s="44">
        <v>30</v>
      </c>
    </row>
    <row r="1698" spans="1:13" x14ac:dyDescent="0.25">
      <c r="A1698" s="45" t="s">
        <v>2675</v>
      </c>
      <c r="C1698" s="47"/>
    </row>
    <row r="1699" spans="1:13" x14ac:dyDescent="0.25">
      <c r="A1699" s="45" t="s">
        <v>2676</v>
      </c>
      <c r="C1699" s="47"/>
    </row>
    <row r="1700" spans="1:13" x14ac:dyDescent="0.25">
      <c r="A1700" s="45" t="s">
        <v>2677</v>
      </c>
      <c r="B1700" s="44" t="s">
        <v>4953</v>
      </c>
      <c r="C1700" s="47">
        <v>44250</v>
      </c>
      <c r="D1700" s="44">
        <v>202103</v>
      </c>
      <c r="E1700" s="44">
        <v>68.2</v>
      </c>
      <c r="F1700" s="44">
        <v>68.2</v>
      </c>
      <c r="G1700" s="44">
        <v>65.3</v>
      </c>
      <c r="H1700" s="44">
        <v>65.8</v>
      </c>
      <c r="I1700" s="44">
        <v>-2.2999999999999998</v>
      </c>
      <c r="J1700" s="44">
        <v>-3.38</v>
      </c>
      <c r="K1700" s="44">
        <v>52</v>
      </c>
      <c r="L1700" s="44">
        <v>65.8</v>
      </c>
      <c r="M1700" s="44">
        <v>317</v>
      </c>
    </row>
    <row r="1701" spans="1:13" x14ac:dyDescent="0.25">
      <c r="A1701" s="45" t="s">
        <v>2678</v>
      </c>
      <c r="B1701" s="44" t="s">
        <v>4954</v>
      </c>
      <c r="C1701" s="47">
        <v>44250</v>
      </c>
      <c r="D1701" s="44">
        <v>202106</v>
      </c>
      <c r="E1701" s="44">
        <v>65.8</v>
      </c>
      <c r="F1701" s="44">
        <v>65.8</v>
      </c>
      <c r="G1701" s="44">
        <v>65.8</v>
      </c>
      <c r="H1701" s="44">
        <v>65.8</v>
      </c>
      <c r="I1701" s="44">
        <v>-2.2999999999999998</v>
      </c>
      <c r="J1701" s="44">
        <v>-3.38</v>
      </c>
      <c r="K1701" s="44">
        <v>0</v>
      </c>
      <c r="L1701" s="44">
        <v>65.8</v>
      </c>
      <c r="M1701" s="44">
        <v>0</v>
      </c>
    </row>
    <row r="1702" spans="1:13" x14ac:dyDescent="0.25">
      <c r="A1702" s="45" t="s">
        <v>2679</v>
      </c>
      <c r="B1702" s="44" t="s">
        <v>4955</v>
      </c>
      <c r="C1702" s="47">
        <v>44250</v>
      </c>
      <c r="D1702" s="44">
        <v>202109</v>
      </c>
      <c r="E1702" s="44">
        <v>65.7</v>
      </c>
      <c r="F1702" s="44">
        <v>65.7</v>
      </c>
      <c r="G1702" s="44">
        <v>65.7</v>
      </c>
      <c r="H1702" s="44">
        <v>65.7</v>
      </c>
      <c r="I1702" s="44">
        <v>-2.2999999999999998</v>
      </c>
      <c r="J1702" s="44">
        <v>-3.38</v>
      </c>
      <c r="K1702" s="44">
        <v>0</v>
      </c>
      <c r="L1702" s="44">
        <v>65.7</v>
      </c>
      <c r="M1702" s="44">
        <v>0</v>
      </c>
    </row>
    <row r="1703" spans="1:13" x14ac:dyDescent="0.25">
      <c r="A1703" s="45" t="s">
        <v>2680</v>
      </c>
      <c r="B1703" s="44" t="s">
        <v>4956</v>
      </c>
      <c r="C1703" s="47">
        <v>44250</v>
      </c>
      <c r="D1703" s="44">
        <v>202112</v>
      </c>
      <c r="E1703" s="44">
        <v>65.7</v>
      </c>
      <c r="F1703" s="44">
        <v>65.7</v>
      </c>
      <c r="G1703" s="44">
        <v>65.7</v>
      </c>
      <c r="H1703" s="44">
        <v>65.7</v>
      </c>
      <c r="I1703" s="44">
        <v>-2.2999999999999998</v>
      </c>
      <c r="J1703" s="44">
        <v>-3.38</v>
      </c>
      <c r="K1703" s="44">
        <v>0</v>
      </c>
      <c r="L1703" s="44">
        <v>65.7</v>
      </c>
      <c r="M1703" s="44">
        <v>0</v>
      </c>
    </row>
    <row r="1704" spans="1:13" x14ac:dyDescent="0.25">
      <c r="A1704" s="45" t="s">
        <v>1053</v>
      </c>
      <c r="B1704" s="44" t="s">
        <v>4957</v>
      </c>
      <c r="C1704" s="47">
        <v>44250</v>
      </c>
      <c r="D1704" s="44">
        <v>202103</v>
      </c>
      <c r="E1704" s="44">
        <v>16.600000000000001</v>
      </c>
      <c r="F1704" s="44">
        <v>17.05</v>
      </c>
      <c r="G1704" s="44">
        <v>16.600000000000001</v>
      </c>
      <c r="H1704" s="44">
        <v>16.899999999999999</v>
      </c>
      <c r="I1704" s="44">
        <v>0.8</v>
      </c>
      <c r="J1704" s="44">
        <v>4.97</v>
      </c>
      <c r="K1704" s="44">
        <v>44</v>
      </c>
      <c r="L1704" s="44">
        <v>16.899999999999999</v>
      </c>
      <c r="M1704" s="44">
        <v>96</v>
      </c>
    </row>
    <row r="1705" spans="1:13" x14ac:dyDescent="0.25">
      <c r="A1705" s="45" t="s">
        <v>2681</v>
      </c>
      <c r="B1705" s="44" t="s">
        <v>4958</v>
      </c>
      <c r="C1705" s="47">
        <v>44250</v>
      </c>
      <c r="D1705" s="44">
        <v>202103</v>
      </c>
      <c r="E1705" s="44">
        <v>16.600000000000001</v>
      </c>
      <c r="F1705" s="44">
        <v>17.05</v>
      </c>
      <c r="G1705" s="44">
        <v>16.600000000000001</v>
      </c>
      <c r="H1705" s="44">
        <v>16.899999999999999</v>
      </c>
      <c r="I1705" s="44">
        <v>0.8</v>
      </c>
      <c r="J1705" s="44">
        <v>4.97</v>
      </c>
      <c r="K1705" s="44">
        <v>44</v>
      </c>
      <c r="L1705" s="44">
        <v>16.899999999999999</v>
      </c>
      <c r="M1705" s="44">
        <v>96</v>
      </c>
    </row>
    <row r="1706" spans="1:13" x14ac:dyDescent="0.25">
      <c r="A1706" s="45" t="s">
        <v>2682</v>
      </c>
      <c r="B1706" s="44" t="s">
        <v>4959</v>
      </c>
      <c r="C1706" s="47">
        <v>44250</v>
      </c>
      <c r="D1706" s="44">
        <v>202104</v>
      </c>
      <c r="E1706" s="44">
        <v>16.649999999999999</v>
      </c>
      <c r="F1706" s="44">
        <v>16.850000000000001</v>
      </c>
      <c r="G1706" s="44">
        <v>16.649999999999999</v>
      </c>
      <c r="H1706" s="44">
        <v>16.850000000000001</v>
      </c>
      <c r="I1706" s="44">
        <v>0.75</v>
      </c>
      <c r="J1706" s="44">
        <v>4.66</v>
      </c>
      <c r="K1706" s="44">
        <v>2</v>
      </c>
      <c r="L1706" s="44">
        <v>16.850000000000001</v>
      </c>
      <c r="M1706" s="44">
        <v>3</v>
      </c>
    </row>
    <row r="1707" spans="1:13" x14ac:dyDescent="0.25">
      <c r="A1707" s="45" t="s">
        <v>2683</v>
      </c>
      <c r="B1707" s="44" t="s">
        <v>4960</v>
      </c>
      <c r="C1707" s="47">
        <v>44250</v>
      </c>
      <c r="D1707" s="44">
        <v>202104</v>
      </c>
      <c r="E1707" s="44">
        <v>16.649999999999999</v>
      </c>
      <c r="F1707" s="44">
        <v>16.850000000000001</v>
      </c>
      <c r="G1707" s="44">
        <v>16.649999999999999</v>
      </c>
      <c r="H1707" s="44">
        <v>16.850000000000001</v>
      </c>
      <c r="I1707" s="44">
        <v>0.75</v>
      </c>
      <c r="J1707" s="44">
        <v>4.66</v>
      </c>
      <c r="K1707" s="44">
        <v>2</v>
      </c>
      <c r="L1707" s="44">
        <v>16.850000000000001</v>
      </c>
      <c r="M1707" s="44">
        <v>3</v>
      </c>
    </row>
    <row r="1708" spans="1:13" x14ac:dyDescent="0.25">
      <c r="A1708" s="45" t="s">
        <v>2684</v>
      </c>
      <c r="C1708" s="47"/>
    </row>
    <row r="1709" spans="1:13" x14ac:dyDescent="0.25">
      <c r="A1709" s="45" t="s">
        <v>2685</v>
      </c>
      <c r="B1709" s="44" t="s">
        <v>4961</v>
      </c>
      <c r="C1709" s="47">
        <v>44250</v>
      </c>
      <c r="D1709" s="44">
        <v>202103</v>
      </c>
      <c r="E1709" s="44">
        <v>16.600000000000001</v>
      </c>
      <c r="F1709" s="44">
        <v>17.05</v>
      </c>
      <c r="G1709" s="44">
        <v>16.600000000000001</v>
      </c>
      <c r="H1709" s="44">
        <v>16.899999999999999</v>
      </c>
      <c r="I1709" s="44">
        <v>0.8</v>
      </c>
      <c r="J1709" s="44">
        <v>4.97</v>
      </c>
      <c r="K1709" s="44">
        <v>44</v>
      </c>
      <c r="L1709" s="44">
        <v>16.899999999999999</v>
      </c>
      <c r="M1709" s="44">
        <v>96</v>
      </c>
    </row>
    <row r="1710" spans="1:13" x14ac:dyDescent="0.25">
      <c r="A1710" s="45" t="s">
        <v>2686</v>
      </c>
      <c r="B1710" s="44" t="s">
        <v>4962</v>
      </c>
      <c r="C1710" s="47">
        <v>44250</v>
      </c>
      <c r="D1710" s="44">
        <v>202106</v>
      </c>
      <c r="E1710" s="44">
        <v>16.95</v>
      </c>
      <c r="F1710" s="44">
        <v>16.95</v>
      </c>
      <c r="G1710" s="44">
        <v>16.95</v>
      </c>
      <c r="H1710" s="44">
        <v>16.95</v>
      </c>
      <c r="I1710" s="44">
        <v>0.8</v>
      </c>
      <c r="J1710" s="44">
        <v>4.95</v>
      </c>
      <c r="K1710" s="44">
        <v>0</v>
      </c>
      <c r="L1710" s="44">
        <v>16.95</v>
      </c>
      <c r="M1710" s="44">
        <v>0</v>
      </c>
    </row>
    <row r="1711" spans="1:13" x14ac:dyDescent="0.25">
      <c r="A1711" s="45" t="s">
        <v>2687</v>
      </c>
      <c r="B1711" s="44" t="s">
        <v>4963</v>
      </c>
      <c r="C1711" s="47">
        <v>44250</v>
      </c>
      <c r="D1711" s="44">
        <v>202109</v>
      </c>
      <c r="E1711" s="44">
        <v>17</v>
      </c>
      <c r="F1711" s="44">
        <v>17</v>
      </c>
      <c r="G1711" s="44">
        <v>17</v>
      </c>
      <c r="H1711" s="44">
        <v>17</v>
      </c>
      <c r="I1711" s="44">
        <v>0.8</v>
      </c>
      <c r="J1711" s="44">
        <v>4.9400000000000004</v>
      </c>
      <c r="K1711" s="44">
        <v>0</v>
      </c>
      <c r="L1711" s="44">
        <v>17</v>
      </c>
      <c r="M1711" s="44">
        <v>0</v>
      </c>
    </row>
    <row r="1712" spans="1:13" x14ac:dyDescent="0.25">
      <c r="A1712" s="45" t="s">
        <v>2688</v>
      </c>
      <c r="B1712" s="44" t="s">
        <v>4964</v>
      </c>
      <c r="C1712" s="47">
        <v>44250</v>
      </c>
      <c r="D1712" s="44">
        <v>202112</v>
      </c>
      <c r="E1712" s="44">
        <v>16.850000000000001</v>
      </c>
      <c r="F1712" s="44">
        <v>16.850000000000001</v>
      </c>
      <c r="G1712" s="44">
        <v>16.850000000000001</v>
      </c>
      <c r="H1712" s="44">
        <v>16.850000000000001</v>
      </c>
      <c r="I1712" s="44">
        <v>0.8</v>
      </c>
      <c r="J1712" s="44">
        <v>4.9800000000000004</v>
      </c>
      <c r="K1712" s="44">
        <v>0</v>
      </c>
      <c r="L1712" s="44">
        <v>16.850000000000001</v>
      </c>
      <c r="M1712" s="44">
        <v>0</v>
      </c>
    </row>
    <row r="1713" spans="1:13" x14ac:dyDescent="0.25">
      <c r="A1713" s="45" t="s">
        <v>1059</v>
      </c>
      <c r="B1713" s="44" t="s">
        <v>4965</v>
      </c>
      <c r="C1713" s="47">
        <v>44250</v>
      </c>
      <c r="D1713" s="44">
        <v>202103</v>
      </c>
      <c r="E1713" s="44">
        <v>124.5</v>
      </c>
      <c r="F1713" s="44">
        <v>124.5</v>
      </c>
      <c r="G1713" s="44">
        <v>121.5</v>
      </c>
      <c r="H1713" s="44">
        <v>122</v>
      </c>
      <c r="I1713" s="44">
        <v>-3.5</v>
      </c>
      <c r="J1713" s="44">
        <v>-2.79</v>
      </c>
      <c r="K1713" s="44">
        <v>42</v>
      </c>
      <c r="L1713" s="44">
        <v>122</v>
      </c>
      <c r="M1713" s="44">
        <v>547</v>
      </c>
    </row>
    <row r="1714" spans="1:13" x14ac:dyDescent="0.25">
      <c r="A1714" s="45" t="s">
        <v>2689</v>
      </c>
      <c r="B1714" s="44" t="s">
        <v>4966</v>
      </c>
      <c r="C1714" s="47">
        <v>44250</v>
      </c>
      <c r="D1714" s="44">
        <v>202103</v>
      </c>
      <c r="E1714" s="44">
        <v>124.5</v>
      </c>
      <c r="F1714" s="44">
        <v>124.5</v>
      </c>
      <c r="G1714" s="44">
        <v>121.5</v>
      </c>
      <c r="H1714" s="44">
        <v>122</v>
      </c>
      <c r="I1714" s="44">
        <v>-3.5</v>
      </c>
      <c r="J1714" s="44">
        <v>-2.79</v>
      </c>
      <c r="K1714" s="44">
        <v>42</v>
      </c>
      <c r="L1714" s="44">
        <v>122</v>
      </c>
      <c r="M1714" s="44">
        <v>547</v>
      </c>
    </row>
    <row r="1715" spans="1:13" x14ac:dyDescent="0.25">
      <c r="A1715" s="45" t="s">
        <v>2690</v>
      </c>
      <c r="B1715" s="44" t="s">
        <v>4967</v>
      </c>
      <c r="C1715" s="47">
        <v>44250</v>
      </c>
      <c r="D1715" s="44">
        <v>202104</v>
      </c>
      <c r="E1715" s="44">
        <v>122.5</v>
      </c>
      <c r="F1715" s="44">
        <v>122.5</v>
      </c>
      <c r="G1715" s="44">
        <v>122.5</v>
      </c>
      <c r="H1715" s="44">
        <v>122.5</v>
      </c>
      <c r="I1715" s="44">
        <v>-2</v>
      </c>
      <c r="J1715" s="44">
        <v>-1.61</v>
      </c>
      <c r="K1715" s="44">
        <v>0</v>
      </c>
      <c r="L1715" s="44">
        <v>122.5</v>
      </c>
      <c r="M1715" s="44">
        <v>15</v>
      </c>
    </row>
    <row r="1716" spans="1:13" x14ac:dyDescent="0.25">
      <c r="A1716" s="45" t="s">
        <v>2691</v>
      </c>
      <c r="B1716" s="44" t="s">
        <v>4968</v>
      </c>
      <c r="C1716" s="47">
        <v>44250</v>
      </c>
      <c r="D1716" s="44">
        <v>202104</v>
      </c>
      <c r="E1716" s="44">
        <v>122.5</v>
      </c>
      <c r="F1716" s="44">
        <v>122.5</v>
      </c>
      <c r="G1716" s="44">
        <v>122.5</v>
      </c>
      <c r="H1716" s="44">
        <v>122.5</v>
      </c>
      <c r="I1716" s="44">
        <v>-2</v>
      </c>
      <c r="J1716" s="44">
        <v>-1.61</v>
      </c>
      <c r="K1716" s="44">
        <v>0</v>
      </c>
      <c r="L1716" s="44">
        <v>122.5</v>
      </c>
      <c r="M1716" s="44">
        <v>15</v>
      </c>
    </row>
    <row r="1717" spans="1:13" x14ac:dyDescent="0.25">
      <c r="A1717" s="45" t="s">
        <v>2692</v>
      </c>
      <c r="C1717" s="47"/>
    </row>
    <row r="1718" spans="1:13" x14ac:dyDescent="0.25">
      <c r="A1718" s="45" t="s">
        <v>2693</v>
      </c>
      <c r="C1718" s="47"/>
    </row>
    <row r="1719" spans="1:13" x14ac:dyDescent="0.25">
      <c r="A1719" s="45" t="s">
        <v>2694</v>
      </c>
      <c r="B1719" s="44" t="s">
        <v>4969</v>
      </c>
      <c r="C1719" s="47">
        <v>44250</v>
      </c>
      <c r="D1719" s="44">
        <v>202103</v>
      </c>
      <c r="E1719" s="44">
        <v>124.5</v>
      </c>
      <c r="F1719" s="44">
        <v>124.5</v>
      </c>
      <c r="G1719" s="44">
        <v>121.5</v>
      </c>
      <c r="H1719" s="44">
        <v>122</v>
      </c>
      <c r="I1719" s="44">
        <v>-3.5</v>
      </c>
      <c r="J1719" s="44">
        <v>-2.79</v>
      </c>
      <c r="K1719" s="44">
        <v>42</v>
      </c>
      <c r="L1719" s="44">
        <v>122</v>
      </c>
      <c r="M1719" s="44">
        <v>547</v>
      </c>
    </row>
    <row r="1720" spans="1:13" x14ac:dyDescent="0.25">
      <c r="A1720" s="45" t="s">
        <v>2695</v>
      </c>
      <c r="B1720" s="44" t="s">
        <v>4970</v>
      </c>
      <c r="C1720" s="47">
        <v>44250</v>
      </c>
      <c r="D1720" s="44">
        <v>202106</v>
      </c>
      <c r="E1720" s="44">
        <v>122</v>
      </c>
      <c r="F1720" s="44">
        <v>122</v>
      </c>
      <c r="G1720" s="44">
        <v>122</v>
      </c>
      <c r="H1720" s="44">
        <v>122</v>
      </c>
      <c r="I1720" s="44">
        <v>-2</v>
      </c>
      <c r="J1720" s="44">
        <v>-1.61</v>
      </c>
      <c r="K1720" s="44">
        <v>0</v>
      </c>
      <c r="L1720" s="44">
        <v>122</v>
      </c>
      <c r="M1720" s="44">
        <v>3</v>
      </c>
    </row>
    <row r="1721" spans="1:13" x14ac:dyDescent="0.25">
      <c r="A1721" s="45" t="s">
        <v>2696</v>
      </c>
      <c r="B1721" s="44" t="s">
        <v>4971</v>
      </c>
      <c r="C1721" s="47">
        <v>44250</v>
      </c>
      <c r="D1721" s="44">
        <v>202109</v>
      </c>
      <c r="E1721" s="44">
        <v>120</v>
      </c>
      <c r="F1721" s="44">
        <v>120</v>
      </c>
      <c r="G1721" s="44">
        <v>120</v>
      </c>
      <c r="H1721" s="44">
        <v>120</v>
      </c>
      <c r="I1721" s="44">
        <v>-3.5</v>
      </c>
      <c r="J1721" s="44">
        <v>-2.83</v>
      </c>
      <c r="K1721" s="44">
        <v>0</v>
      </c>
      <c r="L1721" s="44">
        <v>120</v>
      </c>
      <c r="M1721" s="44">
        <v>1</v>
      </c>
    </row>
    <row r="1722" spans="1:13" x14ac:dyDescent="0.25">
      <c r="A1722" s="45" t="s">
        <v>2697</v>
      </c>
      <c r="B1722" s="44" t="s">
        <v>4972</v>
      </c>
      <c r="C1722" s="47">
        <v>44250</v>
      </c>
      <c r="D1722" s="44">
        <v>202112</v>
      </c>
      <c r="E1722" s="44">
        <v>121.5</v>
      </c>
      <c r="F1722" s="44">
        <v>121.5</v>
      </c>
      <c r="G1722" s="44">
        <v>121.5</v>
      </c>
      <c r="H1722" s="44">
        <v>121.5</v>
      </c>
      <c r="I1722" s="44">
        <v>-1.5</v>
      </c>
      <c r="J1722" s="44">
        <v>-1.22</v>
      </c>
      <c r="K1722" s="44">
        <v>0</v>
      </c>
      <c r="L1722" s="44">
        <v>121.5</v>
      </c>
      <c r="M1722" s="44">
        <v>0</v>
      </c>
    </row>
    <row r="1723" spans="1:13" x14ac:dyDescent="0.25">
      <c r="A1723" s="45" t="s">
        <v>1060</v>
      </c>
      <c r="B1723" s="44" t="s">
        <v>4973</v>
      </c>
      <c r="C1723" s="47">
        <v>44250</v>
      </c>
      <c r="D1723" s="44">
        <v>202103</v>
      </c>
      <c r="E1723" s="44">
        <v>51.5</v>
      </c>
      <c r="F1723" s="44">
        <v>52.1</v>
      </c>
      <c r="G1723" s="44">
        <v>48.9</v>
      </c>
      <c r="H1723" s="44">
        <v>49.25</v>
      </c>
      <c r="I1723" s="44">
        <v>-1.75</v>
      </c>
      <c r="J1723" s="44">
        <v>-3.43</v>
      </c>
      <c r="K1723" s="44">
        <v>289</v>
      </c>
      <c r="L1723" s="44">
        <v>49.25</v>
      </c>
      <c r="M1723" s="44">
        <v>224</v>
      </c>
    </row>
    <row r="1724" spans="1:13" x14ac:dyDescent="0.25">
      <c r="A1724" s="45" t="s">
        <v>2698</v>
      </c>
      <c r="B1724" s="44" t="s">
        <v>4974</v>
      </c>
      <c r="C1724" s="47">
        <v>44250</v>
      </c>
      <c r="D1724" s="44">
        <v>202103</v>
      </c>
      <c r="E1724" s="44">
        <v>51.5</v>
      </c>
      <c r="F1724" s="44">
        <v>52.1</v>
      </c>
      <c r="G1724" s="44">
        <v>48.9</v>
      </c>
      <c r="H1724" s="44">
        <v>49.25</v>
      </c>
      <c r="I1724" s="44">
        <v>-1.75</v>
      </c>
      <c r="J1724" s="44">
        <v>-3.43</v>
      </c>
      <c r="K1724" s="44">
        <v>289</v>
      </c>
      <c r="L1724" s="44">
        <v>49.25</v>
      </c>
      <c r="M1724" s="44">
        <v>224</v>
      </c>
    </row>
    <row r="1725" spans="1:13" x14ac:dyDescent="0.25">
      <c r="A1725" s="45" t="s">
        <v>2699</v>
      </c>
      <c r="B1725" s="44" t="s">
        <v>4975</v>
      </c>
      <c r="C1725" s="47">
        <v>44250</v>
      </c>
      <c r="D1725" s="44">
        <v>202104</v>
      </c>
      <c r="E1725" s="44">
        <v>51.1</v>
      </c>
      <c r="F1725" s="44">
        <v>51.1</v>
      </c>
      <c r="G1725" s="44">
        <v>49.15</v>
      </c>
      <c r="H1725" s="44">
        <v>49.25</v>
      </c>
      <c r="I1725" s="44">
        <v>-1.75</v>
      </c>
      <c r="J1725" s="44">
        <v>-3.43</v>
      </c>
      <c r="K1725" s="44">
        <v>11</v>
      </c>
      <c r="L1725" s="44">
        <v>49.25</v>
      </c>
      <c r="M1725" s="44">
        <v>4</v>
      </c>
    </row>
    <row r="1726" spans="1:13" x14ac:dyDescent="0.25">
      <c r="A1726" s="45" t="s">
        <v>2700</v>
      </c>
      <c r="B1726" s="44" t="s">
        <v>4976</v>
      </c>
      <c r="C1726" s="47">
        <v>44250</v>
      </c>
      <c r="D1726" s="44">
        <v>202104</v>
      </c>
      <c r="E1726" s="44">
        <v>51.1</v>
      </c>
      <c r="F1726" s="44">
        <v>51.1</v>
      </c>
      <c r="G1726" s="44">
        <v>49.15</v>
      </c>
      <c r="H1726" s="44">
        <v>49.25</v>
      </c>
      <c r="I1726" s="44">
        <v>-1.75</v>
      </c>
      <c r="J1726" s="44">
        <v>-3.43</v>
      </c>
      <c r="K1726" s="44">
        <v>11</v>
      </c>
      <c r="L1726" s="44">
        <v>49.25</v>
      </c>
      <c r="M1726" s="44">
        <v>4</v>
      </c>
    </row>
    <row r="1727" spans="1:13" x14ac:dyDescent="0.25">
      <c r="A1727" s="45" t="s">
        <v>2701</v>
      </c>
      <c r="C1727" s="47"/>
    </row>
    <row r="1728" spans="1:13" x14ac:dyDescent="0.25">
      <c r="A1728" s="45" t="s">
        <v>2702</v>
      </c>
      <c r="C1728" s="47"/>
    </row>
    <row r="1729" spans="1:13" x14ac:dyDescent="0.25">
      <c r="A1729" s="45" t="s">
        <v>2703</v>
      </c>
      <c r="B1729" s="44" t="s">
        <v>4977</v>
      </c>
      <c r="C1729" s="47">
        <v>44250</v>
      </c>
      <c r="D1729" s="44">
        <v>202103</v>
      </c>
      <c r="E1729" s="44">
        <v>51.5</v>
      </c>
      <c r="F1729" s="44">
        <v>52.1</v>
      </c>
      <c r="G1729" s="44">
        <v>48.9</v>
      </c>
      <c r="H1729" s="44">
        <v>49.25</v>
      </c>
      <c r="I1729" s="44">
        <v>-1.75</v>
      </c>
      <c r="J1729" s="44">
        <v>-3.43</v>
      </c>
      <c r="K1729" s="44">
        <v>289</v>
      </c>
      <c r="L1729" s="44">
        <v>49.25</v>
      </c>
      <c r="M1729" s="44">
        <v>224</v>
      </c>
    </row>
    <row r="1730" spans="1:13" x14ac:dyDescent="0.25">
      <c r="A1730" s="45" t="s">
        <v>2704</v>
      </c>
      <c r="B1730" s="44" t="s">
        <v>4978</v>
      </c>
      <c r="C1730" s="47">
        <v>44250</v>
      </c>
      <c r="D1730" s="44">
        <v>202106</v>
      </c>
      <c r="E1730" s="44">
        <v>49.35</v>
      </c>
      <c r="F1730" s="44">
        <v>49.35</v>
      </c>
      <c r="G1730" s="44">
        <v>49.35</v>
      </c>
      <c r="H1730" s="44">
        <v>49.35</v>
      </c>
      <c r="I1730" s="44">
        <v>-1.75</v>
      </c>
      <c r="J1730" s="44">
        <v>-3.42</v>
      </c>
      <c r="K1730" s="44">
        <v>0</v>
      </c>
      <c r="L1730" s="44">
        <v>49.35</v>
      </c>
      <c r="M1730" s="44">
        <v>0</v>
      </c>
    </row>
    <row r="1731" spans="1:13" x14ac:dyDescent="0.25">
      <c r="A1731" s="45" t="s">
        <v>2705</v>
      </c>
      <c r="B1731" s="44" t="s">
        <v>4979</v>
      </c>
      <c r="C1731" s="47">
        <v>44250</v>
      </c>
      <c r="D1731" s="44">
        <v>202109</v>
      </c>
      <c r="E1731" s="44">
        <v>48.75</v>
      </c>
      <c r="F1731" s="44">
        <v>48.75</v>
      </c>
      <c r="G1731" s="44">
        <v>48.75</v>
      </c>
      <c r="H1731" s="44">
        <v>48.75</v>
      </c>
      <c r="I1731" s="44">
        <v>-1.75</v>
      </c>
      <c r="J1731" s="44">
        <v>-3.47</v>
      </c>
      <c r="K1731" s="44">
        <v>0</v>
      </c>
      <c r="L1731" s="44">
        <v>48.75</v>
      </c>
      <c r="M1731" s="44">
        <v>1</v>
      </c>
    </row>
    <row r="1732" spans="1:13" x14ac:dyDescent="0.25">
      <c r="A1732" s="45" t="s">
        <v>2706</v>
      </c>
      <c r="B1732" s="44" t="s">
        <v>4980</v>
      </c>
      <c r="C1732" s="47">
        <v>44250</v>
      </c>
      <c r="D1732" s="44">
        <v>202112</v>
      </c>
      <c r="E1732" s="44">
        <v>49.25</v>
      </c>
      <c r="F1732" s="44">
        <v>49.25</v>
      </c>
      <c r="G1732" s="44">
        <v>49.25</v>
      </c>
      <c r="H1732" s="44">
        <v>49.25</v>
      </c>
      <c r="I1732" s="44">
        <v>-1.75</v>
      </c>
      <c r="J1732" s="44">
        <v>-3.43</v>
      </c>
      <c r="K1732" s="44">
        <v>0</v>
      </c>
      <c r="L1732" s="44">
        <v>49.25</v>
      </c>
      <c r="M1732" s="44">
        <v>0</v>
      </c>
    </row>
    <row r="1733" spans="1:13" x14ac:dyDescent="0.25">
      <c r="A1733" s="45" t="s">
        <v>1063</v>
      </c>
      <c r="B1733" s="44" t="s">
        <v>4981</v>
      </c>
      <c r="C1733" s="47">
        <v>44250</v>
      </c>
      <c r="D1733" s="44">
        <v>202103</v>
      </c>
      <c r="E1733" s="44">
        <v>173.5</v>
      </c>
      <c r="F1733" s="44">
        <v>175</v>
      </c>
      <c r="G1733" s="44">
        <v>170</v>
      </c>
      <c r="H1733" s="44">
        <v>173</v>
      </c>
      <c r="I1733" s="44">
        <v>-3.5</v>
      </c>
      <c r="J1733" s="44">
        <v>-1.98</v>
      </c>
      <c r="K1733" s="44">
        <v>1111</v>
      </c>
      <c r="L1733" s="44">
        <v>173</v>
      </c>
      <c r="M1733" s="44">
        <v>2480</v>
      </c>
    </row>
    <row r="1734" spans="1:13" x14ac:dyDescent="0.25">
      <c r="A1734" s="45" t="s">
        <v>2707</v>
      </c>
      <c r="B1734" s="44" t="s">
        <v>4982</v>
      </c>
      <c r="C1734" s="47">
        <v>44250</v>
      </c>
      <c r="D1734" s="44">
        <v>202103</v>
      </c>
      <c r="E1734" s="44">
        <v>173.5</v>
      </c>
      <c r="F1734" s="44">
        <v>175</v>
      </c>
      <c r="G1734" s="44">
        <v>170</v>
      </c>
      <c r="H1734" s="44">
        <v>173</v>
      </c>
      <c r="I1734" s="44">
        <v>-3.5</v>
      </c>
      <c r="J1734" s="44">
        <v>-1.98</v>
      </c>
      <c r="K1734" s="44">
        <v>1111</v>
      </c>
      <c r="L1734" s="44">
        <v>173</v>
      </c>
      <c r="M1734" s="44">
        <v>2480</v>
      </c>
    </row>
    <row r="1735" spans="1:13" x14ac:dyDescent="0.25">
      <c r="A1735" s="45" t="s">
        <v>2708</v>
      </c>
      <c r="B1735" s="44" t="s">
        <v>4983</v>
      </c>
      <c r="C1735" s="47">
        <v>44250</v>
      </c>
      <c r="D1735" s="44">
        <v>202104</v>
      </c>
      <c r="E1735" s="44">
        <v>172</v>
      </c>
      <c r="F1735" s="44">
        <v>172</v>
      </c>
      <c r="G1735" s="44">
        <v>171.5</v>
      </c>
      <c r="H1735" s="44">
        <v>171.5</v>
      </c>
      <c r="I1735" s="44">
        <v>-4.5</v>
      </c>
      <c r="J1735" s="44">
        <v>-2.56</v>
      </c>
      <c r="K1735" s="44">
        <v>10</v>
      </c>
      <c r="L1735" s="44">
        <v>173</v>
      </c>
      <c r="M1735" s="44">
        <v>71</v>
      </c>
    </row>
    <row r="1736" spans="1:13" x14ac:dyDescent="0.25">
      <c r="A1736" s="45" t="s">
        <v>2709</v>
      </c>
      <c r="B1736" s="44" t="s">
        <v>4984</v>
      </c>
      <c r="C1736" s="47">
        <v>44250</v>
      </c>
      <c r="D1736" s="44">
        <v>202104</v>
      </c>
      <c r="E1736" s="44">
        <v>172</v>
      </c>
      <c r="F1736" s="44">
        <v>172</v>
      </c>
      <c r="G1736" s="44">
        <v>171.5</v>
      </c>
      <c r="H1736" s="44">
        <v>171.5</v>
      </c>
      <c r="I1736" s="44">
        <v>-4.5</v>
      </c>
      <c r="J1736" s="44">
        <v>-2.56</v>
      </c>
      <c r="K1736" s="44">
        <v>10</v>
      </c>
      <c r="L1736" s="44">
        <v>173</v>
      </c>
      <c r="M1736" s="44">
        <v>71</v>
      </c>
    </row>
    <row r="1737" spans="1:13" x14ac:dyDescent="0.25">
      <c r="A1737" s="45" t="s">
        <v>2710</v>
      </c>
      <c r="C1737" s="47"/>
    </row>
    <row r="1738" spans="1:13" x14ac:dyDescent="0.25">
      <c r="A1738" s="45" t="s">
        <v>2711</v>
      </c>
      <c r="C1738" s="47"/>
    </row>
    <row r="1739" spans="1:13" x14ac:dyDescent="0.25">
      <c r="A1739" s="45" t="s">
        <v>2712</v>
      </c>
      <c r="C1739" s="47"/>
    </row>
    <row r="1740" spans="1:13" x14ac:dyDescent="0.25">
      <c r="A1740" s="45" t="s">
        <v>2713</v>
      </c>
      <c r="C1740" s="47"/>
    </row>
    <row r="1741" spans="1:13" x14ac:dyDescent="0.25">
      <c r="A1741" s="45" t="s">
        <v>2714</v>
      </c>
      <c r="B1741" s="44" t="s">
        <v>4985</v>
      </c>
      <c r="C1741" s="47">
        <v>44250</v>
      </c>
      <c r="D1741" s="44">
        <v>202103</v>
      </c>
      <c r="E1741" s="44">
        <v>173.5</v>
      </c>
      <c r="F1741" s="44">
        <v>175</v>
      </c>
      <c r="G1741" s="44">
        <v>170</v>
      </c>
      <c r="H1741" s="44">
        <v>173</v>
      </c>
      <c r="I1741" s="44">
        <v>-3.5</v>
      </c>
      <c r="J1741" s="44">
        <v>-1.98</v>
      </c>
      <c r="K1741" s="44">
        <v>1111</v>
      </c>
      <c r="L1741" s="44">
        <v>173</v>
      </c>
      <c r="M1741" s="44">
        <v>2480</v>
      </c>
    </row>
    <row r="1742" spans="1:13" x14ac:dyDescent="0.25">
      <c r="A1742" s="45" t="s">
        <v>2715</v>
      </c>
      <c r="B1742" s="44" t="s">
        <v>4986</v>
      </c>
      <c r="C1742" s="47">
        <v>44250</v>
      </c>
      <c r="D1742" s="44" t="s">
        <v>5788</v>
      </c>
      <c r="E1742" s="44">
        <v>0</v>
      </c>
      <c r="F1742" s="44">
        <v>0</v>
      </c>
      <c r="G1742" s="44">
        <v>0</v>
      </c>
      <c r="H1742" s="44">
        <v>0</v>
      </c>
      <c r="K1742" s="44">
        <v>0</v>
      </c>
    </row>
    <row r="1743" spans="1:13" x14ac:dyDescent="0.25">
      <c r="A1743" s="45" t="s">
        <v>2716</v>
      </c>
      <c r="B1743" s="44" t="s">
        <v>4987</v>
      </c>
      <c r="C1743" s="47">
        <v>44250</v>
      </c>
      <c r="D1743" s="44" t="s">
        <v>5789</v>
      </c>
      <c r="E1743" s="44">
        <v>0</v>
      </c>
      <c r="F1743" s="44">
        <v>0</v>
      </c>
      <c r="G1743" s="44">
        <v>0</v>
      </c>
      <c r="H1743" s="44">
        <v>0</v>
      </c>
      <c r="K1743" s="44">
        <v>0</v>
      </c>
    </row>
    <row r="1744" spans="1:13" x14ac:dyDescent="0.25">
      <c r="A1744" s="45" t="s">
        <v>2717</v>
      </c>
      <c r="B1744" s="44" t="s">
        <v>4988</v>
      </c>
      <c r="C1744" s="47">
        <v>44250</v>
      </c>
      <c r="D1744" s="44">
        <v>202106</v>
      </c>
      <c r="E1744" s="44">
        <v>171</v>
      </c>
      <c r="F1744" s="44">
        <v>171</v>
      </c>
      <c r="G1744" s="44">
        <v>170.5</v>
      </c>
      <c r="H1744" s="44">
        <v>170.5</v>
      </c>
      <c r="I1744" s="44">
        <v>-4.5</v>
      </c>
      <c r="J1744" s="44">
        <v>-2.57</v>
      </c>
      <c r="K1744" s="44">
        <v>5</v>
      </c>
      <c r="L1744" s="44">
        <v>172</v>
      </c>
      <c r="M1744" s="44">
        <v>305</v>
      </c>
    </row>
    <row r="1745" spans="1:13" x14ac:dyDescent="0.25">
      <c r="A1745" s="45" t="s">
        <v>2718</v>
      </c>
      <c r="B1745" s="44" t="s">
        <v>4989</v>
      </c>
      <c r="C1745" s="47">
        <v>44250</v>
      </c>
      <c r="D1745" s="44">
        <v>202109</v>
      </c>
      <c r="E1745" s="44">
        <v>171.5</v>
      </c>
      <c r="F1745" s="44">
        <v>171.5</v>
      </c>
      <c r="G1745" s="44">
        <v>171.5</v>
      </c>
      <c r="H1745" s="44">
        <v>171.5</v>
      </c>
      <c r="I1745" s="44">
        <v>-5</v>
      </c>
      <c r="J1745" s="44">
        <v>-2.83</v>
      </c>
      <c r="K1745" s="44">
        <v>2</v>
      </c>
      <c r="L1745" s="44">
        <v>171.5</v>
      </c>
      <c r="M1745" s="44">
        <v>5</v>
      </c>
    </row>
    <row r="1746" spans="1:13" x14ac:dyDescent="0.25">
      <c r="A1746" s="45" t="s">
        <v>2719</v>
      </c>
      <c r="B1746" s="44" t="s">
        <v>4990</v>
      </c>
      <c r="C1746" s="47">
        <v>44250</v>
      </c>
      <c r="D1746" s="44">
        <v>202112</v>
      </c>
      <c r="E1746" s="44">
        <v>170.5</v>
      </c>
      <c r="F1746" s="44">
        <v>170.5</v>
      </c>
      <c r="G1746" s="44">
        <v>170.5</v>
      </c>
      <c r="H1746" s="44">
        <v>170.5</v>
      </c>
      <c r="I1746" s="44">
        <v>-3.5</v>
      </c>
      <c r="J1746" s="44">
        <v>-2.0099999999999998</v>
      </c>
      <c r="K1746" s="44">
        <v>0</v>
      </c>
      <c r="L1746" s="44">
        <v>170.5</v>
      </c>
      <c r="M1746" s="44">
        <v>1</v>
      </c>
    </row>
    <row r="1747" spans="1:13" x14ac:dyDescent="0.25">
      <c r="A1747" s="45" t="s">
        <v>1068</v>
      </c>
      <c r="B1747" s="44" t="s">
        <v>4991</v>
      </c>
      <c r="C1747" s="47">
        <v>44250</v>
      </c>
      <c r="D1747" s="44">
        <v>202103</v>
      </c>
      <c r="E1747" s="44">
        <v>359.5</v>
      </c>
      <c r="F1747" s="44">
        <v>368</v>
      </c>
      <c r="G1747" s="44">
        <v>357</v>
      </c>
      <c r="H1747" s="44">
        <v>366.5</v>
      </c>
      <c r="I1747" s="44">
        <v>10.5</v>
      </c>
      <c r="J1747" s="44">
        <v>2.95</v>
      </c>
      <c r="K1747" s="44">
        <v>75</v>
      </c>
      <c r="L1747" s="44">
        <v>366.5</v>
      </c>
      <c r="M1747" s="44">
        <v>203</v>
      </c>
    </row>
    <row r="1748" spans="1:13" x14ac:dyDescent="0.25">
      <c r="A1748" s="45" t="s">
        <v>2720</v>
      </c>
      <c r="B1748" s="44" t="s">
        <v>4992</v>
      </c>
      <c r="C1748" s="47">
        <v>44250</v>
      </c>
      <c r="D1748" s="44">
        <v>202103</v>
      </c>
      <c r="E1748" s="44">
        <v>359.5</v>
      </c>
      <c r="F1748" s="44">
        <v>368</v>
      </c>
      <c r="G1748" s="44">
        <v>357</v>
      </c>
      <c r="H1748" s="44">
        <v>366.5</v>
      </c>
      <c r="I1748" s="44">
        <v>10.5</v>
      </c>
      <c r="J1748" s="44">
        <v>2.95</v>
      </c>
      <c r="K1748" s="44">
        <v>75</v>
      </c>
      <c r="L1748" s="44">
        <v>366.5</v>
      </c>
      <c r="M1748" s="44">
        <v>203</v>
      </c>
    </row>
    <row r="1749" spans="1:13" x14ac:dyDescent="0.25">
      <c r="A1749" s="45" t="s">
        <v>2721</v>
      </c>
      <c r="B1749" s="44" t="s">
        <v>4993</v>
      </c>
      <c r="C1749" s="47">
        <v>44250</v>
      </c>
      <c r="D1749" s="44">
        <v>202104</v>
      </c>
      <c r="E1749" s="44">
        <v>356</v>
      </c>
      <c r="F1749" s="44">
        <v>356</v>
      </c>
      <c r="G1749" s="44">
        <v>356</v>
      </c>
      <c r="H1749" s="44">
        <v>356</v>
      </c>
      <c r="I1749" s="44">
        <v>0</v>
      </c>
      <c r="J1749" s="44">
        <v>0</v>
      </c>
      <c r="K1749" s="44">
        <v>67</v>
      </c>
      <c r="L1749" s="44">
        <v>366.5</v>
      </c>
      <c r="M1749" s="44">
        <v>63</v>
      </c>
    </row>
    <row r="1750" spans="1:13" x14ac:dyDescent="0.25">
      <c r="A1750" s="45" t="s">
        <v>2722</v>
      </c>
      <c r="B1750" s="44" t="s">
        <v>4994</v>
      </c>
      <c r="C1750" s="47">
        <v>44250</v>
      </c>
      <c r="D1750" s="44">
        <v>202104</v>
      </c>
      <c r="E1750" s="44">
        <v>356</v>
      </c>
      <c r="F1750" s="44">
        <v>356</v>
      </c>
      <c r="G1750" s="44">
        <v>356</v>
      </c>
      <c r="H1750" s="44">
        <v>356</v>
      </c>
      <c r="I1750" s="44">
        <v>0</v>
      </c>
      <c r="J1750" s="44">
        <v>0</v>
      </c>
      <c r="K1750" s="44">
        <v>67</v>
      </c>
      <c r="L1750" s="44">
        <v>366.5</v>
      </c>
      <c r="M1750" s="44">
        <v>63</v>
      </c>
    </row>
    <row r="1751" spans="1:13" x14ac:dyDescent="0.25">
      <c r="A1751" s="45" t="s">
        <v>2723</v>
      </c>
      <c r="C1751" s="47"/>
    </row>
    <row r="1752" spans="1:13" x14ac:dyDescent="0.25">
      <c r="A1752" s="45" t="s">
        <v>2724</v>
      </c>
      <c r="C1752" s="47"/>
    </row>
    <row r="1753" spans="1:13" x14ac:dyDescent="0.25">
      <c r="A1753" s="45" t="s">
        <v>2725</v>
      </c>
      <c r="B1753" s="44" t="s">
        <v>4995</v>
      </c>
      <c r="C1753" s="47">
        <v>44250</v>
      </c>
      <c r="D1753" s="44">
        <v>202103</v>
      </c>
      <c r="E1753" s="44">
        <v>359.5</v>
      </c>
      <c r="F1753" s="44">
        <v>368</v>
      </c>
      <c r="G1753" s="44">
        <v>357</v>
      </c>
      <c r="H1753" s="44">
        <v>366.5</v>
      </c>
      <c r="I1753" s="44">
        <v>10.5</v>
      </c>
      <c r="J1753" s="44">
        <v>2.95</v>
      </c>
      <c r="K1753" s="44">
        <v>75</v>
      </c>
      <c r="L1753" s="44">
        <v>366.5</v>
      </c>
      <c r="M1753" s="44">
        <v>203</v>
      </c>
    </row>
    <row r="1754" spans="1:13" x14ac:dyDescent="0.25">
      <c r="A1754" s="45" t="s">
        <v>2726</v>
      </c>
      <c r="B1754" s="44" t="s">
        <v>4996</v>
      </c>
      <c r="C1754" s="47">
        <v>44250</v>
      </c>
      <c r="D1754" s="44">
        <v>202106</v>
      </c>
      <c r="E1754" s="44">
        <v>368.5</v>
      </c>
      <c r="F1754" s="44">
        <v>368.5</v>
      </c>
      <c r="G1754" s="44">
        <v>368.5</v>
      </c>
      <c r="H1754" s="44">
        <v>368.5</v>
      </c>
      <c r="I1754" s="44">
        <v>10</v>
      </c>
      <c r="J1754" s="44">
        <v>2.79</v>
      </c>
      <c r="K1754" s="44">
        <v>0</v>
      </c>
      <c r="L1754" s="44">
        <v>368.5</v>
      </c>
      <c r="M1754" s="44">
        <v>0</v>
      </c>
    </row>
    <row r="1755" spans="1:13" x14ac:dyDescent="0.25">
      <c r="A1755" s="45" t="s">
        <v>2727</v>
      </c>
      <c r="B1755" s="44" t="s">
        <v>4997</v>
      </c>
      <c r="C1755" s="47">
        <v>44250</v>
      </c>
      <c r="D1755" s="44">
        <v>202109</v>
      </c>
      <c r="E1755" s="44">
        <v>368.5</v>
      </c>
      <c r="F1755" s="44">
        <v>368.5</v>
      </c>
      <c r="G1755" s="44">
        <v>368.5</v>
      </c>
      <c r="H1755" s="44">
        <v>368.5</v>
      </c>
      <c r="I1755" s="44">
        <v>10</v>
      </c>
      <c r="J1755" s="44">
        <v>2.79</v>
      </c>
      <c r="K1755" s="44">
        <v>0</v>
      </c>
      <c r="L1755" s="44">
        <v>368.5</v>
      </c>
      <c r="M1755" s="44">
        <v>0</v>
      </c>
    </row>
    <row r="1756" spans="1:13" x14ac:dyDescent="0.25">
      <c r="A1756" s="45" t="s">
        <v>2728</v>
      </c>
      <c r="B1756" s="44" t="s">
        <v>4998</v>
      </c>
      <c r="C1756" s="47">
        <v>44250</v>
      </c>
      <c r="D1756" s="44">
        <v>202112</v>
      </c>
      <c r="E1756" s="44">
        <v>367.5</v>
      </c>
      <c r="F1756" s="44">
        <v>367.5</v>
      </c>
      <c r="G1756" s="44">
        <v>367.5</v>
      </c>
      <c r="H1756" s="44">
        <v>367.5</v>
      </c>
      <c r="I1756" s="44">
        <v>8.5</v>
      </c>
      <c r="J1756" s="44">
        <v>2.37</v>
      </c>
      <c r="K1756" s="44">
        <v>0</v>
      </c>
      <c r="L1756" s="44">
        <v>367.5</v>
      </c>
      <c r="M1756" s="44">
        <v>0</v>
      </c>
    </row>
    <row r="1757" spans="1:13" x14ac:dyDescent="0.25">
      <c r="A1757" s="45" t="s">
        <v>1069</v>
      </c>
      <c r="B1757" s="44" t="s">
        <v>4999</v>
      </c>
      <c r="C1757" s="47">
        <v>44250</v>
      </c>
      <c r="D1757" s="44">
        <v>202103</v>
      </c>
      <c r="E1757" s="44">
        <v>75.400000000000006</v>
      </c>
      <c r="F1757" s="44">
        <v>75.400000000000006</v>
      </c>
      <c r="G1757" s="44">
        <v>74.099999999999994</v>
      </c>
      <c r="H1757" s="44">
        <v>74.5</v>
      </c>
      <c r="I1757" s="44">
        <v>-1.6</v>
      </c>
      <c r="J1757" s="44">
        <v>-2.1</v>
      </c>
      <c r="K1757" s="44">
        <v>155</v>
      </c>
      <c r="L1757" s="44">
        <v>74.5</v>
      </c>
      <c r="M1757" s="44">
        <v>548</v>
      </c>
    </row>
    <row r="1758" spans="1:13" x14ac:dyDescent="0.25">
      <c r="A1758" s="45" t="s">
        <v>2729</v>
      </c>
      <c r="B1758" s="44" t="s">
        <v>5000</v>
      </c>
      <c r="C1758" s="47">
        <v>44250</v>
      </c>
      <c r="D1758" s="44">
        <v>202103</v>
      </c>
      <c r="E1758" s="44">
        <v>75.400000000000006</v>
      </c>
      <c r="F1758" s="44">
        <v>75.400000000000006</v>
      </c>
      <c r="G1758" s="44">
        <v>74.099999999999994</v>
      </c>
      <c r="H1758" s="44">
        <v>74.5</v>
      </c>
      <c r="I1758" s="44">
        <v>-1.6</v>
      </c>
      <c r="J1758" s="44">
        <v>-2.1</v>
      </c>
      <c r="K1758" s="44">
        <v>155</v>
      </c>
      <c r="L1758" s="44">
        <v>74.5</v>
      </c>
      <c r="M1758" s="44">
        <v>548</v>
      </c>
    </row>
    <row r="1759" spans="1:13" x14ac:dyDescent="0.25">
      <c r="A1759" s="45" t="s">
        <v>2730</v>
      </c>
      <c r="B1759" s="44" t="s">
        <v>5001</v>
      </c>
      <c r="C1759" s="47">
        <v>44250</v>
      </c>
      <c r="D1759" s="44">
        <v>202104</v>
      </c>
      <c r="E1759" s="44">
        <v>75.400000000000006</v>
      </c>
      <c r="F1759" s="44">
        <v>75.400000000000006</v>
      </c>
      <c r="G1759" s="44">
        <v>74</v>
      </c>
      <c r="H1759" s="44">
        <v>74</v>
      </c>
      <c r="I1759" s="44">
        <v>-1.4</v>
      </c>
      <c r="J1759" s="44">
        <v>-1.86</v>
      </c>
      <c r="K1759" s="44">
        <v>8</v>
      </c>
      <c r="L1759" s="44">
        <v>74.400000000000006</v>
      </c>
      <c r="M1759" s="44">
        <v>9</v>
      </c>
    </row>
    <row r="1760" spans="1:13" x14ac:dyDescent="0.25">
      <c r="A1760" s="45" t="s">
        <v>2731</v>
      </c>
      <c r="B1760" s="44" t="s">
        <v>5002</v>
      </c>
      <c r="C1760" s="47">
        <v>44250</v>
      </c>
      <c r="D1760" s="44">
        <v>202104</v>
      </c>
      <c r="E1760" s="44">
        <v>75.400000000000006</v>
      </c>
      <c r="F1760" s="44">
        <v>75.400000000000006</v>
      </c>
      <c r="G1760" s="44">
        <v>74</v>
      </c>
      <c r="H1760" s="44">
        <v>74</v>
      </c>
      <c r="I1760" s="44">
        <v>-1.4</v>
      </c>
      <c r="J1760" s="44">
        <v>-1.86</v>
      </c>
      <c r="K1760" s="44">
        <v>8</v>
      </c>
      <c r="L1760" s="44">
        <v>74.400000000000006</v>
      </c>
      <c r="M1760" s="44">
        <v>9</v>
      </c>
    </row>
    <row r="1761" spans="1:13" x14ac:dyDescent="0.25">
      <c r="A1761" s="45" t="s">
        <v>2732</v>
      </c>
      <c r="C1761" s="47"/>
    </row>
    <row r="1762" spans="1:13" x14ac:dyDescent="0.25">
      <c r="A1762" s="45" t="s">
        <v>2733</v>
      </c>
      <c r="C1762" s="47"/>
    </row>
    <row r="1763" spans="1:13" x14ac:dyDescent="0.25">
      <c r="A1763" s="45" t="s">
        <v>2734</v>
      </c>
      <c r="B1763" s="44" t="s">
        <v>5003</v>
      </c>
      <c r="C1763" s="47">
        <v>44250</v>
      </c>
      <c r="D1763" s="44">
        <v>202103</v>
      </c>
      <c r="E1763" s="44">
        <v>75.400000000000006</v>
      </c>
      <c r="F1763" s="44">
        <v>75.400000000000006</v>
      </c>
      <c r="G1763" s="44">
        <v>74.099999999999994</v>
      </c>
      <c r="H1763" s="44">
        <v>74.5</v>
      </c>
      <c r="I1763" s="44">
        <v>-1.6</v>
      </c>
      <c r="J1763" s="44">
        <v>-2.1</v>
      </c>
      <c r="K1763" s="44">
        <v>155</v>
      </c>
      <c r="L1763" s="44">
        <v>74.5</v>
      </c>
      <c r="M1763" s="44">
        <v>548</v>
      </c>
    </row>
    <row r="1764" spans="1:13" x14ac:dyDescent="0.25">
      <c r="A1764" s="45" t="s">
        <v>2735</v>
      </c>
      <c r="B1764" s="44" t="s">
        <v>5004</v>
      </c>
      <c r="C1764" s="47">
        <v>44250</v>
      </c>
      <c r="D1764" s="44">
        <v>202106</v>
      </c>
      <c r="E1764" s="44">
        <v>74.2</v>
      </c>
      <c r="F1764" s="44">
        <v>74.2</v>
      </c>
      <c r="G1764" s="44">
        <v>74.2</v>
      </c>
      <c r="H1764" s="44">
        <v>74.2</v>
      </c>
      <c r="I1764" s="44">
        <v>-1.6</v>
      </c>
      <c r="J1764" s="44">
        <v>-2.11</v>
      </c>
      <c r="K1764" s="44">
        <v>0</v>
      </c>
      <c r="L1764" s="44">
        <v>74.2</v>
      </c>
      <c r="M1764" s="44">
        <v>1</v>
      </c>
    </row>
    <row r="1765" spans="1:13" x14ac:dyDescent="0.25">
      <c r="A1765" s="45" t="s">
        <v>2736</v>
      </c>
      <c r="B1765" s="44" t="s">
        <v>5005</v>
      </c>
      <c r="C1765" s="47">
        <v>44250</v>
      </c>
      <c r="D1765" s="44">
        <v>202109</v>
      </c>
      <c r="E1765" s="44">
        <v>73.7</v>
      </c>
      <c r="F1765" s="44">
        <v>73.7</v>
      </c>
      <c r="G1765" s="44">
        <v>73.7</v>
      </c>
      <c r="H1765" s="44">
        <v>73.7</v>
      </c>
      <c r="I1765" s="44">
        <v>-1.6</v>
      </c>
      <c r="J1765" s="44">
        <v>-2.12</v>
      </c>
      <c r="K1765" s="44">
        <v>0</v>
      </c>
      <c r="L1765" s="44">
        <v>73.7</v>
      </c>
      <c r="M1765" s="44">
        <v>0</v>
      </c>
    </row>
    <row r="1766" spans="1:13" x14ac:dyDescent="0.25">
      <c r="A1766" s="45" t="s">
        <v>2737</v>
      </c>
      <c r="B1766" s="44" t="s">
        <v>5006</v>
      </c>
      <c r="C1766" s="47">
        <v>44250</v>
      </c>
      <c r="D1766" s="44">
        <v>202112</v>
      </c>
      <c r="E1766" s="44">
        <v>73.8</v>
      </c>
      <c r="F1766" s="44">
        <v>73.8</v>
      </c>
      <c r="G1766" s="44">
        <v>73.8</v>
      </c>
      <c r="H1766" s="44">
        <v>73.8</v>
      </c>
      <c r="I1766" s="44">
        <v>-1.6</v>
      </c>
      <c r="J1766" s="44">
        <v>-2.12</v>
      </c>
      <c r="K1766" s="44">
        <v>0</v>
      </c>
      <c r="L1766" s="44">
        <v>73.8</v>
      </c>
      <c r="M1766" s="44">
        <v>0</v>
      </c>
    </row>
    <row r="1767" spans="1:13" x14ac:dyDescent="0.25">
      <c r="A1767" s="45" t="s">
        <v>1096</v>
      </c>
      <c r="B1767" s="44" t="s">
        <v>5007</v>
      </c>
      <c r="C1767" s="47">
        <v>44250</v>
      </c>
      <c r="D1767" s="44">
        <v>202103</v>
      </c>
      <c r="E1767" s="44">
        <v>85</v>
      </c>
      <c r="F1767" s="44">
        <v>85</v>
      </c>
      <c r="G1767" s="44">
        <v>83.9</v>
      </c>
      <c r="H1767" s="44">
        <v>84.8</v>
      </c>
      <c r="I1767" s="44">
        <v>-0.8</v>
      </c>
      <c r="J1767" s="44">
        <v>-0.93</v>
      </c>
      <c r="K1767" s="44">
        <v>17</v>
      </c>
      <c r="L1767" s="44">
        <v>84.8</v>
      </c>
      <c r="M1767" s="44">
        <v>66</v>
      </c>
    </row>
    <row r="1768" spans="1:13" x14ac:dyDescent="0.25">
      <c r="A1768" s="45" t="s">
        <v>2738</v>
      </c>
      <c r="B1768" s="44" t="s">
        <v>5008</v>
      </c>
      <c r="C1768" s="47">
        <v>44250</v>
      </c>
      <c r="D1768" s="44">
        <v>202103</v>
      </c>
      <c r="E1768" s="44">
        <v>85</v>
      </c>
      <c r="F1768" s="44">
        <v>85</v>
      </c>
      <c r="G1768" s="44">
        <v>83.9</v>
      </c>
      <c r="H1768" s="44">
        <v>84.8</v>
      </c>
      <c r="I1768" s="44">
        <v>-0.8</v>
      </c>
      <c r="J1768" s="44">
        <v>-0.93</v>
      </c>
      <c r="K1768" s="44">
        <v>17</v>
      </c>
      <c r="L1768" s="44">
        <v>84.8</v>
      </c>
      <c r="M1768" s="44">
        <v>66</v>
      </c>
    </row>
    <row r="1769" spans="1:13" x14ac:dyDescent="0.25">
      <c r="A1769" s="45" t="s">
        <v>2739</v>
      </c>
      <c r="B1769" s="44" t="s">
        <v>5009</v>
      </c>
      <c r="C1769" s="47">
        <v>44250</v>
      </c>
      <c r="D1769" s="44">
        <v>202104</v>
      </c>
      <c r="E1769" s="44">
        <v>84.3</v>
      </c>
      <c r="F1769" s="44">
        <v>84.3</v>
      </c>
      <c r="G1769" s="44">
        <v>84.3</v>
      </c>
      <c r="H1769" s="44">
        <v>84.3</v>
      </c>
      <c r="I1769" s="44">
        <v>-1.3</v>
      </c>
      <c r="J1769" s="44">
        <v>-1.52</v>
      </c>
      <c r="K1769" s="44">
        <v>1</v>
      </c>
      <c r="L1769" s="44">
        <v>84.3</v>
      </c>
      <c r="M1769" s="44">
        <v>7</v>
      </c>
    </row>
    <row r="1770" spans="1:13" x14ac:dyDescent="0.25">
      <c r="A1770" s="45" t="s">
        <v>2740</v>
      </c>
      <c r="B1770" s="44" t="s">
        <v>5010</v>
      </c>
      <c r="C1770" s="47">
        <v>44250</v>
      </c>
      <c r="D1770" s="44">
        <v>202104</v>
      </c>
      <c r="E1770" s="44">
        <v>84.3</v>
      </c>
      <c r="F1770" s="44">
        <v>84.3</v>
      </c>
      <c r="G1770" s="44">
        <v>84.3</v>
      </c>
      <c r="H1770" s="44">
        <v>84.3</v>
      </c>
      <c r="I1770" s="44">
        <v>-1.3</v>
      </c>
      <c r="J1770" s="44">
        <v>-1.52</v>
      </c>
      <c r="K1770" s="44">
        <v>1</v>
      </c>
      <c r="L1770" s="44">
        <v>84.3</v>
      </c>
      <c r="M1770" s="44">
        <v>7</v>
      </c>
    </row>
    <row r="1771" spans="1:13" x14ac:dyDescent="0.25">
      <c r="A1771" s="45" t="s">
        <v>2741</v>
      </c>
      <c r="C1771" s="47"/>
    </row>
    <row r="1772" spans="1:13" x14ac:dyDescent="0.25">
      <c r="A1772" s="45" t="s">
        <v>2742</v>
      </c>
      <c r="C1772" s="47"/>
    </row>
    <row r="1773" spans="1:13" x14ac:dyDescent="0.25">
      <c r="A1773" s="45" t="s">
        <v>2743</v>
      </c>
      <c r="B1773" s="44" t="s">
        <v>5011</v>
      </c>
      <c r="C1773" s="47">
        <v>44250</v>
      </c>
      <c r="D1773" s="44">
        <v>202103</v>
      </c>
      <c r="E1773" s="44">
        <v>85</v>
      </c>
      <c r="F1773" s="44">
        <v>85</v>
      </c>
      <c r="G1773" s="44">
        <v>83.9</v>
      </c>
      <c r="H1773" s="44">
        <v>84.8</v>
      </c>
      <c r="I1773" s="44">
        <v>-0.8</v>
      </c>
      <c r="J1773" s="44">
        <v>-0.93</v>
      </c>
      <c r="K1773" s="44">
        <v>17</v>
      </c>
      <c r="L1773" s="44">
        <v>84.8</v>
      </c>
      <c r="M1773" s="44">
        <v>66</v>
      </c>
    </row>
    <row r="1774" spans="1:13" x14ac:dyDescent="0.25">
      <c r="A1774" s="45" t="s">
        <v>2744</v>
      </c>
      <c r="B1774" s="44" t="s">
        <v>5012</v>
      </c>
      <c r="C1774" s="47">
        <v>44250</v>
      </c>
      <c r="D1774" s="44">
        <v>202106</v>
      </c>
      <c r="E1774" s="44">
        <v>84.8</v>
      </c>
      <c r="F1774" s="44">
        <v>84.8</v>
      </c>
      <c r="G1774" s="44">
        <v>84.8</v>
      </c>
      <c r="H1774" s="44">
        <v>84.8</v>
      </c>
      <c r="I1774" s="44">
        <v>-0.8</v>
      </c>
      <c r="J1774" s="44">
        <v>-0.93</v>
      </c>
      <c r="K1774" s="44">
        <v>0</v>
      </c>
      <c r="L1774" s="44">
        <v>84.8</v>
      </c>
      <c r="M1774" s="44">
        <v>1</v>
      </c>
    </row>
    <row r="1775" spans="1:13" x14ac:dyDescent="0.25">
      <c r="A1775" s="45" t="s">
        <v>2745</v>
      </c>
      <c r="B1775" s="44" t="s">
        <v>5013</v>
      </c>
      <c r="C1775" s="47">
        <v>44250</v>
      </c>
      <c r="D1775" s="44">
        <v>202109</v>
      </c>
      <c r="E1775" s="44">
        <v>85</v>
      </c>
      <c r="F1775" s="44">
        <v>85</v>
      </c>
      <c r="G1775" s="44">
        <v>85</v>
      </c>
      <c r="H1775" s="44">
        <v>85</v>
      </c>
      <c r="I1775" s="44">
        <v>-0.8</v>
      </c>
      <c r="J1775" s="44">
        <v>-0.93</v>
      </c>
      <c r="K1775" s="44">
        <v>0</v>
      </c>
      <c r="L1775" s="44">
        <v>85</v>
      </c>
      <c r="M1775" s="44">
        <v>0</v>
      </c>
    </row>
    <row r="1776" spans="1:13" x14ac:dyDescent="0.25">
      <c r="A1776" s="45" t="s">
        <v>2746</v>
      </c>
      <c r="B1776" s="44" t="s">
        <v>5014</v>
      </c>
      <c r="C1776" s="47">
        <v>44250</v>
      </c>
      <c r="D1776" s="44">
        <v>202112</v>
      </c>
      <c r="E1776" s="44">
        <v>84.9</v>
      </c>
      <c r="F1776" s="44">
        <v>84.9</v>
      </c>
      <c r="G1776" s="44">
        <v>84.9</v>
      </c>
      <c r="H1776" s="44">
        <v>84.9</v>
      </c>
      <c r="I1776" s="44">
        <v>-0.8</v>
      </c>
      <c r="J1776" s="44">
        <v>-0.93</v>
      </c>
      <c r="K1776" s="44">
        <v>0</v>
      </c>
      <c r="L1776" s="44">
        <v>84.9</v>
      </c>
      <c r="M1776" s="44">
        <v>0</v>
      </c>
    </row>
    <row r="1777" spans="1:13" x14ac:dyDescent="0.25">
      <c r="A1777" s="45" t="s">
        <v>1098</v>
      </c>
      <c r="B1777" s="44" t="s">
        <v>5015</v>
      </c>
      <c r="C1777" s="47">
        <v>44250</v>
      </c>
      <c r="D1777" s="44">
        <v>202103</v>
      </c>
      <c r="E1777" s="44">
        <v>52.3</v>
      </c>
      <c r="F1777" s="44">
        <v>52.7</v>
      </c>
      <c r="G1777" s="44">
        <v>51.5</v>
      </c>
      <c r="H1777" s="44">
        <v>51.9</v>
      </c>
      <c r="I1777" s="44">
        <v>-1.3</v>
      </c>
      <c r="J1777" s="44">
        <v>-2.44</v>
      </c>
      <c r="K1777" s="44">
        <v>403</v>
      </c>
      <c r="L1777" s="44">
        <v>51.8</v>
      </c>
      <c r="M1777" s="44">
        <v>1516</v>
      </c>
    </row>
    <row r="1778" spans="1:13" x14ac:dyDescent="0.25">
      <c r="A1778" s="45" t="s">
        <v>2747</v>
      </c>
      <c r="B1778" s="44" t="s">
        <v>5016</v>
      </c>
      <c r="C1778" s="47">
        <v>44250</v>
      </c>
      <c r="D1778" s="44">
        <v>202103</v>
      </c>
      <c r="E1778" s="44">
        <v>52.3</v>
      </c>
      <c r="F1778" s="44">
        <v>52.7</v>
      </c>
      <c r="G1778" s="44">
        <v>51.5</v>
      </c>
      <c r="H1778" s="44">
        <v>51.9</v>
      </c>
      <c r="I1778" s="44">
        <v>-1.3</v>
      </c>
      <c r="J1778" s="44">
        <v>-2.44</v>
      </c>
      <c r="K1778" s="44">
        <v>403</v>
      </c>
      <c r="L1778" s="44">
        <v>51.8</v>
      </c>
      <c r="M1778" s="44">
        <v>1516</v>
      </c>
    </row>
    <row r="1779" spans="1:13" x14ac:dyDescent="0.25">
      <c r="A1779" s="45" t="s">
        <v>2748</v>
      </c>
      <c r="B1779" s="44" t="s">
        <v>5017</v>
      </c>
      <c r="C1779" s="47">
        <v>44250</v>
      </c>
      <c r="D1779" s="44">
        <v>202104</v>
      </c>
      <c r="E1779" s="44">
        <v>52</v>
      </c>
      <c r="F1779" s="44">
        <v>52.5</v>
      </c>
      <c r="G1779" s="44">
        <v>51.5</v>
      </c>
      <c r="H1779" s="44">
        <v>51.5</v>
      </c>
      <c r="I1779" s="44">
        <v>-1.7</v>
      </c>
      <c r="J1779" s="44">
        <v>-3.2</v>
      </c>
      <c r="K1779" s="44">
        <v>23</v>
      </c>
      <c r="L1779" s="44">
        <v>51.5</v>
      </c>
      <c r="M1779" s="44">
        <v>81</v>
      </c>
    </row>
    <row r="1780" spans="1:13" x14ac:dyDescent="0.25">
      <c r="A1780" s="45" t="s">
        <v>2749</v>
      </c>
      <c r="B1780" s="44" t="s">
        <v>5018</v>
      </c>
      <c r="C1780" s="47">
        <v>44250</v>
      </c>
      <c r="D1780" s="44">
        <v>202104</v>
      </c>
      <c r="E1780" s="44">
        <v>52</v>
      </c>
      <c r="F1780" s="44">
        <v>52.5</v>
      </c>
      <c r="G1780" s="44">
        <v>51.5</v>
      </c>
      <c r="H1780" s="44">
        <v>51.5</v>
      </c>
      <c r="I1780" s="44">
        <v>-1.7</v>
      </c>
      <c r="J1780" s="44">
        <v>-3.2</v>
      </c>
      <c r="K1780" s="44">
        <v>23</v>
      </c>
      <c r="L1780" s="44">
        <v>51.5</v>
      </c>
      <c r="M1780" s="44">
        <v>81</v>
      </c>
    </row>
    <row r="1781" spans="1:13" x14ac:dyDescent="0.25">
      <c r="A1781" s="45" t="s">
        <v>2750</v>
      </c>
      <c r="C1781" s="47"/>
    </row>
    <row r="1782" spans="1:13" x14ac:dyDescent="0.25">
      <c r="A1782" s="45" t="s">
        <v>2751</v>
      </c>
      <c r="C1782" s="47"/>
    </row>
    <row r="1783" spans="1:13" x14ac:dyDescent="0.25">
      <c r="A1783" s="45" t="s">
        <v>2752</v>
      </c>
      <c r="B1783" s="44" t="s">
        <v>5019</v>
      </c>
      <c r="C1783" s="47">
        <v>44250</v>
      </c>
      <c r="D1783" s="44">
        <v>202103</v>
      </c>
      <c r="E1783" s="44">
        <v>52.3</v>
      </c>
      <c r="F1783" s="44">
        <v>52.7</v>
      </c>
      <c r="G1783" s="44">
        <v>51.5</v>
      </c>
      <c r="H1783" s="44">
        <v>51.9</v>
      </c>
      <c r="I1783" s="44">
        <v>-1.3</v>
      </c>
      <c r="J1783" s="44">
        <v>-2.44</v>
      </c>
      <c r="K1783" s="44">
        <v>403</v>
      </c>
      <c r="L1783" s="44">
        <v>51.8</v>
      </c>
      <c r="M1783" s="44">
        <v>1516</v>
      </c>
    </row>
    <row r="1784" spans="1:13" x14ac:dyDescent="0.25">
      <c r="A1784" s="45" t="s">
        <v>2753</v>
      </c>
      <c r="B1784" s="44" t="s">
        <v>5020</v>
      </c>
      <c r="C1784" s="47">
        <v>44250</v>
      </c>
      <c r="D1784" s="44">
        <v>202106</v>
      </c>
      <c r="E1784" s="44">
        <v>51.6</v>
      </c>
      <c r="F1784" s="44">
        <v>51.6</v>
      </c>
      <c r="G1784" s="44">
        <v>51.5</v>
      </c>
      <c r="H1784" s="44">
        <v>51.5</v>
      </c>
      <c r="I1784" s="44">
        <v>-1.7</v>
      </c>
      <c r="J1784" s="44">
        <v>-3.2</v>
      </c>
      <c r="K1784" s="44">
        <v>7</v>
      </c>
      <c r="L1784" s="44">
        <v>51.5</v>
      </c>
      <c r="M1784" s="44">
        <v>6</v>
      </c>
    </row>
    <row r="1785" spans="1:13" x14ac:dyDescent="0.25">
      <c r="A1785" s="45" t="s">
        <v>2754</v>
      </c>
      <c r="B1785" s="44" t="s">
        <v>5021</v>
      </c>
      <c r="C1785" s="47">
        <v>44250</v>
      </c>
      <c r="D1785" s="44">
        <v>202109</v>
      </c>
      <c r="E1785" s="44">
        <v>51.8</v>
      </c>
      <c r="F1785" s="44">
        <v>51.8</v>
      </c>
      <c r="G1785" s="44">
        <v>51.2</v>
      </c>
      <c r="H1785" s="44">
        <v>51.2</v>
      </c>
      <c r="I1785" s="44">
        <v>-1.7</v>
      </c>
      <c r="J1785" s="44">
        <v>-3.21</v>
      </c>
      <c r="K1785" s="44">
        <v>6</v>
      </c>
      <c r="L1785" s="44">
        <v>51.2</v>
      </c>
      <c r="M1785" s="44">
        <v>14</v>
      </c>
    </row>
    <row r="1786" spans="1:13" x14ac:dyDescent="0.25">
      <c r="A1786" s="45" t="s">
        <v>2755</v>
      </c>
      <c r="B1786" s="44" t="s">
        <v>5022</v>
      </c>
      <c r="C1786" s="47">
        <v>44250</v>
      </c>
      <c r="D1786" s="44">
        <v>202112</v>
      </c>
      <c r="E1786" s="44">
        <v>51.6</v>
      </c>
      <c r="F1786" s="44">
        <v>51.6</v>
      </c>
      <c r="G1786" s="44">
        <v>51.6</v>
      </c>
      <c r="H1786" s="44">
        <v>51.6</v>
      </c>
      <c r="I1786" s="44">
        <v>-1.4</v>
      </c>
      <c r="J1786" s="44">
        <v>-2.64</v>
      </c>
      <c r="K1786" s="44">
        <v>0</v>
      </c>
      <c r="L1786" s="44">
        <v>51.6</v>
      </c>
      <c r="M1786" s="44">
        <v>0</v>
      </c>
    </row>
    <row r="1787" spans="1:13" x14ac:dyDescent="0.25">
      <c r="A1787" s="45" t="s">
        <v>1102</v>
      </c>
      <c r="B1787" s="44" t="s">
        <v>5023</v>
      </c>
      <c r="C1787" s="47">
        <v>44250</v>
      </c>
      <c r="D1787" s="44">
        <v>202103</v>
      </c>
      <c r="E1787" s="44">
        <v>440</v>
      </c>
      <c r="F1787" s="44">
        <v>444.5</v>
      </c>
      <c r="G1787" s="44">
        <v>427</v>
      </c>
      <c r="H1787" s="44">
        <v>443</v>
      </c>
      <c r="I1787" s="44">
        <v>5.5</v>
      </c>
      <c r="J1787" s="44">
        <v>1.26</v>
      </c>
      <c r="K1787" s="44">
        <v>123</v>
      </c>
      <c r="L1787" s="44">
        <v>443.5</v>
      </c>
      <c r="M1787" s="44">
        <v>383</v>
      </c>
    </row>
    <row r="1788" spans="1:13" x14ac:dyDescent="0.25">
      <c r="A1788" s="45" t="s">
        <v>2756</v>
      </c>
      <c r="B1788" s="44" t="s">
        <v>5024</v>
      </c>
      <c r="C1788" s="47">
        <v>44250</v>
      </c>
      <c r="D1788" s="44">
        <v>202103</v>
      </c>
      <c r="E1788" s="44">
        <v>440</v>
      </c>
      <c r="F1788" s="44">
        <v>444.5</v>
      </c>
      <c r="G1788" s="44">
        <v>427</v>
      </c>
      <c r="H1788" s="44">
        <v>443</v>
      </c>
      <c r="I1788" s="44">
        <v>5.5</v>
      </c>
      <c r="J1788" s="44">
        <v>1.26</v>
      </c>
      <c r="K1788" s="44">
        <v>123</v>
      </c>
      <c r="L1788" s="44">
        <v>443.5</v>
      </c>
      <c r="M1788" s="44">
        <v>383</v>
      </c>
    </row>
    <row r="1789" spans="1:13" x14ac:dyDescent="0.25">
      <c r="A1789" s="45" t="s">
        <v>2757</v>
      </c>
      <c r="B1789" s="44" t="s">
        <v>5025</v>
      </c>
      <c r="C1789" s="47">
        <v>44250</v>
      </c>
      <c r="D1789" s="44">
        <v>202104</v>
      </c>
      <c r="E1789" s="44">
        <v>427</v>
      </c>
      <c r="F1789" s="44">
        <v>442</v>
      </c>
      <c r="G1789" s="44">
        <v>427</v>
      </c>
      <c r="H1789" s="44">
        <v>441.5</v>
      </c>
      <c r="I1789" s="44">
        <v>4</v>
      </c>
      <c r="J1789" s="44">
        <v>0.91</v>
      </c>
      <c r="K1789" s="44">
        <v>11</v>
      </c>
      <c r="L1789" s="44">
        <v>441.5</v>
      </c>
      <c r="M1789" s="44">
        <v>18</v>
      </c>
    </row>
    <row r="1790" spans="1:13" x14ac:dyDescent="0.25">
      <c r="A1790" s="45" t="s">
        <v>2758</v>
      </c>
      <c r="B1790" s="44" t="s">
        <v>5026</v>
      </c>
      <c r="C1790" s="47">
        <v>44250</v>
      </c>
      <c r="D1790" s="44">
        <v>202104</v>
      </c>
      <c r="E1790" s="44">
        <v>427</v>
      </c>
      <c r="F1790" s="44">
        <v>442</v>
      </c>
      <c r="G1790" s="44">
        <v>427</v>
      </c>
      <c r="H1790" s="44">
        <v>441.5</v>
      </c>
      <c r="I1790" s="44">
        <v>4</v>
      </c>
      <c r="J1790" s="44">
        <v>0.91</v>
      </c>
      <c r="K1790" s="44">
        <v>11</v>
      </c>
      <c r="L1790" s="44">
        <v>441.5</v>
      </c>
      <c r="M1790" s="44">
        <v>18</v>
      </c>
    </row>
    <row r="1791" spans="1:13" x14ac:dyDescent="0.25">
      <c r="A1791" s="45" t="s">
        <v>2759</v>
      </c>
      <c r="C1791" s="47"/>
    </row>
    <row r="1792" spans="1:13" x14ac:dyDescent="0.25">
      <c r="A1792" s="45" t="s">
        <v>2760</v>
      </c>
      <c r="C1792" s="47"/>
    </row>
    <row r="1793" spans="1:13" x14ac:dyDescent="0.25">
      <c r="A1793" s="45" t="s">
        <v>2761</v>
      </c>
      <c r="B1793" s="44" t="s">
        <v>5027</v>
      </c>
      <c r="C1793" s="47">
        <v>44250</v>
      </c>
      <c r="D1793" s="44">
        <v>202103</v>
      </c>
      <c r="E1793" s="44">
        <v>440</v>
      </c>
      <c r="F1793" s="44">
        <v>444.5</v>
      </c>
      <c r="G1793" s="44">
        <v>427</v>
      </c>
      <c r="H1793" s="44">
        <v>443</v>
      </c>
      <c r="I1793" s="44">
        <v>5.5</v>
      </c>
      <c r="J1793" s="44">
        <v>1.26</v>
      </c>
      <c r="K1793" s="44">
        <v>123</v>
      </c>
      <c r="L1793" s="44">
        <v>443.5</v>
      </c>
      <c r="M1793" s="44">
        <v>383</v>
      </c>
    </row>
    <row r="1794" spans="1:13" x14ac:dyDescent="0.25">
      <c r="A1794" s="45" t="s">
        <v>2762</v>
      </c>
      <c r="B1794" s="44" t="s">
        <v>5028</v>
      </c>
      <c r="C1794" s="47">
        <v>44250</v>
      </c>
      <c r="D1794" s="44">
        <v>202106</v>
      </c>
      <c r="E1794" s="44">
        <v>442.5</v>
      </c>
      <c r="F1794" s="44">
        <v>442.5</v>
      </c>
      <c r="G1794" s="44">
        <v>442.5</v>
      </c>
      <c r="H1794" s="44">
        <v>442.5</v>
      </c>
      <c r="I1794" s="44">
        <v>6</v>
      </c>
      <c r="J1794" s="44">
        <v>1.37</v>
      </c>
      <c r="K1794" s="44">
        <v>0</v>
      </c>
      <c r="L1794" s="44">
        <v>442.5</v>
      </c>
      <c r="M1794" s="44">
        <v>5</v>
      </c>
    </row>
    <row r="1795" spans="1:13" x14ac:dyDescent="0.25">
      <c r="A1795" s="45" t="s">
        <v>2763</v>
      </c>
      <c r="B1795" s="44" t="s">
        <v>5029</v>
      </c>
      <c r="C1795" s="47">
        <v>44250</v>
      </c>
      <c r="D1795" s="44">
        <v>202109</v>
      </c>
      <c r="E1795" s="44">
        <v>441</v>
      </c>
      <c r="F1795" s="44">
        <v>441</v>
      </c>
      <c r="G1795" s="44">
        <v>441</v>
      </c>
      <c r="H1795" s="44">
        <v>441</v>
      </c>
      <c r="I1795" s="44">
        <v>6</v>
      </c>
      <c r="J1795" s="44">
        <v>1.38</v>
      </c>
      <c r="K1795" s="44">
        <v>0</v>
      </c>
      <c r="L1795" s="44">
        <v>441</v>
      </c>
      <c r="M1795" s="44">
        <v>0</v>
      </c>
    </row>
    <row r="1796" spans="1:13" x14ac:dyDescent="0.25">
      <c r="A1796" s="45" t="s">
        <v>2764</v>
      </c>
      <c r="B1796" s="44" t="s">
        <v>5030</v>
      </c>
      <c r="C1796" s="47">
        <v>44250</v>
      </c>
      <c r="D1796" s="44">
        <v>202112</v>
      </c>
      <c r="E1796" s="44">
        <v>443.5</v>
      </c>
      <c r="F1796" s="44">
        <v>443.5</v>
      </c>
      <c r="G1796" s="44">
        <v>443.5</v>
      </c>
      <c r="H1796" s="44">
        <v>443.5</v>
      </c>
      <c r="I1796" s="44">
        <v>6</v>
      </c>
      <c r="J1796" s="44">
        <v>1.37</v>
      </c>
      <c r="K1796" s="44">
        <v>0</v>
      </c>
      <c r="L1796" s="44">
        <v>443.5</v>
      </c>
      <c r="M1796" s="44">
        <v>0</v>
      </c>
    </row>
    <row r="1797" spans="1:13" x14ac:dyDescent="0.25">
      <c r="A1797" s="45" t="s">
        <v>1105</v>
      </c>
      <c r="B1797" s="44" t="s">
        <v>5031</v>
      </c>
      <c r="C1797" s="47">
        <v>44250</v>
      </c>
      <c r="D1797" s="44">
        <v>202103</v>
      </c>
      <c r="E1797" s="44">
        <v>62</v>
      </c>
      <c r="F1797" s="44">
        <v>63.1</v>
      </c>
      <c r="G1797" s="44">
        <v>62</v>
      </c>
      <c r="H1797" s="44">
        <v>63.1</v>
      </c>
      <c r="I1797" s="44">
        <v>0.5</v>
      </c>
      <c r="J1797" s="44">
        <v>0.8</v>
      </c>
      <c r="K1797" s="44">
        <v>2</v>
      </c>
      <c r="L1797" s="44">
        <v>63.1</v>
      </c>
      <c r="M1797" s="44">
        <v>36</v>
      </c>
    </row>
    <row r="1798" spans="1:13" x14ac:dyDescent="0.25">
      <c r="A1798" s="45" t="s">
        <v>2765</v>
      </c>
      <c r="B1798" s="44" t="s">
        <v>5032</v>
      </c>
      <c r="C1798" s="47">
        <v>44250</v>
      </c>
      <c r="D1798" s="44">
        <v>202103</v>
      </c>
      <c r="E1798" s="44">
        <v>62</v>
      </c>
      <c r="F1798" s="44">
        <v>63.1</v>
      </c>
      <c r="G1798" s="44">
        <v>62</v>
      </c>
      <c r="H1798" s="44">
        <v>63.1</v>
      </c>
      <c r="I1798" s="44">
        <v>0.5</v>
      </c>
      <c r="J1798" s="44">
        <v>0.8</v>
      </c>
      <c r="K1798" s="44">
        <v>2</v>
      </c>
      <c r="L1798" s="44">
        <v>63.1</v>
      </c>
      <c r="M1798" s="44">
        <v>36</v>
      </c>
    </row>
    <row r="1799" spans="1:13" x14ac:dyDescent="0.25">
      <c r="A1799" s="45" t="s">
        <v>2766</v>
      </c>
      <c r="B1799" s="44" t="s">
        <v>5033</v>
      </c>
      <c r="C1799" s="47">
        <v>44250</v>
      </c>
      <c r="D1799" s="44">
        <v>202104</v>
      </c>
      <c r="E1799" s="44">
        <v>63.2</v>
      </c>
      <c r="F1799" s="44">
        <v>63.2</v>
      </c>
      <c r="G1799" s="44">
        <v>63.2</v>
      </c>
      <c r="H1799" s="44">
        <v>63.2</v>
      </c>
      <c r="I1799" s="44">
        <v>0.5</v>
      </c>
      <c r="J1799" s="44">
        <v>0.8</v>
      </c>
      <c r="K1799" s="44">
        <v>0</v>
      </c>
      <c r="L1799" s="44">
        <v>63.2</v>
      </c>
      <c r="M1799" s="44">
        <v>0</v>
      </c>
    </row>
    <row r="1800" spans="1:13" x14ac:dyDescent="0.25">
      <c r="A1800" s="45" t="s">
        <v>2767</v>
      </c>
      <c r="B1800" s="44" t="s">
        <v>5034</v>
      </c>
      <c r="C1800" s="47">
        <v>44250</v>
      </c>
      <c r="D1800" s="44">
        <v>202104</v>
      </c>
      <c r="E1800" s="44">
        <v>63.2</v>
      </c>
      <c r="F1800" s="44">
        <v>63.2</v>
      </c>
      <c r="G1800" s="44">
        <v>63.2</v>
      </c>
      <c r="H1800" s="44">
        <v>63.2</v>
      </c>
      <c r="I1800" s="44">
        <v>0.5</v>
      </c>
      <c r="J1800" s="44">
        <v>0.8</v>
      </c>
      <c r="K1800" s="44">
        <v>0</v>
      </c>
      <c r="L1800" s="44">
        <v>63.2</v>
      </c>
      <c r="M1800" s="44">
        <v>0</v>
      </c>
    </row>
    <row r="1801" spans="1:13" x14ac:dyDescent="0.25">
      <c r="A1801" s="45" t="s">
        <v>2768</v>
      </c>
      <c r="C1801" s="47"/>
    </row>
    <row r="1802" spans="1:13" x14ac:dyDescent="0.25">
      <c r="A1802" s="45" t="s">
        <v>2769</v>
      </c>
      <c r="B1802" s="44" t="s">
        <v>5035</v>
      </c>
      <c r="C1802" s="47">
        <v>44250</v>
      </c>
      <c r="D1802" s="44">
        <v>202103</v>
      </c>
      <c r="E1802" s="44">
        <v>62</v>
      </c>
      <c r="F1802" s="44">
        <v>63.1</v>
      </c>
      <c r="G1802" s="44">
        <v>62</v>
      </c>
      <c r="H1802" s="44">
        <v>63.1</v>
      </c>
      <c r="I1802" s="44">
        <v>0.5</v>
      </c>
      <c r="J1802" s="44">
        <v>0.8</v>
      </c>
      <c r="K1802" s="44">
        <v>2</v>
      </c>
      <c r="L1802" s="44">
        <v>63.1</v>
      </c>
      <c r="M1802" s="44">
        <v>36</v>
      </c>
    </row>
    <row r="1803" spans="1:13" x14ac:dyDescent="0.25">
      <c r="A1803" s="45" t="s">
        <v>2770</v>
      </c>
      <c r="B1803" s="44" t="s">
        <v>5036</v>
      </c>
      <c r="C1803" s="47">
        <v>44250</v>
      </c>
      <c r="D1803" s="44">
        <v>202106</v>
      </c>
      <c r="E1803" s="44">
        <v>63</v>
      </c>
      <c r="F1803" s="44">
        <v>63</v>
      </c>
      <c r="G1803" s="44">
        <v>63</v>
      </c>
      <c r="H1803" s="44">
        <v>63</v>
      </c>
      <c r="I1803" s="44">
        <v>0.5</v>
      </c>
      <c r="J1803" s="44">
        <v>0.8</v>
      </c>
      <c r="K1803" s="44">
        <v>0</v>
      </c>
      <c r="L1803" s="44">
        <v>63</v>
      </c>
      <c r="M1803" s="44">
        <v>0</v>
      </c>
    </row>
    <row r="1804" spans="1:13" x14ac:dyDescent="0.25">
      <c r="A1804" s="45" t="s">
        <v>2771</v>
      </c>
      <c r="B1804" s="44" t="s">
        <v>5037</v>
      </c>
      <c r="C1804" s="47">
        <v>44250</v>
      </c>
      <c r="D1804" s="44">
        <v>202109</v>
      </c>
      <c r="E1804" s="44">
        <v>63.2</v>
      </c>
      <c r="F1804" s="44">
        <v>63.2</v>
      </c>
      <c r="G1804" s="44">
        <v>63.2</v>
      </c>
      <c r="H1804" s="44">
        <v>63.2</v>
      </c>
      <c r="I1804" s="44">
        <v>0.5</v>
      </c>
      <c r="J1804" s="44">
        <v>0.8</v>
      </c>
      <c r="K1804" s="44">
        <v>0</v>
      </c>
      <c r="L1804" s="44">
        <v>63.2</v>
      </c>
      <c r="M1804" s="44">
        <v>0</v>
      </c>
    </row>
    <row r="1805" spans="1:13" x14ac:dyDescent="0.25">
      <c r="A1805" s="45" t="s">
        <v>2772</v>
      </c>
      <c r="B1805" s="44" t="s">
        <v>5038</v>
      </c>
      <c r="C1805" s="47">
        <v>44250</v>
      </c>
      <c r="D1805" s="44">
        <v>202112</v>
      </c>
      <c r="E1805" s="44">
        <v>63.2</v>
      </c>
      <c r="F1805" s="44">
        <v>63.2</v>
      </c>
      <c r="G1805" s="44">
        <v>63.2</v>
      </c>
      <c r="H1805" s="44">
        <v>63.2</v>
      </c>
      <c r="I1805" s="44">
        <v>0.5</v>
      </c>
      <c r="J1805" s="44">
        <v>0.8</v>
      </c>
      <c r="K1805" s="44">
        <v>0</v>
      </c>
      <c r="L1805" s="44">
        <v>63.2</v>
      </c>
      <c r="M1805" s="44">
        <v>0</v>
      </c>
    </row>
    <row r="1806" spans="1:13" x14ac:dyDescent="0.25">
      <c r="A1806" s="45" t="s">
        <v>880</v>
      </c>
      <c r="B1806" s="44" t="s">
        <v>5039</v>
      </c>
      <c r="C1806" s="47">
        <v>44250</v>
      </c>
      <c r="D1806" s="44">
        <v>202103</v>
      </c>
      <c r="E1806" s="44">
        <v>137.55000000000001</v>
      </c>
      <c r="F1806" s="44">
        <v>138.65</v>
      </c>
      <c r="G1806" s="44">
        <v>136</v>
      </c>
      <c r="H1806" s="44">
        <v>138.4</v>
      </c>
      <c r="I1806" s="44">
        <v>-0.35</v>
      </c>
      <c r="J1806" s="44">
        <v>-0.25</v>
      </c>
      <c r="K1806" s="44">
        <v>1247</v>
      </c>
      <c r="L1806" s="44">
        <v>138.4</v>
      </c>
      <c r="M1806" s="44">
        <v>8961</v>
      </c>
    </row>
    <row r="1807" spans="1:13" x14ac:dyDescent="0.25">
      <c r="A1807" s="45" t="s">
        <v>2773</v>
      </c>
      <c r="B1807" s="44" t="s">
        <v>5040</v>
      </c>
      <c r="C1807" s="47">
        <v>44250</v>
      </c>
      <c r="D1807" s="44">
        <v>202103</v>
      </c>
      <c r="E1807" s="44">
        <v>137.55000000000001</v>
      </c>
      <c r="F1807" s="44">
        <v>138.65</v>
      </c>
      <c r="G1807" s="44">
        <v>136</v>
      </c>
      <c r="H1807" s="44">
        <v>138.4</v>
      </c>
      <c r="I1807" s="44">
        <v>-0.35</v>
      </c>
      <c r="J1807" s="44">
        <v>-0.25</v>
      </c>
      <c r="K1807" s="44">
        <v>1247</v>
      </c>
      <c r="L1807" s="44">
        <v>138.4</v>
      </c>
      <c r="M1807" s="44">
        <v>8961</v>
      </c>
    </row>
    <row r="1808" spans="1:13" x14ac:dyDescent="0.25">
      <c r="A1808" s="45" t="s">
        <v>2774</v>
      </c>
      <c r="B1808" s="44" t="s">
        <v>5041</v>
      </c>
      <c r="C1808" s="47">
        <v>44250</v>
      </c>
      <c r="D1808" s="44">
        <v>202104</v>
      </c>
      <c r="E1808" s="44">
        <v>137.25</v>
      </c>
      <c r="F1808" s="44">
        <v>138.30000000000001</v>
      </c>
      <c r="G1808" s="44">
        <v>137.19999999999999</v>
      </c>
      <c r="H1808" s="44">
        <v>138.1</v>
      </c>
      <c r="I1808" s="44">
        <v>-0.4</v>
      </c>
      <c r="J1808" s="44">
        <v>-0.28999999999999998</v>
      </c>
      <c r="K1808" s="44">
        <v>330</v>
      </c>
      <c r="L1808" s="44">
        <v>138.1</v>
      </c>
      <c r="M1808" s="44">
        <v>490</v>
      </c>
    </row>
    <row r="1809" spans="1:13" x14ac:dyDescent="0.25">
      <c r="A1809" s="45" t="s">
        <v>2775</v>
      </c>
      <c r="B1809" s="44" t="s">
        <v>5042</v>
      </c>
      <c r="C1809" s="47">
        <v>44250</v>
      </c>
      <c r="D1809" s="44">
        <v>202104</v>
      </c>
      <c r="E1809" s="44">
        <v>137.25</v>
      </c>
      <c r="F1809" s="44">
        <v>138.30000000000001</v>
      </c>
      <c r="G1809" s="44">
        <v>137.19999999999999</v>
      </c>
      <c r="H1809" s="44">
        <v>138.1</v>
      </c>
      <c r="I1809" s="44">
        <v>-0.4</v>
      </c>
      <c r="J1809" s="44">
        <v>-0.28999999999999998</v>
      </c>
      <c r="K1809" s="44">
        <v>330</v>
      </c>
      <c r="L1809" s="44">
        <v>138.1</v>
      </c>
      <c r="M1809" s="44">
        <v>490</v>
      </c>
    </row>
    <row r="1810" spans="1:13" x14ac:dyDescent="0.25">
      <c r="A1810" s="45" t="s">
        <v>2776</v>
      </c>
      <c r="C1810" s="47"/>
    </row>
    <row r="1811" spans="1:13" x14ac:dyDescent="0.25">
      <c r="A1811" s="45" t="s">
        <v>2777</v>
      </c>
      <c r="C1811" s="47"/>
    </row>
    <row r="1812" spans="1:13" x14ac:dyDescent="0.25">
      <c r="A1812" s="45" t="s">
        <v>2778</v>
      </c>
      <c r="B1812" s="44" t="s">
        <v>5043</v>
      </c>
      <c r="C1812" s="47">
        <v>44250</v>
      </c>
      <c r="D1812" s="44">
        <v>202103</v>
      </c>
      <c r="E1812" s="44">
        <v>137.55000000000001</v>
      </c>
      <c r="F1812" s="44">
        <v>138.65</v>
      </c>
      <c r="G1812" s="44">
        <v>136</v>
      </c>
      <c r="H1812" s="44">
        <v>138.4</v>
      </c>
      <c r="I1812" s="44">
        <v>-0.35</v>
      </c>
      <c r="J1812" s="44">
        <v>-0.25</v>
      </c>
      <c r="K1812" s="44">
        <v>1247</v>
      </c>
      <c r="L1812" s="44">
        <v>138.4</v>
      </c>
      <c r="M1812" s="44">
        <v>8961</v>
      </c>
    </row>
    <row r="1813" spans="1:13" x14ac:dyDescent="0.25">
      <c r="A1813" s="45" t="s">
        <v>2779</v>
      </c>
      <c r="B1813" s="44" t="s">
        <v>5044</v>
      </c>
      <c r="C1813" s="47">
        <v>44250</v>
      </c>
      <c r="D1813" s="44">
        <v>202106</v>
      </c>
      <c r="E1813" s="44">
        <v>137.85</v>
      </c>
      <c r="F1813" s="44">
        <v>137.85</v>
      </c>
      <c r="G1813" s="44">
        <v>137.85</v>
      </c>
      <c r="H1813" s="44">
        <v>137.85</v>
      </c>
      <c r="I1813" s="44">
        <v>-0.35</v>
      </c>
      <c r="J1813" s="44">
        <v>-0.25</v>
      </c>
      <c r="K1813" s="44">
        <v>0</v>
      </c>
      <c r="L1813" s="44">
        <v>137.85</v>
      </c>
      <c r="M1813" s="44">
        <v>19</v>
      </c>
    </row>
    <row r="1814" spans="1:13" x14ac:dyDescent="0.25">
      <c r="A1814" s="45" t="s">
        <v>2780</v>
      </c>
      <c r="B1814" s="44" t="s">
        <v>5045</v>
      </c>
      <c r="C1814" s="47">
        <v>44250</v>
      </c>
      <c r="D1814" s="44">
        <v>202109</v>
      </c>
      <c r="E1814" s="44">
        <v>138.55000000000001</v>
      </c>
      <c r="F1814" s="44">
        <v>138.55000000000001</v>
      </c>
      <c r="G1814" s="44">
        <v>138.55000000000001</v>
      </c>
      <c r="H1814" s="44">
        <v>138.55000000000001</v>
      </c>
      <c r="I1814" s="44">
        <v>-0.35</v>
      </c>
      <c r="J1814" s="44">
        <v>-0.25</v>
      </c>
      <c r="K1814" s="44">
        <v>0</v>
      </c>
      <c r="L1814" s="44">
        <v>138.55000000000001</v>
      </c>
      <c r="M1814" s="44">
        <v>0</v>
      </c>
    </row>
    <row r="1815" spans="1:13" x14ac:dyDescent="0.25">
      <c r="A1815" s="45" t="s">
        <v>2781</v>
      </c>
      <c r="B1815" s="44" t="s">
        <v>5046</v>
      </c>
      <c r="C1815" s="47">
        <v>44250</v>
      </c>
      <c r="D1815" s="44">
        <v>202112</v>
      </c>
      <c r="E1815" s="44">
        <v>137.75</v>
      </c>
      <c r="F1815" s="44">
        <v>137.75</v>
      </c>
      <c r="G1815" s="44">
        <v>137.75</v>
      </c>
      <c r="H1815" s="44">
        <v>137.75</v>
      </c>
      <c r="I1815" s="44">
        <v>-0.35</v>
      </c>
      <c r="J1815" s="44">
        <v>-0.25</v>
      </c>
      <c r="K1815" s="44">
        <v>0</v>
      </c>
      <c r="L1815" s="44">
        <v>137.75</v>
      </c>
      <c r="M1815" s="44">
        <v>0</v>
      </c>
    </row>
    <row r="1816" spans="1:13" x14ac:dyDescent="0.25">
      <c r="A1816" s="45" t="s">
        <v>882</v>
      </c>
      <c r="B1816" s="44" t="s">
        <v>5047</v>
      </c>
      <c r="C1816" s="47">
        <v>44250</v>
      </c>
      <c r="D1816" s="44">
        <v>202103</v>
      </c>
      <c r="E1816" s="44">
        <v>25.81</v>
      </c>
      <c r="F1816" s="44">
        <v>25.91</v>
      </c>
      <c r="G1816" s="44">
        <v>25.68</v>
      </c>
      <c r="H1816" s="44">
        <v>25.68</v>
      </c>
      <c r="I1816" s="44">
        <v>-0.05</v>
      </c>
      <c r="J1816" s="44">
        <v>-0.19</v>
      </c>
      <c r="K1816" s="44">
        <v>12</v>
      </c>
      <c r="L1816" s="44">
        <v>25.68</v>
      </c>
      <c r="M1816" s="44">
        <v>90</v>
      </c>
    </row>
    <row r="1817" spans="1:13" x14ac:dyDescent="0.25">
      <c r="A1817" s="45" t="s">
        <v>2782</v>
      </c>
      <c r="B1817" s="44" t="s">
        <v>5048</v>
      </c>
      <c r="C1817" s="47">
        <v>44250</v>
      </c>
      <c r="D1817" s="44">
        <v>202103</v>
      </c>
      <c r="E1817" s="44">
        <v>25.81</v>
      </c>
      <c r="F1817" s="44">
        <v>25.91</v>
      </c>
      <c r="G1817" s="44">
        <v>25.68</v>
      </c>
      <c r="H1817" s="44">
        <v>25.68</v>
      </c>
      <c r="I1817" s="44">
        <v>-0.05</v>
      </c>
      <c r="J1817" s="44">
        <v>-0.19</v>
      </c>
      <c r="K1817" s="44">
        <v>12</v>
      </c>
      <c r="L1817" s="44">
        <v>25.68</v>
      </c>
      <c r="M1817" s="44">
        <v>90</v>
      </c>
    </row>
    <row r="1818" spans="1:13" x14ac:dyDescent="0.25">
      <c r="A1818" s="45" t="s">
        <v>2783</v>
      </c>
      <c r="B1818" s="44" t="s">
        <v>5049</v>
      </c>
      <c r="C1818" s="47">
        <v>44250</v>
      </c>
      <c r="D1818" s="44">
        <v>202104</v>
      </c>
      <c r="E1818" s="44">
        <v>25.87</v>
      </c>
      <c r="F1818" s="44">
        <v>25.9</v>
      </c>
      <c r="G1818" s="44">
        <v>25.55</v>
      </c>
      <c r="H1818" s="44">
        <v>25.55</v>
      </c>
      <c r="I1818" s="44">
        <v>-0.27</v>
      </c>
      <c r="J1818" s="44">
        <v>-1.05</v>
      </c>
      <c r="K1818" s="44">
        <v>3</v>
      </c>
      <c r="L1818" s="44">
        <v>25.55</v>
      </c>
      <c r="M1818" s="44">
        <v>14</v>
      </c>
    </row>
    <row r="1819" spans="1:13" x14ac:dyDescent="0.25">
      <c r="A1819" s="45" t="s">
        <v>2784</v>
      </c>
      <c r="B1819" s="44" t="s">
        <v>5050</v>
      </c>
      <c r="C1819" s="47">
        <v>44250</v>
      </c>
      <c r="D1819" s="44">
        <v>202104</v>
      </c>
      <c r="E1819" s="44">
        <v>25.87</v>
      </c>
      <c r="F1819" s="44">
        <v>25.9</v>
      </c>
      <c r="G1819" s="44">
        <v>25.55</v>
      </c>
      <c r="H1819" s="44">
        <v>25.55</v>
      </c>
      <c r="I1819" s="44">
        <v>-0.27</v>
      </c>
      <c r="J1819" s="44">
        <v>-1.05</v>
      </c>
      <c r="K1819" s="44">
        <v>3</v>
      </c>
      <c r="L1819" s="44">
        <v>25.55</v>
      </c>
      <c r="M1819" s="44">
        <v>14</v>
      </c>
    </row>
    <row r="1820" spans="1:13" x14ac:dyDescent="0.25">
      <c r="A1820" s="45" t="s">
        <v>2785</v>
      </c>
      <c r="C1820" s="47"/>
    </row>
    <row r="1821" spans="1:13" x14ac:dyDescent="0.25">
      <c r="A1821" s="45" t="s">
        <v>2786</v>
      </c>
      <c r="C1821" s="47"/>
    </row>
    <row r="1822" spans="1:13" x14ac:dyDescent="0.25">
      <c r="A1822" s="45" t="s">
        <v>2787</v>
      </c>
      <c r="B1822" s="44" t="s">
        <v>5051</v>
      </c>
      <c r="C1822" s="47">
        <v>44250</v>
      </c>
      <c r="D1822" s="44">
        <v>202103</v>
      </c>
      <c r="E1822" s="44">
        <v>25.81</v>
      </c>
      <c r="F1822" s="44">
        <v>25.91</v>
      </c>
      <c r="G1822" s="44">
        <v>25.68</v>
      </c>
      <c r="H1822" s="44">
        <v>25.68</v>
      </c>
      <c r="I1822" s="44">
        <v>-0.05</v>
      </c>
      <c r="J1822" s="44">
        <v>-0.19</v>
      </c>
      <c r="K1822" s="44">
        <v>12</v>
      </c>
      <c r="L1822" s="44">
        <v>25.68</v>
      </c>
      <c r="M1822" s="44">
        <v>90</v>
      </c>
    </row>
    <row r="1823" spans="1:13" x14ac:dyDescent="0.25">
      <c r="A1823" s="45" t="s">
        <v>2788</v>
      </c>
      <c r="B1823" s="44" t="s">
        <v>5052</v>
      </c>
      <c r="C1823" s="47">
        <v>44250</v>
      </c>
      <c r="D1823" s="44">
        <v>202106</v>
      </c>
      <c r="E1823" s="44">
        <v>25.67</v>
      </c>
      <c r="F1823" s="44">
        <v>25.67</v>
      </c>
      <c r="G1823" s="44">
        <v>25.67</v>
      </c>
      <c r="H1823" s="44">
        <v>25.67</v>
      </c>
      <c r="I1823" s="44">
        <v>-0.05</v>
      </c>
      <c r="J1823" s="44">
        <v>-0.19</v>
      </c>
      <c r="K1823" s="44">
        <v>0</v>
      </c>
      <c r="L1823" s="44">
        <v>25.67</v>
      </c>
      <c r="M1823" s="44">
        <v>0</v>
      </c>
    </row>
    <row r="1824" spans="1:13" x14ac:dyDescent="0.25">
      <c r="A1824" s="45" t="s">
        <v>2789</v>
      </c>
      <c r="B1824" s="44" t="s">
        <v>5053</v>
      </c>
      <c r="C1824" s="47">
        <v>44250</v>
      </c>
      <c r="D1824" s="44">
        <v>202109</v>
      </c>
      <c r="E1824" s="44">
        <v>25.81</v>
      </c>
      <c r="F1824" s="44">
        <v>25.81</v>
      </c>
      <c r="G1824" s="44">
        <v>25.81</v>
      </c>
      <c r="H1824" s="44">
        <v>25.81</v>
      </c>
      <c r="I1824" s="44">
        <v>-0.05</v>
      </c>
      <c r="J1824" s="44">
        <v>-0.19</v>
      </c>
      <c r="K1824" s="44">
        <v>0</v>
      </c>
      <c r="L1824" s="44">
        <v>25.81</v>
      </c>
      <c r="M1824" s="44">
        <v>0</v>
      </c>
    </row>
    <row r="1825" spans="1:13" x14ac:dyDescent="0.25">
      <c r="A1825" s="45" t="s">
        <v>2790</v>
      </c>
      <c r="B1825" s="44" t="s">
        <v>5054</v>
      </c>
      <c r="C1825" s="47">
        <v>44250</v>
      </c>
      <c r="D1825" s="44">
        <v>202112</v>
      </c>
      <c r="E1825" s="44">
        <v>25.52</v>
      </c>
      <c r="F1825" s="44">
        <v>25.52</v>
      </c>
      <c r="G1825" s="44">
        <v>25.52</v>
      </c>
      <c r="H1825" s="44">
        <v>25.52</v>
      </c>
      <c r="I1825" s="44">
        <v>-0.05</v>
      </c>
      <c r="J1825" s="44">
        <v>-0.2</v>
      </c>
      <c r="K1825" s="44">
        <v>0</v>
      </c>
      <c r="L1825" s="44">
        <v>25.52</v>
      </c>
      <c r="M1825" s="44">
        <v>0</v>
      </c>
    </row>
    <row r="1826" spans="1:13" x14ac:dyDescent="0.25">
      <c r="A1826" s="45" t="s">
        <v>883</v>
      </c>
      <c r="B1826" s="44" t="s">
        <v>5055</v>
      </c>
      <c r="C1826" s="47">
        <v>44250</v>
      </c>
      <c r="D1826" s="44">
        <v>202103</v>
      </c>
      <c r="E1826" s="44">
        <v>41.16</v>
      </c>
      <c r="F1826" s="44">
        <v>41.68</v>
      </c>
      <c r="G1826" s="44">
        <v>41.12</v>
      </c>
      <c r="H1826" s="44">
        <v>41.27</v>
      </c>
      <c r="I1826" s="44">
        <v>-0.03</v>
      </c>
      <c r="J1826" s="44">
        <v>-7.0000000000000007E-2</v>
      </c>
      <c r="K1826" s="44">
        <v>237</v>
      </c>
      <c r="L1826" s="44">
        <v>41.27</v>
      </c>
      <c r="M1826" s="44">
        <v>1829</v>
      </c>
    </row>
    <row r="1827" spans="1:13" x14ac:dyDescent="0.25">
      <c r="A1827" s="45" t="s">
        <v>2791</v>
      </c>
      <c r="B1827" s="44" t="s">
        <v>5056</v>
      </c>
      <c r="C1827" s="47">
        <v>44250</v>
      </c>
      <c r="D1827" s="44">
        <v>202103</v>
      </c>
      <c r="E1827" s="44">
        <v>41.16</v>
      </c>
      <c r="F1827" s="44">
        <v>41.68</v>
      </c>
      <c r="G1827" s="44">
        <v>41.12</v>
      </c>
      <c r="H1827" s="44">
        <v>41.27</v>
      </c>
      <c r="I1827" s="44">
        <v>-0.03</v>
      </c>
      <c r="J1827" s="44">
        <v>-7.0000000000000007E-2</v>
      </c>
      <c r="K1827" s="44">
        <v>237</v>
      </c>
      <c r="L1827" s="44">
        <v>41.27</v>
      </c>
      <c r="M1827" s="44">
        <v>1829</v>
      </c>
    </row>
    <row r="1828" spans="1:13" x14ac:dyDescent="0.25">
      <c r="A1828" s="45" t="s">
        <v>2792</v>
      </c>
      <c r="B1828" s="44" t="s">
        <v>5057</v>
      </c>
      <c r="C1828" s="47">
        <v>44250</v>
      </c>
      <c r="D1828" s="44">
        <v>202104</v>
      </c>
      <c r="E1828" s="44">
        <v>41.43</v>
      </c>
      <c r="F1828" s="44">
        <v>41.64</v>
      </c>
      <c r="G1828" s="44">
        <v>41.11</v>
      </c>
      <c r="H1828" s="44">
        <v>41.11</v>
      </c>
      <c r="I1828" s="44">
        <v>-0.14000000000000001</v>
      </c>
      <c r="J1828" s="44">
        <v>-0.34</v>
      </c>
      <c r="K1828" s="44">
        <v>47</v>
      </c>
      <c r="L1828" s="44">
        <v>41.11</v>
      </c>
      <c r="M1828" s="44">
        <v>124</v>
      </c>
    </row>
    <row r="1829" spans="1:13" x14ac:dyDescent="0.25">
      <c r="A1829" s="45" t="s">
        <v>2793</v>
      </c>
      <c r="B1829" s="44" t="s">
        <v>5058</v>
      </c>
      <c r="C1829" s="47">
        <v>44250</v>
      </c>
      <c r="D1829" s="44">
        <v>202104</v>
      </c>
      <c r="E1829" s="44">
        <v>41.43</v>
      </c>
      <c r="F1829" s="44">
        <v>41.64</v>
      </c>
      <c r="G1829" s="44">
        <v>41.11</v>
      </c>
      <c r="H1829" s="44">
        <v>41.11</v>
      </c>
      <c r="I1829" s="44">
        <v>-0.14000000000000001</v>
      </c>
      <c r="J1829" s="44">
        <v>-0.34</v>
      </c>
      <c r="K1829" s="44">
        <v>47</v>
      </c>
      <c r="L1829" s="44">
        <v>41.11</v>
      </c>
      <c r="M1829" s="44">
        <v>124</v>
      </c>
    </row>
    <row r="1830" spans="1:13" x14ac:dyDescent="0.25">
      <c r="A1830" s="45" t="s">
        <v>2794</v>
      </c>
      <c r="C1830" s="47"/>
    </row>
    <row r="1831" spans="1:13" x14ac:dyDescent="0.25">
      <c r="A1831" s="45" t="s">
        <v>2795</v>
      </c>
      <c r="C1831" s="47"/>
    </row>
    <row r="1832" spans="1:13" x14ac:dyDescent="0.25">
      <c r="A1832" s="45" t="s">
        <v>2796</v>
      </c>
      <c r="B1832" s="44" t="s">
        <v>5059</v>
      </c>
      <c r="C1832" s="47">
        <v>44250</v>
      </c>
      <c r="D1832" s="44">
        <v>202103</v>
      </c>
      <c r="E1832" s="44">
        <v>41.16</v>
      </c>
      <c r="F1832" s="44">
        <v>41.68</v>
      </c>
      <c r="G1832" s="44">
        <v>41.12</v>
      </c>
      <c r="H1832" s="44">
        <v>41.27</v>
      </c>
      <c r="I1832" s="44">
        <v>-0.03</v>
      </c>
      <c r="J1832" s="44">
        <v>-7.0000000000000007E-2</v>
      </c>
      <c r="K1832" s="44">
        <v>237</v>
      </c>
      <c r="L1832" s="44">
        <v>41.27</v>
      </c>
      <c r="M1832" s="44">
        <v>1829</v>
      </c>
    </row>
    <row r="1833" spans="1:13" x14ac:dyDescent="0.25">
      <c r="A1833" s="45" t="s">
        <v>2797</v>
      </c>
      <c r="B1833" s="44" t="s">
        <v>5060</v>
      </c>
      <c r="C1833" s="47">
        <v>44250</v>
      </c>
      <c r="D1833" s="44">
        <v>202106</v>
      </c>
      <c r="E1833" s="44">
        <v>41.42</v>
      </c>
      <c r="F1833" s="44">
        <v>41.42</v>
      </c>
      <c r="G1833" s="44">
        <v>41.42</v>
      </c>
      <c r="H1833" s="44">
        <v>41.42</v>
      </c>
      <c r="I1833" s="44">
        <v>-0.03</v>
      </c>
      <c r="J1833" s="44">
        <v>-7.0000000000000007E-2</v>
      </c>
      <c r="K1833" s="44">
        <v>0</v>
      </c>
      <c r="L1833" s="44">
        <v>41.42</v>
      </c>
      <c r="M1833" s="44">
        <v>0</v>
      </c>
    </row>
    <row r="1834" spans="1:13" x14ac:dyDescent="0.25">
      <c r="A1834" s="45" t="s">
        <v>2798</v>
      </c>
      <c r="B1834" s="44" t="s">
        <v>5061</v>
      </c>
      <c r="C1834" s="47">
        <v>44250</v>
      </c>
      <c r="D1834" s="44">
        <v>202109</v>
      </c>
      <c r="E1834" s="44">
        <v>41.47</v>
      </c>
      <c r="F1834" s="44">
        <v>41.47</v>
      </c>
      <c r="G1834" s="44">
        <v>41.47</v>
      </c>
      <c r="H1834" s="44">
        <v>41.47</v>
      </c>
      <c r="I1834" s="44">
        <v>-0.03</v>
      </c>
      <c r="J1834" s="44">
        <v>-7.0000000000000007E-2</v>
      </c>
      <c r="K1834" s="44">
        <v>0</v>
      </c>
      <c r="L1834" s="44">
        <v>41.47</v>
      </c>
      <c r="M1834" s="44">
        <v>0</v>
      </c>
    </row>
    <row r="1835" spans="1:13" x14ac:dyDescent="0.25">
      <c r="A1835" s="45" t="s">
        <v>2799</v>
      </c>
      <c r="B1835" s="44" t="s">
        <v>5062</v>
      </c>
      <c r="C1835" s="47">
        <v>44250</v>
      </c>
      <c r="D1835" s="44">
        <v>202112</v>
      </c>
      <c r="E1835" s="44">
        <v>41.13</v>
      </c>
      <c r="F1835" s="44">
        <v>41.13</v>
      </c>
      <c r="G1835" s="44">
        <v>41.13</v>
      </c>
      <c r="H1835" s="44">
        <v>41.13</v>
      </c>
      <c r="I1835" s="44">
        <v>-0.03</v>
      </c>
      <c r="J1835" s="44">
        <v>-7.0000000000000007E-2</v>
      </c>
      <c r="K1835" s="44">
        <v>0</v>
      </c>
      <c r="L1835" s="44">
        <v>41.13</v>
      </c>
      <c r="M1835" s="44">
        <v>0</v>
      </c>
    </row>
    <row r="1836" spans="1:13" x14ac:dyDescent="0.25">
      <c r="A1836" s="45" t="s">
        <v>884</v>
      </c>
      <c r="B1836" s="44" t="s">
        <v>5063</v>
      </c>
      <c r="C1836" s="47">
        <v>44250</v>
      </c>
      <c r="D1836" s="44">
        <v>202103</v>
      </c>
      <c r="E1836" s="44">
        <v>42.25</v>
      </c>
      <c r="F1836" s="44">
        <v>42.62</v>
      </c>
      <c r="G1836" s="44">
        <v>42.06</v>
      </c>
      <c r="H1836" s="44">
        <v>42.1</v>
      </c>
      <c r="I1836" s="44">
        <v>-0.04</v>
      </c>
      <c r="J1836" s="44">
        <v>-0.09</v>
      </c>
      <c r="K1836" s="44">
        <v>55</v>
      </c>
      <c r="L1836" s="44">
        <v>42.1</v>
      </c>
      <c r="M1836" s="44">
        <v>133</v>
      </c>
    </row>
    <row r="1837" spans="1:13" x14ac:dyDescent="0.25">
      <c r="A1837" s="45" t="s">
        <v>2800</v>
      </c>
      <c r="B1837" s="44" t="s">
        <v>5064</v>
      </c>
      <c r="C1837" s="47">
        <v>44250</v>
      </c>
      <c r="D1837" s="44">
        <v>202103</v>
      </c>
      <c r="E1837" s="44">
        <v>42.25</v>
      </c>
      <c r="F1837" s="44">
        <v>42.62</v>
      </c>
      <c r="G1837" s="44">
        <v>42.06</v>
      </c>
      <c r="H1837" s="44">
        <v>42.1</v>
      </c>
      <c r="I1837" s="44">
        <v>-0.04</v>
      </c>
      <c r="J1837" s="44">
        <v>-0.09</v>
      </c>
      <c r="K1837" s="44">
        <v>55</v>
      </c>
      <c r="L1837" s="44">
        <v>42.1</v>
      </c>
      <c r="M1837" s="44">
        <v>133</v>
      </c>
    </row>
    <row r="1838" spans="1:13" x14ac:dyDescent="0.25">
      <c r="A1838" s="45" t="s">
        <v>2801</v>
      </c>
      <c r="B1838" s="44" t="s">
        <v>5065</v>
      </c>
      <c r="C1838" s="47">
        <v>44250</v>
      </c>
      <c r="D1838" s="44">
        <v>202104</v>
      </c>
      <c r="E1838" s="44">
        <v>42.25</v>
      </c>
      <c r="F1838" s="44">
        <v>42.57</v>
      </c>
      <c r="G1838" s="44">
        <v>42.05</v>
      </c>
      <c r="H1838" s="44">
        <v>42.05</v>
      </c>
      <c r="I1838" s="44">
        <v>0.23</v>
      </c>
      <c r="J1838" s="44">
        <v>0.55000000000000004</v>
      </c>
      <c r="K1838" s="44">
        <v>16</v>
      </c>
      <c r="L1838" s="44">
        <v>42.05</v>
      </c>
      <c r="M1838" s="44">
        <v>31</v>
      </c>
    </row>
    <row r="1839" spans="1:13" x14ac:dyDescent="0.25">
      <c r="A1839" s="45" t="s">
        <v>2802</v>
      </c>
      <c r="B1839" s="44" t="s">
        <v>5066</v>
      </c>
      <c r="C1839" s="47">
        <v>44250</v>
      </c>
      <c r="D1839" s="44">
        <v>202104</v>
      </c>
      <c r="E1839" s="44">
        <v>42.25</v>
      </c>
      <c r="F1839" s="44">
        <v>42.57</v>
      </c>
      <c r="G1839" s="44">
        <v>42.05</v>
      </c>
      <c r="H1839" s="44">
        <v>42.05</v>
      </c>
      <c r="I1839" s="44">
        <v>0.23</v>
      </c>
      <c r="J1839" s="44">
        <v>0.55000000000000004</v>
      </c>
      <c r="K1839" s="44">
        <v>16</v>
      </c>
      <c r="L1839" s="44">
        <v>42.05</v>
      </c>
      <c r="M1839" s="44">
        <v>31</v>
      </c>
    </row>
    <row r="1840" spans="1:13" x14ac:dyDescent="0.25">
      <c r="A1840" s="45" t="s">
        <v>2803</v>
      </c>
      <c r="C1840" s="47"/>
    </row>
    <row r="1841" spans="1:13" x14ac:dyDescent="0.25">
      <c r="A1841" s="45" t="s">
        <v>2804</v>
      </c>
      <c r="C1841" s="47"/>
    </row>
    <row r="1842" spans="1:13" x14ac:dyDescent="0.25">
      <c r="A1842" s="45" t="s">
        <v>2805</v>
      </c>
      <c r="B1842" s="44" t="s">
        <v>5067</v>
      </c>
      <c r="C1842" s="47">
        <v>44250</v>
      </c>
      <c r="D1842" s="44">
        <v>202103</v>
      </c>
      <c r="E1842" s="44">
        <v>42.25</v>
      </c>
      <c r="F1842" s="44">
        <v>42.62</v>
      </c>
      <c r="G1842" s="44">
        <v>42.06</v>
      </c>
      <c r="H1842" s="44">
        <v>42.1</v>
      </c>
      <c r="I1842" s="44">
        <v>-0.04</v>
      </c>
      <c r="J1842" s="44">
        <v>-0.09</v>
      </c>
      <c r="K1842" s="44">
        <v>55</v>
      </c>
      <c r="L1842" s="44">
        <v>42.1</v>
      </c>
      <c r="M1842" s="44">
        <v>133</v>
      </c>
    </row>
    <row r="1843" spans="1:13" x14ac:dyDescent="0.25">
      <c r="A1843" s="45" t="s">
        <v>2806</v>
      </c>
      <c r="B1843" s="44" t="s">
        <v>5068</v>
      </c>
      <c r="C1843" s="47">
        <v>44250</v>
      </c>
      <c r="D1843" s="44">
        <v>202106</v>
      </c>
      <c r="E1843" s="44">
        <v>42.1</v>
      </c>
      <c r="F1843" s="44">
        <v>42.1</v>
      </c>
      <c r="G1843" s="44">
        <v>42.1</v>
      </c>
      <c r="H1843" s="44">
        <v>42.1</v>
      </c>
      <c r="I1843" s="44">
        <v>-0.04</v>
      </c>
      <c r="J1843" s="44">
        <v>-0.09</v>
      </c>
      <c r="K1843" s="44">
        <v>0</v>
      </c>
      <c r="L1843" s="44">
        <v>42.1</v>
      </c>
      <c r="M1843" s="44">
        <v>0</v>
      </c>
    </row>
    <row r="1844" spans="1:13" x14ac:dyDescent="0.25">
      <c r="A1844" s="45" t="s">
        <v>2807</v>
      </c>
      <c r="B1844" s="44" t="s">
        <v>5069</v>
      </c>
      <c r="C1844" s="47">
        <v>44250</v>
      </c>
      <c r="D1844" s="44">
        <v>202109</v>
      </c>
      <c r="E1844" s="44">
        <v>41.98</v>
      </c>
      <c r="F1844" s="44">
        <v>41.98</v>
      </c>
      <c r="G1844" s="44">
        <v>41.98</v>
      </c>
      <c r="H1844" s="44">
        <v>41.98</v>
      </c>
      <c r="I1844" s="44">
        <v>-0.04</v>
      </c>
      <c r="J1844" s="44">
        <v>-0.1</v>
      </c>
      <c r="K1844" s="44">
        <v>0</v>
      </c>
      <c r="L1844" s="44">
        <v>41.98</v>
      </c>
      <c r="M1844" s="44">
        <v>0</v>
      </c>
    </row>
    <row r="1845" spans="1:13" x14ac:dyDescent="0.25">
      <c r="A1845" s="45" t="s">
        <v>2808</v>
      </c>
      <c r="B1845" s="44" t="s">
        <v>5070</v>
      </c>
      <c r="C1845" s="47">
        <v>44250</v>
      </c>
      <c r="D1845" s="44">
        <v>202112</v>
      </c>
      <c r="E1845" s="44">
        <v>42.01</v>
      </c>
      <c r="F1845" s="44">
        <v>42.01</v>
      </c>
      <c r="G1845" s="44">
        <v>42.01</v>
      </c>
      <c r="H1845" s="44">
        <v>42.01</v>
      </c>
      <c r="I1845" s="44">
        <v>-0.04</v>
      </c>
      <c r="J1845" s="44">
        <v>-0.1</v>
      </c>
      <c r="K1845" s="44">
        <v>0</v>
      </c>
      <c r="L1845" s="44">
        <v>42.01</v>
      </c>
      <c r="M1845" s="44">
        <v>0</v>
      </c>
    </row>
    <row r="1846" spans="1:13" x14ac:dyDescent="0.25">
      <c r="A1846" s="45" t="s">
        <v>885</v>
      </c>
      <c r="B1846" s="44" t="s">
        <v>5071</v>
      </c>
      <c r="C1846" s="47">
        <v>44250</v>
      </c>
      <c r="D1846" s="44">
        <v>202103</v>
      </c>
      <c r="E1846" s="44">
        <v>33.44</v>
      </c>
      <c r="F1846" s="44">
        <v>33.549999999999997</v>
      </c>
      <c r="G1846" s="44">
        <v>33.26</v>
      </c>
      <c r="H1846" s="44">
        <v>33.26</v>
      </c>
      <c r="I1846" s="44">
        <v>-0.45</v>
      </c>
      <c r="J1846" s="44">
        <v>-1.33</v>
      </c>
      <c r="K1846" s="44">
        <v>20</v>
      </c>
      <c r="L1846" s="44">
        <v>33.26</v>
      </c>
      <c r="M1846" s="44">
        <v>58</v>
      </c>
    </row>
    <row r="1847" spans="1:13" x14ac:dyDescent="0.25">
      <c r="A1847" s="45" t="s">
        <v>2809</v>
      </c>
      <c r="B1847" s="44" t="s">
        <v>5072</v>
      </c>
      <c r="C1847" s="47">
        <v>44250</v>
      </c>
      <c r="D1847" s="44">
        <v>202103</v>
      </c>
      <c r="E1847" s="44">
        <v>33.44</v>
      </c>
      <c r="F1847" s="44">
        <v>33.549999999999997</v>
      </c>
      <c r="G1847" s="44">
        <v>33.26</v>
      </c>
      <c r="H1847" s="44">
        <v>33.26</v>
      </c>
      <c r="I1847" s="44">
        <v>-0.45</v>
      </c>
      <c r="J1847" s="44">
        <v>-1.33</v>
      </c>
      <c r="K1847" s="44">
        <v>20</v>
      </c>
      <c r="L1847" s="44">
        <v>33.26</v>
      </c>
      <c r="M1847" s="44">
        <v>58</v>
      </c>
    </row>
    <row r="1848" spans="1:13" x14ac:dyDescent="0.25">
      <c r="A1848" s="45" t="s">
        <v>2810</v>
      </c>
      <c r="B1848" s="44" t="s">
        <v>5073</v>
      </c>
      <c r="C1848" s="47">
        <v>44250</v>
      </c>
      <c r="D1848" s="44">
        <v>202104</v>
      </c>
      <c r="E1848" s="44">
        <v>33.54</v>
      </c>
      <c r="F1848" s="44">
        <v>33.54</v>
      </c>
      <c r="G1848" s="44">
        <v>33.54</v>
      </c>
      <c r="H1848" s="44">
        <v>33.54</v>
      </c>
      <c r="I1848" s="44">
        <v>-0.16</v>
      </c>
      <c r="J1848" s="44">
        <v>-0.47</v>
      </c>
      <c r="K1848" s="44">
        <v>4</v>
      </c>
      <c r="L1848" s="44">
        <v>33.54</v>
      </c>
      <c r="M1848" s="44">
        <v>5</v>
      </c>
    </row>
    <row r="1849" spans="1:13" x14ac:dyDescent="0.25">
      <c r="A1849" s="45" t="s">
        <v>2811</v>
      </c>
      <c r="B1849" s="44" t="s">
        <v>5074</v>
      </c>
      <c r="C1849" s="47">
        <v>44250</v>
      </c>
      <c r="D1849" s="44">
        <v>202104</v>
      </c>
      <c r="E1849" s="44">
        <v>33.54</v>
      </c>
      <c r="F1849" s="44">
        <v>33.54</v>
      </c>
      <c r="G1849" s="44">
        <v>33.54</v>
      </c>
      <c r="H1849" s="44">
        <v>33.54</v>
      </c>
      <c r="I1849" s="44">
        <v>-0.16</v>
      </c>
      <c r="J1849" s="44">
        <v>-0.47</v>
      </c>
      <c r="K1849" s="44">
        <v>4</v>
      </c>
      <c r="L1849" s="44">
        <v>33.54</v>
      </c>
      <c r="M1849" s="44">
        <v>5</v>
      </c>
    </row>
    <row r="1850" spans="1:13" x14ac:dyDescent="0.25">
      <c r="A1850" s="45" t="s">
        <v>2812</v>
      </c>
      <c r="C1850" s="47"/>
    </row>
    <row r="1851" spans="1:13" x14ac:dyDescent="0.25">
      <c r="A1851" s="45" t="s">
        <v>2813</v>
      </c>
      <c r="B1851" s="44" t="s">
        <v>5075</v>
      </c>
      <c r="C1851" s="47">
        <v>44250</v>
      </c>
      <c r="D1851" s="44">
        <v>202103</v>
      </c>
      <c r="E1851" s="44">
        <v>33.44</v>
      </c>
      <c r="F1851" s="44">
        <v>33.549999999999997</v>
      </c>
      <c r="G1851" s="44">
        <v>33.26</v>
      </c>
      <c r="H1851" s="44">
        <v>33.26</v>
      </c>
      <c r="I1851" s="44">
        <v>-0.45</v>
      </c>
      <c r="J1851" s="44">
        <v>-1.33</v>
      </c>
      <c r="K1851" s="44">
        <v>20</v>
      </c>
      <c r="L1851" s="44">
        <v>33.26</v>
      </c>
      <c r="M1851" s="44">
        <v>58</v>
      </c>
    </row>
    <row r="1852" spans="1:13" x14ac:dyDescent="0.25">
      <c r="A1852" s="45" t="s">
        <v>2814</v>
      </c>
      <c r="B1852" s="44" t="s">
        <v>5076</v>
      </c>
      <c r="C1852" s="47">
        <v>44250</v>
      </c>
      <c r="D1852" s="44">
        <v>202106</v>
      </c>
      <c r="E1852" s="44">
        <v>33.33</v>
      </c>
      <c r="F1852" s="44">
        <v>33.33</v>
      </c>
      <c r="G1852" s="44">
        <v>33.33</v>
      </c>
      <c r="H1852" s="44">
        <v>33.33</v>
      </c>
      <c r="I1852" s="44">
        <v>-0.45</v>
      </c>
      <c r="J1852" s="44">
        <v>-1.33</v>
      </c>
      <c r="K1852" s="44">
        <v>0</v>
      </c>
      <c r="L1852" s="44">
        <v>33.33</v>
      </c>
      <c r="M1852" s="44">
        <v>0</v>
      </c>
    </row>
    <row r="1853" spans="1:13" x14ac:dyDescent="0.25">
      <c r="A1853" s="45" t="s">
        <v>2815</v>
      </c>
      <c r="B1853" s="44" t="s">
        <v>5077</v>
      </c>
      <c r="C1853" s="47">
        <v>44250</v>
      </c>
      <c r="D1853" s="44">
        <v>202109</v>
      </c>
      <c r="E1853" s="44">
        <v>33.28</v>
      </c>
      <c r="F1853" s="44">
        <v>33.28</v>
      </c>
      <c r="G1853" s="44">
        <v>33.28</v>
      </c>
      <c r="H1853" s="44">
        <v>33.28</v>
      </c>
      <c r="I1853" s="44">
        <v>-0.45</v>
      </c>
      <c r="J1853" s="44">
        <v>-1.33</v>
      </c>
      <c r="K1853" s="44">
        <v>0</v>
      </c>
      <c r="L1853" s="44">
        <v>33.28</v>
      </c>
      <c r="M1853" s="44">
        <v>0</v>
      </c>
    </row>
    <row r="1854" spans="1:13" x14ac:dyDescent="0.25">
      <c r="A1854" s="45" t="s">
        <v>2816</v>
      </c>
      <c r="B1854" s="44" t="s">
        <v>5078</v>
      </c>
      <c r="C1854" s="47">
        <v>44250</v>
      </c>
      <c r="D1854" s="44">
        <v>202112</v>
      </c>
      <c r="E1854" s="44">
        <v>33.15</v>
      </c>
      <c r="F1854" s="44">
        <v>33.15</v>
      </c>
      <c r="G1854" s="44">
        <v>33.15</v>
      </c>
      <c r="H1854" s="44">
        <v>33.15</v>
      </c>
      <c r="I1854" s="44">
        <v>-0.45</v>
      </c>
      <c r="J1854" s="44">
        <v>-1.34</v>
      </c>
      <c r="K1854" s="44">
        <v>0</v>
      </c>
      <c r="L1854" s="44">
        <v>33.15</v>
      </c>
      <c r="M1854" s="44">
        <v>0</v>
      </c>
    </row>
    <row r="1855" spans="1:13" x14ac:dyDescent="0.25">
      <c r="A1855" s="45" t="s">
        <v>921</v>
      </c>
      <c r="B1855" s="44" t="s">
        <v>5079</v>
      </c>
      <c r="C1855" s="47">
        <v>44250</v>
      </c>
      <c r="D1855" s="44">
        <v>202103</v>
      </c>
      <c r="E1855" s="44">
        <v>198.5</v>
      </c>
      <c r="F1855" s="44">
        <v>201</v>
      </c>
      <c r="G1855" s="44">
        <v>196</v>
      </c>
      <c r="H1855" s="44">
        <v>200</v>
      </c>
      <c r="I1855" s="44">
        <v>-0.5</v>
      </c>
      <c r="J1855" s="44">
        <v>-0.25</v>
      </c>
      <c r="K1855" s="44">
        <v>54</v>
      </c>
      <c r="L1855" s="44">
        <v>200</v>
      </c>
      <c r="M1855" s="44">
        <v>273</v>
      </c>
    </row>
    <row r="1856" spans="1:13" x14ac:dyDescent="0.25">
      <c r="A1856" s="45" t="s">
        <v>2817</v>
      </c>
      <c r="B1856" s="44" t="s">
        <v>5080</v>
      </c>
      <c r="C1856" s="47">
        <v>44250</v>
      </c>
      <c r="D1856" s="44">
        <v>202103</v>
      </c>
      <c r="E1856" s="44">
        <v>198.5</v>
      </c>
      <c r="F1856" s="44">
        <v>201</v>
      </c>
      <c r="G1856" s="44">
        <v>196</v>
      </c>
      <c r="H1856" s="44">
        <v>200</v>
      </c>
      <c r="I1856" s="44">
        <v>-0.5</v>
      </c>
      <c r="J1856" s="44">
        <v>-0.25</v>
      </c>
      <c r="K1856" s="44">
        <v>54</v>
      </c>
      <c r="L1856" s="44">
        <v>200</v>
      </c>
      <c r="M1856" s="44">
        <v>273</v>
      </c>
    </row>
    <row r="1857" spans="1:13" x14ac:dyDescent="0.25">
      <c r="A1857" s="45" t="s">
        <v>2818</v>
      </c>
      <c r="B1857" s="44" t="s">
        <v>5081</v>
      </c>
      <c r="C1857" s="47">
        <v>44250</v>
      </c>
      <c r="D1857" s="44">
        <v>202104</v>
      </c>
      <c r="E1857" s="44">
        <v>199</v>
      </c>
      <c r="F1857" s="44">
        <v>199</v>
      </c>
      <c r="G1857" s="44">
        <v>199</v>
      </c>
      <c r="H1857" s="44">
        <v>199</v>
      </c>
      <c r="I1857" s="44">
        <v>-0.5</v>
      </c>
      <c r="J1857" s="44">
        <v>-0.25</v>
      </c>
      <c r="K1857" s="44">
        <v>0</v>
      </c>
      <c r="L1857" s="44">
        <v>199</v>
      </c>
      <c r="M1857" s="44">
        <v>0</v>
      </c>
    </row>
    <row r="1858" spans="1:13" x14ac:dyDescent="0.25">
      <c r="A1858" s="45" t="s">
        <v>2819</v>
      </c>
      <c r="B1858" s="44" t="s">
        <v>5082</v>
      </c>
      <c r="C1858" s="47">
        <v>44250</v>
      </c>
      <c r="D1858" s="44">
        <v>202104</v>
      </c>
      <c r="E1858" s="44">
        <v>199</v>
      </c>
      <c r="F1858" s="44">
        <v>199</v>
      </c>
      <c r="G1858" s="44">
        <v>199</v>
      </c>
      <c r="H1858" s="44">
        <v>199</v>
      </c>
      <c r="I1858" s="44">
        <v>-0.5</v>
      </c>
      <c r="J1858" s="44">
        <v>-0.25</v>
      </c>
      <c r="K1858" s="44">
        <v>0</v>
      </c>
      <c r="L1858" s="44">
        <v>199</v>
      </c>
      <c r="M1858" s="44">
        <v>0</v>
      </c>
    </row>
    <row r="1859" spans="1:13" x14ac:dyDescent="0.25">
      <c r="A1859" s="45" t="s">
        <v>2820</v>
      </c>
      <c r="C1859" s="47"/>
    </row>
    <row r="1860" spans="1:13" x14ac:dyDescent="0.25">
      <c r="A1860" s="45" t="s">
        <v>2821</v>
      </c>
      <c r="C1860" s="47"/>
    </row>
    <row r="1861" spans="1:13" x14ac:dyDescent="0.25">
      <c r="A1861" s="45" t="s">
        <v>2822</v>
      </c>
      <c r="B1861" s="44" t="s">
        <v>5083</v>
      </c>
      <c r="C1861" s="47">
        <v>44250</v>
      </c>
      <c r="D1861" s="44">
        <v>202103</v>
      </c>
      <c r="E1861" s="44">
        <v>198.5</v>
      </c>
      <c r="F1861" s="44">
        <v>201</v>
      </c>
      <c r="G1861" s="44">
        <v>196</v>
      </c>
      <c r="H1861" s="44">
        <v>200</v>
      </c>
      <c r="I1861" s="44">
        <v>-0.5</v>
      </c>
      <c r="J1861" s="44">
        <v>-0.25</v>
      </c>
      <c r="K1861" s="44">
        <v>54</v>
      </c>
      <c r="L1861" s="44">
        <v>200</v>
      </c>
      <c r="M1861" s="44">
        <v>273</v>
      </c>
    </row>
    <row r="1862" spans="1:13" x14ac:dyDescent="0.25">
      <c r="A1862" s="45" t="s">
        <v>2823</v>
      </c>
      <c r="B1862" s="44" t="s">
        <v>5084</v>
      </c>
      <c r="C1862" s="47">
        <v>44250</v>
      </c>
      <c r="D1862" s="44">
        <v>202106</v>
      </c>
      <c r="E1862" s="44">
        <v>198.5</v>
      </c>
      <c r="F1862" s="44">
        <v>198.5</v>
      </c>
      <c r="G1862" s="44">
        <v>198.5</v>
      </c>
      <c r="H1862" s="44">
        <v>198.5</v>
      </c>
      <c r="I1862" s="44">
        <v>0</v>
      </c>
      <c r="J1862" s="44">
        <v>0</v>
      </c>
      <c r="K1862" s="44">
        <v>1</v>
      </c>
      <c r="L1862" s="44">
        <v>198.5</v>
      </c>
      <c r="M1862" s="44">
        <v>1</v>
      </c>
    </row>
    <row r="1863" spans="1:13" x14ac:dyDescent="0.25">
      <c r="A1863" s="45" t="s">
        <v>2824</v>
      </c>
      <c r="B1863" s="44" t="s">
        <v>5085</v>
      </c>
      <c r="C1863" s="47">
        <v>44250</v>
      </c>
      <c r="D1863" s="44">
        <v>202109</v>
      </c>
      <c r="E1863" s="44">
        <v>199</v>
      </c>
      <c r="F1863" s="44">
        <v>199</v>
      </c>
      <c r="G1863" s="44">
        <v>199</v>
      </c>
      <c r="H1863" s="44">
        <v>199</v>
      </c>
      <c r="I1863" s="44">
        <v>1.5</v>
      </c>
      <c r="J1863" s="44">
        <v>0.76</v>
      </c>
      <c r="K1863" s="44">
        <v>0</v>
      </c>
      <c r="L1863" s="44">
        <v>199</v>
      </c>
      <c r="M1863" s="44">
        <v>0</v>
      </c>
    </row>
    <row r="1864" spans="1:13" x14ac:dyDescent="0.25">
      <c r="A1864" s="45" t="s">
        <v>2825</v>
      </c>
      <c r="B1864" s="44" t="s">
        <v>5086</v>
      </c>
      <c r="C1864" s="47">
        <v>44250</v>
      </c>
      <c r="D1864" s="44">
        <v>202112</v>
      </c>
      <c r="E1864" s="44">
        <v>199</v>
      </c>
      <c r="F1864" s="44">
        <v>199</v>
      </c>
      <c r="G1864" s="44">
        <v>199</v>
      </c>
      <c r="H1864" s="44">
        <v>199</v>
      </c>
      <c r="I1864" s="44">
        <v>-0.5</v>
      </c>
      <c r="J1864" s="44">
        <v>-0.25</v>
      </c>
      <c r="K1864" s="44">
        <v>0</v>
      </c>
      <c r="L1864" s="44">
        <v>199</v>
      </c>
      <c r="M1864" s="44">
        <v>0</v>
      </c>
    </row>
    <row r="1865" spans="1:13" x14ac:dyDescent="0.25">
      <c r="A1865" s="45" t="s">
        <v>1067</v>
      </c>
      <c r="B1865" s="44" t="s">
        <v>5087</v>
      </c>
      <c r="C1865" s="47">
        <v>44250</v>
      </c>
      <c r="D1865" s="44">
        <v>202103</v>
      </c>
      <c r="E1865" s="44">
        <v>13.45</v>
      </c>
      <c r="F1865" s="44">
        <v>13.55</v>
      </c>
      <c r="G1865" s="44">
        <v>13.1</v>
      </c>
      <c r="H1865" s="44">
        <v>13.45</v>
      </c>
      <c r="I1865" s="44">
        <v>0.1</v>
      </c>
      <c r="J1865" s="44">
        <v>0.75</v>
      </c>
      <c r="K1865" s="44">
        <v>1348</v>
      </c>
      <c r="L1865" s="44">
        <v>13.45</v>
      </c>
      <c r="M1865" s="44">
        <v>2583</v>
      </c>
    </row>
    <row r="1866" spans="1:13" x14ac:dyDescent="0.25">
      <c r="A1866" s="45" t="s">
        <v>2826</v>
      </c>
      <c r="B1866" s="44" t="s">
        <v>5088</v>
      </c>
      <c r="C1866" s="47">
        <v>44250</v>
      </c>
      <c r="D1866" s="44">
        <v>202103</v>
      </c>
      <c r="E1866" s="44">
        <v>13.45</v>
      </c>
      <c r="F1866" s="44">
        <v>13.55</v>
      </c>
      <c r="G1866" s="44">
        <v>13.1</v>
      </c>
      <c r="H1866" s="44">
        <v>13.45</v>
      </c>
      <c r="I1866" s="44">
        <v>0.1</v>
      </c>
      <c r="J1866" s="44">
        <v>0.75</v>
      </c>
      <c r="K1866" s="44">
        <v>1348</v>
      </c>
      <c r="L1866" s="44">
        <v>13.45</v>
      </c>
      <c r="M1866" s="44">
        <v>2583</v>
      </c>
    </row>
    <row r="1867" spans="1:13" x14ac:dyDescent="0.25">
      <c r="A1867" s="45" t="s">
        <v>2827</v>
      </c>
      <c r="B1867" s="44" t="s">
        <v>5089</v>
      </c>
      <c r="C1867" s="47">
        <v>44250</v>
      </c>
      <c r="D1867" s="44">
        <v>202104</v>
      </c>
      <c r="E1867" s="44">
        <v>13.2</v>
      </c>
      <c r="F1867" s="44">
        <v>13.45</v>
      </c>
      <c r="G1867" s="44">
        <v>13.1</v>
      </c>
      <c r="H1867" s="44">
        <v>13.45</v>
      </c>
      <c r="I1867" s="44">
        <v>0.15</v>
      </c>
      <c r="J1867" s="44">
        <v>1.1299999999999999</v>
      </c>
      <c r="K1867" s="44">
        <v>29</v>
      </c>
      <c r="L1867" s="44">
        <v>13.45</v>
      </c>
      <c r="M1867" s="44">
        <v>35</v>
      </c>
    </row>
    <row r="1868" spans="1:13" x14ac:dyDescent="0.25">
      <c r="A1868" s="45" t="s">
        <v>2828</v>
      </c>
      <c r="B1868" s="44" t="s">
        <v>5090</v>
      </c>
      <c r="C1868" s="47">
        <v>44250</v>
      </c>
      <c r="D1868" s="44">
        <v>202104</v>
      </c>
      <c r="E1868" s="44">
        <v>13.2</v>
      </c>
      <c r="F1868" s="44">
        <v>13.45</v>
      </c>
      <c r="G1868" s="44">
        <v>13.1</v>
      </c>
      <c r="H1868" s="44">
        <v>13.45</v>
      </c>
      <c r="I1868" s="44">
        <v>0.15</v>
      </c>
      <c r="J1868" s="44">
        <v>1.1299999999999999</v>
      </c>
      <c r="K1868" s="44">
        <v>29</v>
      </c>
      <c r="L1868" s="44">
        <v>13.45</v>
      </c>
      <c r="M1868" s="44">
        <v>35</v>
      </c>
    </row>
    <row r="1869" spans="1:13" x14ac:dyDescent="0.25">
      <c r="A1869" s="45" t="s">
        <v>2829</v>
      </c>
      <c r="C1869" s="47"/>
    </row>
    <row r="1870" spans="1:13" x14ac:dyDescent="0.25">
      <c r="A1870" s="45" t="s">
        <v>2830</v>
      </c>
      <c r="C1870" s="47"/>
    </row>
    <row r="1871" spans="1:13" x14ac:dyDescent="0.25">
      <c r="A1871" s="45" t="s">
        <v>2831</v>
      </c>
      <c r="C1871" s="47"/>
    </row>
    <row r="1872" spans="1:13" x14ac:dyDescent="0.25">
      <c r="A1872" s="45" t="s">
        <v>2832</v>
      </c>
      <c r="B1872" s="44" t="s">
        <v>5091</v>
      </c>
      <c r="C1872" s="47">
        <v>44250</v>
      </c>
      <c r="D1872" s="44">
        <v>202103</v>
      </c>
      <c r="E1872" s="44">
        <v>13.45</v>
      </c>
      <c r="F1872" s="44">
        <v>13.55</v>
      </c>
      <c r="G1872" s="44">
        <v>13.1</v>
      </c>
      <c r="H1872" s="44">
        <v>13.45</v>
      </c>
      <c r="I1872" s="44">
        <v>0.1</v>
      </c>
      <c r="J1872" s="44">
        <v>0.75</v>
      </c>
      <c r="K1872" s="44">
        <v>1348</v>
      </c>
      <c r="L1872" s="44">
        <v>13.45</v>
      </c>
      <c r="M1872" s="44">
        <v>2583</v>
      </c>
    </row>
    <row r="1873" spans="1:13" x14ac:dyDescent="0.25">
      <c r="A1873" s="45" t="s">
        <v>2833</v>
      </c>
      <c r="B1873" s="44" t="s">
        <v>5092</v>
      </c>
      <c r="C1873" s="47">
        <v>44250</v>
      </c>
      <c r="D1873" s="44">
        <v>202106</v>
      </c>
      <c r="E1873" s="44">
        <v>13.3</v>
      </c>
      <c r="F1873" s="44">
        <v>13.3</v>
      </c>
      <c r="G1873" s="44">
        <v>13.3</v>
      </c>
      <c r="H1873" s="44">
        <v>13.3</v>
      </c>
      <c r="I1873" s="44">
        <v>0.1</v>
      </c>
      <c r="J1873" s="44">
        <v>0.76</v>
      </c>
      <c r="K1873" s="44">
        <v>0</v>
      </c>
      <c r="L1873" s="44">
        <v>13.3</v>
      </c>
      <c r="M1873" s="44">
        <v>0</v>
      </c>
    </row>
    <row r="1874" spans="1:13" x14ac:dyDescent="0.25">
      <c r="A1874" s="45" t="s">
        <v>2834</v>
      </c>
      <c r="C1874" s="47"/>
    </row>
    <row r="1875" spans="1:13" x14ac:dyDescent="0.25">
      <c r="A1875" s="45" t="s">
        <v>2835</v>
      </c>
      <c r="B1875" s="44" t="s">
        <v>5093</v>
      </c>
      <c r="C1875" s="47">
        <v>44250</v>
      </c>
      <c r="D1875" s="44">
        <v>202109</v>
      </c>
      <c r="E1875" s="44">
        <v>13.25</v>
      </c>
      <c r="F1875" s="44">
        <v>13.25</v>
      </c>
      <c r="G1875" s="44">
        <v>13.25</v>
      </c>
      <c r="H1875" s="44">
        <v>13.25</v>
      </c>
      <c r="I1875" s="44">
        <v>0.1</v>
      </c>
      <c r="J1875" s="44">
        <v>0.76</v>
      </c>
      <c r="K1875" s="44">
        <v>0</v>
      </c>
      <c r="L1875" s="44">
        <v>13.25</v>
      </c>
      <c r="M1875" s="44">
        <v>3</v>
      </c>
    </row>
    <row r="1876" spans="1:13" x14ac:dyDescent="0.25">
      <c r="A1876" s="45" t="s">
        <v>2836</v>
      </c>
      <c r="B1876" s="44" t="s">
        <v>5094</v>
      </c>
      <c r="C1876" s="47">
        <v>44250</v>
      </c>
      <c r="D1876" s="44">
        <v>202112</v>
      </c>
      <c r="E1876" s="44">
        <v>13.35</v>
      </c>
      <c r="F1876" s="44">
        <v>13.35</v>
      </c>
      <c r="G1876" s="44">
        <v>13.35</v>
      </c>
      <c r="H1876" s="44">
        <v>13.35</v>
      </c>
      <c r="I1876" s="44">
        <v>0.1</v>
      </c>
      <c r="J1876" s="44">
        <v>0.75</v>
      </c>
      <c r="K1876" s="44">
        <v>0</v>
      </c>
      <c r="L1876" s="44">
        <v>13.35</v>
      </c>
      <c r="M1876" s="44">
        <v>0</v>
      </c>
    </row>
    <row r="1877" spans="1:13" x14ac:dyDescent="0.25">
      <c r="A1877" s="45" t="s">
        <v>1083</v>
      </c>
      <c r="B1877" s="44" t="s">
        <v>5095</v>
      </c>
      <c r="C1877" s="47">
        <v>44250</v>
      </c>
      <c r="D1877" s="44">
        <v>202103</v>
      </c>
      <c r="E1877" s="44">
        <v>117.5</v>
      </c>
      <c r="F1877" s="44">
        <v>121</v>
      </c>
      <c r="G1877" s="44">
        <v>117</v>
      </c>
      <c r="H1877" s="44">
        <v>120.5</v>
      </c>
      <c r="I1877" s="44">
        <v>2.5</v>
      </c>
      <c r="J1877" s="44">
        <v>2.12</v>
      </c>
      <c r="K1877" s="44">
        <v>58</v>
      </c>
      <c r="L1877" s="44">
        <v>120.5</v>
      </c>
      <c r="M1877" s="44">
        <v>106</v>
      </c>
    </row>
    <row r="1878" spans="1:13" x14ac:dyDescent="0.25">
      <c r="A1878" s="45" t="s">
        <v>2837</v>
      </c>
      <c r="B1878" s="44" t="s">
        <v>5096</v>
      </c>
      <c r="C1878" s="47">
        <v>44250</v>
      </c>
      <c r="D1878" s="44">
        <v>202103</v>
      </c>
      <c r="E1878" s="44">
        <v>117.5</v>
      </c>
      <c r="F1878" s="44">
        <v>121</v>
      </c>
      <c r="G1878" s="44">
        <v>117</v>
      </c>
      <c r="H1878" s="44">
        <v>120.5</v>
      </c>
      <c r="I1878" s="44">
        <v>2.5</v>
      </c>
      <c r="J1878" s="44">
        <v>2.12</v>
      </c>
      <c r="K1878" s="44">
        <v>58</v>
      </c>
      <c r="L1878" s="44">
        <v>120.5</v>
      </c>
      <c r="M1878" s="44">
        <v>106</v>
      </c>
    </row>
    <row r="1879" spans="1:13" x14ac:dyDescent="0.25">
      <c r="A1879" s="45" t="s">
        <v>2838</v>
      </c>
      <c r="B1879" s="44" t="s">
        <v>5097</v>
      </c>
      <c r="C1879" s="47">
        <v>44250</v>
      </c>
      <c r="D1879" s="44">
        <v>202104</v>
      </c>
      <c r="E1879" s="44">
        <v>120.5</v>
      </c>
      <c r="F1879" s="44">
        <v>120.5</v>
      </c>
      <c r="G1879" s="44">
        <v>120.5</v>
      </c>
      <c r="H1879" s="44">
        <v>120.5</v>
      </c>
      <c r="I1879" s="44">
        <v>2.5</v>
      </c>
      <c r="J1879" s="44">
        <v>2.12</v>
      </c>
      <c r="K1879" s="44">
        <v>3</v>
      </c>
      <c r="L1879" s="44">
        <v>120.5</v>
      </c>
      <c r="M1879" s="44">
        <v>6</v>
      </c>
    </row>
    <row r="1880" spans="1:13" x14ac:dyDescent="0.25">
      <c r="A1880" s="45" t="s">
        <v>2839</v>
      </c>
      <c r="B1880" s="44" t="s">
        <v>5098</v>
      </c>
      <c r="C1880" s="47">
        <v>44250</v>
      </c>
      <c r="D1880" s="44">
        <v>202104</v>
      </c>
      <c r="E1880" s="44">
        <v>120.5</v>
      </c>
      <c r="F1880" s="44">
        <v>120.5</v>
      </c>
      <c r="G1880" s="44">
        <v>120.5</v>
      </c>
      <c r="H1880" s="44">
        <v>120.5</v>
      </c>
      <c r="I1880" s="44">
        <v>2.5</v>
      </c>
      <c r="J1880" s="44">
        <v>2.12</v>
      </c>
      <c r="K1880" s="44">
        <v>3</v>
      </c>
      <c r="L1880" s="44">
        <v>120.5</v>
      </c>
      <c r="M1880" s="44">
        <v>6</v>
      </c>
    </row>
    <row r="1881" spans="1:13" x14ac:dyDescent="0.25">
      <c r="A1881" s="45" t="s">
        <v>2840</v>
      </c>
      <c r="C1881" s="47"/>
    </row>
    <row r="1882" spans="1:13" x14ac:dyDescent="0.25">
      <c r="A1882" s="45" t="s">
        <v>2841</v>
      </c>
      <c r="C1882" s="47"/>
    </row>
    <row r="1883" spans="1:13" x14ac:dyDescent="0.25">
      <c r="A1883" s="45" t="s">
        <v>2842</v>
      </c>
      <c r="B1883" s="44" t="s">
        <v>5099</v>
      </c>
      <c r="C1883" s="47">
        <v>44250</v>
      </c>
      <c r="D1883" s="44">
        <v>202103</v>
      </c>
      <c r="E1883" s="44">
        <v>117.5</v>
      </c>
      <c r="F1883" s="44">
        <v>121</v>
      </c>
      <c r="G1883" s="44">
        <v>117</v>
      </c>
      <c r="H1883" s="44">
        <v>120.5</v>
      </c>
      <c r="I1883" s="44">
        <v>2.5</v>
      </c>
      <c r="J1883" s="44">
        <v>2.12</v>
      </c>
      <c r="K1883" s="44">
        <v>58</v>
      </c>
      <c r="L1883" s="44">
        <v>120.5</v>
      </c>
      <c r="M1883" s="44">
        <v>106</v>
      </c>
    </row>
    <row r="1884" spans="1:13" x14ac:dyDescent="0.25">
      <c r="A1884" s="45" t="s">
        <v>2843</v>
      </c>
      <c r="B1884" s="44" t="s">
        <v>5100</v>
      </c>
      <c r="C1884" s="47">
        <v>44250</v>
      </c>
      <c r="D1884" s="44">
        <v>202106</v>
      </c>
      <c r="E1884" s="44">
        <v>120</v>
      </c>
      <c r="F1884" s="44">
        <v>120</v>
      </c>
      <c r="G1884" s="44">
        <v>120</v>
      </c>
      <c r="H1884" s="44">
        <v>120</v>
      </c>
      <c r="I1884" s="44">
        <v>2.5</v>
      </c>
      <c r="J1884" s="44">
        <v>2.13</v>
      </c>
      <c r="K1884" s="44">
        <v>0</v>
      </c>
      <c r="L1884" s="44">
        <v>120</v>
      </c>
      <c r="M1884" s="44">
        <v>1</v>
      </c>
    </row>
    <row r="1885" spans="1:13" x14ac:dyDescent="0.25">
      <c r="A1885" s="45" t="s">
        <v>2844</v>
      </c>
      <c r="B1885" s="44" t="s">
        <v>5101</v>
      </c>
      <c r="C1885" s="47">
        <v>44250</v>
      </c>
      <c r="D1885" s="44">
        <v>202109</v>
      </c>
      <c r="E1885" s="44">
        <v>120.5</v>
      </c>
      <c r="F1885" s="44">
        <v>120.5</v>
      </c>
      <c r="G1885" s="44">
        <v>120.5</v>
      </c>
      <c r="H1885" s="44">
        <v>120.5</v>
      </c>
      <c r="I1885" s="44">
        <v>2.5</v>
      </c>
      <c r="J1885" s="44">
        <v>2.12</v>
      </c>
      <c r="K1885" s="44">
        <v>0</v>
      </c>
      <c r="L1885" s="44">
        <v>120.5</v>
      </c>
      <c r="M1885" s="44">
        <v>0</v>
      </c>
    </row>
    <row r="1886" spans="1:13" x14ac:dyDescent="0.25">
      <c r="A1886" s="45" t="s">
        <v>2845</v>
      </c>
      <c r="B1886" s="44" t="s">
        <v>5102</v>
      </c>
      <c r="C1886" s="47">
        <v>44250</v>
      </c>
      <c r="D1886" s="44">
        <v>202112</v>
      </c>
      <c r="E1886" s="44">
        <v>119.5</v>
      </c>
      <c r="F1886" s="44">
        <v>119.5</v>
      </c>
      <c r="G1886" s="44">
        <v>119.5</v>
      </c>
      <c r="H1886" s="44">
        <v>119.5</v>
      </c>
      <c r="I1886" s="44">
        <v>2.5</v>
      </c>
      <c r="J1886" s="44">
        <v>2.14</v>
      </c>
      <c r="K1886" s="44">
        <v>0</v>
      </c>
      <c r="L1886" s="44">
        <v>119.5</v>
      </c>
      <c r="M1886" s="44">
        <v>1</v>
      </c>
    </row>
    <row r="1887" spans="1:13" x14ac:dyDescent="0.25">
      <c r="A1887" s="45" t="s">
        <v>886</v>
      </c>
      <c r="B1887" s="44" t="s">
        <v>5103</v>
      </c>
      <c r="C1887" s="47">
        <v>44250</v>
      </c>
      <c r="D1887" s="44">
        <v>202103</v>
      </c>
      <c r="E1887" s="44">
        <v>30</v>
      </c>
      <c r="F1887" s="44">
        <v>30.26</v>
      </c>
      <c r="G1887" s="44">
        <v>29.91</v>
      </c>
      <c r="H1887" s="44">
        <v>29.98</v>
      </c>
      <c r="I1887" s="44">
        <v>0.03</v>
      </c>
      <c r="J1887" s="44">
        <v>0.1</v>
      </c>
      <c r="K1887" s="44">
        <v>58</v>
      </c>
      <c r="L1887" s="44">
        <v>29.98</v>
      </c>
      <c r="M1887" s="44">
        <v>312</v>
      </c>
    </row>
    <row r="1888" spans="1:13" x14ac:dyDescent="0.25">
      <c r="A1888" s="45" t="s">
        <v>2846</v>
      </c>
      <c r="B1888" s="44" t="s">
        <v>5104</v>
      </c>
      <c r="C1888" s="47">
        <v>44250</v>
      </c>
      <c r="D1888" s="44">
        <v>202103</v>
      </c>
      <c r="E1888" s="44">
        <v>30</v>
      </c>
      <c r="F1888" s="44">
        <v>30.26</v>
      </c>
      <c r="G1888" s="44">
        <v>29.91</v>
      </c>
      <c r="H1888" s="44">
        <v>29.98</v>
      </c>
      <c r="I1888" s="44">
        <v>0.03</v>
      </c>
      <c r="J1888" s="44">
        <v>0.1</v>
      </c>
      <c r="K1888" s="44">
        <v>58</v>
      </c>
      <c r="L1888" s="44">
        <v>29.98</v>
      </c>
      <c r="M1888" s="44">
        <v>312</v>
      </c>
    </row>
    <row r="1889" spans="1:13" x14ac:dyDescent="0.25">
      <c r="A1889" s="45" t="s">
        <v>2847</v>
      </c>
      <c r="B1889" s="44" t="s">
        <v>5105</v>
      </c>
      <c r="C1889" s="47">
        <v>44250</v>
      </c>
      <c r="D1889" s="44">
        <v>202104</v>
      </c>
      <c r="E1889" s="44">
        <v>29.99</v>
      </c>
      <c r="F1889" s="44">
        <v>29.99</v>
      </c>
      <c r="G1889" s="44">
        <v>29.99</v>
      </c>
      <c r="H1889" s="44">
        <v>29.99</v>
      </c>
      <c r="I1889" s="44">
        <v>0.09</v>
      </c>
      <c r="J1889" s="44">
        <v>0.3</v>
      </c>
      <c r="K1889" s="44">
        <v>9</v>
      </c>
      <c r="L1889" s="44">
        <v>29.99</v>
      </c>
      <c r="M1889" s="44">
        <v>67</v>
      </c>
    </row>
    <row r="1890" spans="1:13" x14ac:dyDescent="0.25">
      <c r="A1890" s="45" t="s">
        <v>2848</v>
      </c>
      <c r="B1890" s="44" t="s">
        <v>5106</v>
      </c>
      <c r="C1890" s="47">
        <v>44250</v>
      </c>
      <c r="D1890" s="44">
        <v>202104</v>
      </c>
      <c r="E1890" s="44">
        <v>29.99</v>
      </c>
      <c r="F1890" s="44">
        <v>29.99</v>
      </c>
      <c r="G1890" s="44">
        <v>29.99</v>
      </c>
      <c r="H1890" s="44">
        <v>29.99</v>
      </c>
      <c r="I1890" s="44">
        <v>0.09</v>
      </c>
      <c r="J1890" s="44">
        <v>0.3</v>
      </c>
      <c r="K1890" s="44">
        <v>9</v>
      </c>
      <c r="L1890" s="44">
        <v>29.99</v>
      </c>
      <c r="M1890" s="44">
        <v>67</v>
      </c>
    </row>
    <row r="1891" spans="1:13" x14ac:dyDescent="0.25">
      <c r="A1891" s="45" t="s">
        <v>2849</v>
      </c>
      <c r="C1891" s="47"/>
    </row>
    <row r="1892" spans="1:13" x14ac:dyDescent="0.25">
      <c r="A1892" s="45" t="s">
        <v>2850</v>
      </c>
      <c r="C1892" s="47"/>
    </row>
    <row r="1893" spans="1:13" x14ac:dyDescent="0.25">
      <c r="A1893" s="45" t="s">
        <v>2851</v>
      </c>
      <c r="B1893" s="44" t="s">
        <v>5107</v>
      </c>
      <c r="C1893" s="47">
        <v>44250</v>
      </c>
      <c r="D1893" s="44">
        <v>202103</v>
      </c>
      <c r="E1893" s="44">
        <v>30</v>
      </c>
      <c r="F1893" s="44">
        <v>30.26</v>
      </c>
      <c r="G1893" s="44">
        <v>29.91</v>
      </c>
      <c r="H1893" s="44">
        <v>29.98</v>
      </c>
      <c r="I1893" s="44">
        <v>0.03</v>
      </c>
      <c r="J1893" s="44">
        <v>0.1</v>
      </c>
      <c r="K1893" s="44">
        <v>58</v>
      </c>
      <c r="L1893" s="44">
        <v>29.98</v>
      </c>
      <c r="M1893" s="44">
        <v>312</v>
      </c>
    </row>
    <row r="1894" spans="1:13" x14ac:dyDescent="0.25">
      <c r="A1894" s="45" t="s">
        <v>2852</v>
      </c>
      <c r="B1894" s="44" t="s">
        <v>5108</v>
      </c>
      <c r="C1894" s="47">
        <v>44250</v>
      </c>
      <c r="D1894" s="44">
        <v>202106</v>
      </c>
      <c r="E1894" s="44">
        <v>30.08</v>
      </c>
      <c r="F1894" s="44">
        <v>30.08</v>
      </c>
      <c r="G1894" s="44">
        <v>30.08</v>
      </c>
      <c r="H1894" s="44">
        <v>30.08</v>
      </c>
      <c r="I1894" s="44">
        <v>0.03</v>
      </c>
      <c r="J1894" s="44">
        <v>0.1</v>
      </c>
      <c r="K1894" s="44">
        <v>0</v>
      </c>
      <c r="L1894" s="44">
        <v>30.08</v>
      </c>
      <c r="M1894" s="44">
        <v>0</v>
      </c>
    </row>
    <row r="1895" spans="1:13" x14ac:dyDescent="0.25">
      <c r="A1895" s="45" t="s">
        <v>2853</v>
      </c>
      <c r="B1895" s="44" t="s">
        <v>5109</v>
      </c>
      <c r="C1895" s="47">
        <v>44250</v>
      </c>
      <c r="D1895" s="44">
        <v>202109</v>
      </c>
      <c r="E1895" s="44">
        <v>29.99</v>
      </c>
      <c r="F1895" s="44">
        <v>29.99</v>
      </c>
      <c r="G1895" s="44">
        <v>29.99</v>
      </c>
      <c r="H1895" s="44">
        <v>29.99</v>
      </c>
      <c r="I1895" s="44">
        <v>0.03</v>
      </c>
      <c r="J1895" s="44">
        <v>0.1</v>
      </c>
      <c r="K1895" s="44">
        <v>0</v>
      </c>
      <c r="L1895" s="44">
        <v>29.99</v>
      </c>
      <c r="M1895" s="44">
        <v>0</v>
      </c>
    </row>
    <row r="1896" spans="1:13" x14ac:dyDescent="0.25">
      <c r="A1896" s="45" t="s">
        <v>2854</v>
      </c>
      <c r="B1896" s="44" t="s">
        <v>5110</v>
      </c>
      <c r="C1896" s="47">
        <v>44250</v>
      </c>
      <c r="D1896" s="44">
        <v>202112</v>
      </c>
      <c r="E1896" s="44">
        <v>29.92</v>
      </c>
      <c r="F1896" s="44">
        <v>29.92</v>
      </c>
      <c r="G1896" s="44">
        <v>29.92</v>
      </c>
      <c r="H1896" s="44">
        <v>29.92</v>
      </c>
      <c r="I1896" s="44">
        <v>0.03</v>
      </c>
      <c r="J1896" s="44">
        <v>0.1</v>
      </c>
      <c r="K1896" s="44">
        <v>0</v>
      </c>
      <c r="L1896" s="44">
        <v>29.92</v>
      </c>
      <c r="M1896" s="44">
        <v>0</v>
      </c>
    </row>
    <row r="1897" spans="1:13" x14ac:dyDescent="0.25">
      <c r="A1897" s="45" t="s">
        <v>887</v>
      </c>
      <c r="B1897" s="44" t="s">
        <v>5111</v>
      </c>
      <c r="C1897" s="47">
        <v>44250</v>
      </c>
      <c r="D1897" s="44">
        <v>202103</v>
      </c>
      <c r="E1897" s="44">
        <v>18.170000000000002</v>
      </c>
      <c r="F1897" s="44">
        <v>18.27</v>
      </c>
      <c r="G1897" s="44">
        <v>18.059999999999999</v>
      </c>
      <c r="H1897" s="44">
        <v>18.100000000000001</v>
      </c>
      <c r="I1897" s="44">
        <v>-0.08</v>
      </c>
      <c r="J1897" s="44">
        <v>-0.44</v>
      </c>
      <c r="K1897" s="44">
        <v>982</v>
      </c>
      <c r="L1897" s="44">
        <v>18.100000000000001</v>
      </c>
      <c r="M1897" s="44">
        <v>778</v>
      </c>
    </row>
    <row r="1898" spans="1:13" x14ac:dyDescent="0.25">
      <c r="A1898" s="45" t="s">
        <v>2855</v>
      </c>
      <c r="B1898" s="44" t="s">
        <v>5112</v>
      </c>
      <c r="C1898" s="47">
        <v>44250</v>
      </c>
      <c r="D1898" s="44">
        <v>202103</v>
      </c>
      <c r="E1898" s="44">
        <v>18.170000000000002</v>
      </c>
      <c r="F1898" s="44">
        <v>18.27</v>
      </c>
      <c r="G1898" s="44">
        <v>18.059999999999999</v>
      </c>
      <c r="H1898" s="44">
        <v>18.100000000000001</v>
      </c>
      <c r="I1898" s="44">
        <v>-0.08</v>
      </c>
      <c r="J1898" s="44">
        <v>-0.44</v>
      </c>
      <c r="K1898" s="44">
        <v>982</v>
      </c>
      <c r="L1898" s="44">
        <v>18.100000000000001</v>
      </c>
      <c r="M1898" s="44">
        <v>778</v>
      </c>
    </row>
    <row r="1899" spans="1:13" x14ac:dyDescent="0.25">
      <c r="A1899" s="45" t="s">
        <v>2856</v>
      </c>
      <c r="B1899" s="44" t="s">
        <v>5113</v>
      </c>
      <c r="C1899" s="47">
        <v>44250</v>
      </c>
      <c r="D1899" s="44">
        <v>202104</v>
      </c>
      <c r="E1899" s="44">
        <v>18.2</v>
      </c>
      <c r="F1899" s="44">
        <v>18.2</v>
      </c>
      <c r="G1899" s="44">
        <v>18.100000000000001</v>
      </c>
      <c r="H1899" s="44">
        <v>18.100000000000001</v>
      </c>
      <c r="I1899" s="44">
        <v>-0.06</v>
      </c>
      <c r="J1899" s="44">
        <v>-0.33</v>
      </c>
      <c r="K1899" s="44">
        <v>909</v>
      </c>
      <c r="L1899" s="44">
        <v>18.100000000000001</v>
      </c>
      <c r="M1899" s="44">
        <v>34</v>
      </c>
    </row>
    <row r="1900" spans="1:13" x14ac:dyDescent="0.25">
      <c r="A1900" s="45" t="s">
        <v>2857</v>
      </c>
      <c r="B1900" s="44" t="s">
        <v>5114</v>
      </c>
      <c r="C1900" s="47">
        <v>44250</v>
      </c>
      <c r="D1900" s="44">
        <v>202104</v>
      </c>
      <c r="E1900" s="44">
        <v>18.2</v>
      </c>
      <c r="F1900" s="44">
        <v>18.2</v>
      </c>
      <c r="G1900" s="44">
        <v>18.100000000000001</v>
      </c>
      <c r="H1900" s="44">
        <v>18.100000000000001</v>
      </c>
      <c r="I1900" s="44">
        <v>-0.06</v>
      </c>
      <c r="J1900" s="44">
        <v>-0.33</v>
      </c>
      <c r="K1900" s="44">
        <v>909</v>
      </c>
      <c r="L1900" s="44">
        <v>18.100000000000001</v>
      </c>
      <c r="M1900" s="44">
        <v>34</v>
      </c>
    </row>
    <row r="1901" spans="1:13" x14ac:dyDescent="0.25">
      <c r="A1901" s="45" t="s">
        <v>2858</v>
      </c>
      <c r="C1901" s="47"/>
    </row>
    <row r="1902" spans="1:13" x14ac:dyDescent="0.25">
      <c r="A1902" s="45" t="s">
        <v>2859</v>
      </c>
      <c r="C1902" s="47"/>
    </row>
    <row r="1903" spans="1:13" x14ac:dyDescent="0.25">
      <c r="A1903" s="45" t="s">
        <v>2860</v>
      </c>
      <c r="B1903" s="44" t="s">
        <v>5115</v>
      </c>
      <c r="C1903" s="47">
        <v>44250</v>
      </c>
      <c r="D1903" s="44">
        <v>202103</v>
      </c>
      <c r="E1903" s="44">
        <v>18.170000000000002</v>
      </c>
      <c r="F1903" s="44">
        <v>18.27</v>
      </c>
      <c r="G1903" s="44">
        <v>18.059999999999999</v>
      </c>
      <c r="H1903" s="44">
        <v>18.100000000000001</v>
      </c>
      <c r="I1903" s="44">
        <v>-0.08</v>
      </c>
      <c r="J1903" s="44">
        <v>-0.44</v>
      </c>
      <c r="K1903" s="44">
        <v>982</v>
      </c>
      <c r="L1903" s="44">
        <v>18.100000000000001</v>
      </c>
      <c r="M1903" s="44">
        <v>778</v>
      </c>
    </row>
    <row r="1904" spans="1:13" x14ac:dyDescent="0.25">
      <c r="A1904" s="45" t="s">
        <v>2861</v>
      </c>
      <c r="B1904" s="44" t="s">
        <v>5116</v>
      </c>
      <c r="C1904" s="47">
        <v>44250</v>
      </c>
      <c r="D1904" s="44">
        <v>202106</v>
      </c>
      <c r="E1904" s="44">
        <v>18.079999999999998</v>
      </c>
      <c r="F1904" s="44">
        <v>18.079999999999998</v>
      </c>
      <c r="G1904" s="44">
        <v>18.079999999999998</v>
      </c>
      <c r="H1904" s="44">
        <v>18.079999999999998</v>
      </c>
      <c r="I1904" s="44">
        <v>-0.08</v>
      </c>
      <c r="J1904" s="44">
        <v>-0.44</v>
      </c>
      <c r="K1904" s="44">
        <v>0</v>
      </c>
      <c r="L1904" s="44">
        <v>18.079999999999998</v>
      </c>
      <c r="M1904" s="44">
        <v>0</v>
      </c>
    </row>
    <row r="1905" spans="1:13" x14ac:dyDescent="0.25">
      <c r="A1905" s="45" t="s">
        <v>2862</v>
      </c>
      <c r="B1905" s="44" t="s">
        <v>5117</v>
      </c>
      <c r="C1905" s="47">
        <v>44250</v>
      </c>
      <c r="D1905" s="44">
        <v>202109</v>
      </c>
      <c r="E1905" s="44">
        <v>18.11</v>
      </c>
      <c r="F1905" s="44">
        <v>18.11</v>
      </c>
      <c r="G1905" s="44">
        <v>18.11</v>
      </c>
      <c r="H1905" s="44">
        <v>18.11</v>
      </c>
      <c r="I1905" s="44">
        <v>-0.08</v>
      </c>
      <c r="J1905" s="44">
        <v>-0.44</v>
      </c>
      <c r="K1905" s="44">
        <v>0</v>
      </c>
      <c r="L1905" s="44">
        <v>18.11</v>
      </c>
      <c r="M1905" s="44">
        <v>0</v>
      </c>
    </row>
    <row r="1906" spans="1:13" x14ac:dyDescent="0.25">
      <c r="A1906" s="45" t="s">
        <v>2863</v>
      </c>
      <c r="B1906" s="44" t="s">
        <v>5118</v>
      </c>
      <c r="C1906" s="47">
        <v>44250</v>
      </c>
      <c r="D1906" s="44">
        <v>202112</v>
      </c>
      <c r="E1906" s="44">
        <v>18.079999999999998</v>
      </c>
      <c r="F1906" s="44">
        <v>18.079999999999998</v>
      </c>
      <c r="G1906" s="44">
        <v>18.079999999999998</v>
      </c>
      <c r="H1906" s="44">
        <v>18.079999999999998</v>
      </c>
      <c r="I1906" s="44">
        <v>-0.08</v>
      </c>
      <c r="J1906" s="44">
        <v>-0.44</v>
      </c>
      <c r="K1906" s="44">
        <v>0</v>
      </c>
      <c r="L1906" s="44">
        <v>18.079999999999998</v>
      </c>
      <c r="M1906" s="44">
        <v>0</v>
      </c>
    </row>
    <row r="1907" spans="1:13" x14ac:dyDescent="0.25">
      <c r="A1907" s="45" t="s">
        <v>1001</v>
      </c>
      <c r="B1907" s="44" t="s">
        <v>5119</v>
      </c>
      <c r="C1907" s="47">
        <v>44250</v>
      </c>
      <c r="D1907" s="44">
        <v>202103</v>
      </c>
      <c r="E1907" s="44">
        <v>3525</v>
      </c>
      <c r="F1907" s="44">
        <v>3550</v>
      </c>
      <c r="G1907" s="44">
        <v>3470</v>
      </c>
      <c r="H1907" s="44">
        <v>3545</v>
      </c>
      <c r="I1907" s="44">
        <v>20</v>
      </c>
      <c r="J1907" s="44">
        <v>0.56999999999999995</v>
      </c>
      <c r="K1907" s="44">
        <v>1540</v>
      </c>
      <c r="L1907" s="44">
        <v>3545</v>
      </c>
      <c r="M1907" s="44">
        <v>2315</v>
      </c>
    </row>
    <row r="1908" spans="1:13" x14ac:dyDescent="0.25">
      <c r="A1908" s="45" t="s">
        <v>2864</v>
      </c>
      <c r="B1908" s="44" t="s">
        <v>5120</v>
      </c>
      <c r="C1908" s="47">
        <v>44250</v>
      </c>
      <c r="D1908" s="44">
        <v>202103</v>
      </c>
      <c r="E1908" s="44">
        <v>3525</v>
      </c>
      <c r="F1908" s="44">
        <v>3550</v>
      </c>
      <c r="G1908" s="44">
        <v>3470</v>
      </c>
      <c r="H1908" s="44">
        <v>3545</v>
      </c>
      <c r="I1908" s="44">
        <v>20</v>
      </c>
      <c r="J1908" s="44">
        <v>0.56999999999999995</v>
      </c>
      <c r="K1908" s="44">
        <v>1540</v>
      </c>
      <c r="L1908" s="44">
        <v>3545</v>
      </c>
      <c r="M1908" s="44">
        <v>2315</v>
      </c>
    </row>
    <row r="1909" spans="1:13" x14ac:dyDescent="0.25">
      <c r="A1909" s="45" t="s">
        <v>2865</v>
      </c>
      <c r="B1909" s="44" t="s">
        <v>5121</v>
      </c>
      <c r="C1909" s="47">
        <v>44250</v>
      </c>
      <c r="D1909" s="44">
        <v>202104</v>
      </c>
      <c r="E1909" s="44">
        <v>3510</v>
      </c>
      <c r="F1909" s="44">
        <v>3545</v>
      </c>
      <c r="G1909" s="44">
        <v>3510</v>
      </c>
      <c r="H1909" s="44">
        <v>3540</v>
      </c>
      <c r="I1909" s="44">
        <v>30</v>
      </c>
      <c r="J1909" s="44">
        <v>0.85</v>
      </c>
      <c r="K1909" s="44">
        <v>443</v>
      </c>
      <c r="L1909" s="44">
        <v>3540</v>
      </c>
      <c r="M1909" s="44">
        <v>491</v>
      </c>
    </row>
    <row r="1910" spans="1:13" x14ac:dyDescent="0.25">
      <c r="A1910" s="45" t="s">
        <v>2866</v>
      </c>
      <c r="B1910" s="44" t="s">
        <v>5122</v>
      </c>
      <c r="C1910" s="47">
        <v>44250</v>
      </c>
      <c r="D1910" s="44">
        <v>202104</v>
      </c>
      <c r="E1910" s="44">
        <v>3510</v>
      </c>
      <c r="F1910" s="44">
        <v>3545</v>
      </c>
      <c r="G1910" s="44">
        <v>3510</v>
      </c>
      <c r="H1910" s="44">
        <v>3540</v>
      </c>
      <c r="I1910" s="44">
        <v>30</v>
      </c>
      <c r="J1910" s="44">
        <v>0.85</v>
      </c>
      <c r="K1910" s="44">
        <v>443</v>
      </c>
      <c r="L1910" s="44">
        <v>3540</v>
      </c>
      <c r="M1910" s="44">
        <v>491</v>
      </c>
    </row>
    <row r="1911" spans="1:13" x14ac:dyDescent="0.25">
      <c r="A1911" s="45" t="s">
        <v>2867</v>
      </c>
      <c r="C1911" s="47"/>
    </row>
    <row r="1912" spans="1:13" x14ac:dyDescent="0.25">
      <c r="A1912" s="45" t="s">
        <v>2868</v>
      </c>
      <c r="C1912" s="47"/>
    </row>
    <row r="1913" spans="1:13" x14ac:dyDescent="0.25">
      <c r="A1913" s="45" t="s">
        <v>2869</v>
      </c>
      <c r="B1913" s="44" t="s">
        <v>5123</v>
      </c>
      <c r="C1913" s="47">
        <v>44250</v>
      </c>
      <c r="D1913" s="44">
        <v>202103</v>
      </c>
      <c r="E1913" s="44">
        <v>3525</v>
      </c>
      <c r="F1913" s="44">
        <v>3550</v>
      </c>
      <c r="G1913" s="44">
        <v>3470</v>
      </c>
      <c r="H1913" s="44">
        <v>3545</v>
      </c>
      <c r="I1913" s="44">
        <v>20</v>
      </c>
      <c r="J1913" s="44">
        <v>0.56999999999999995</v>
      </c>
      <c r="K1913" s="44">
        <v>1540</v>
      </c>
      <c r="L1913" s="44">
        <v>3545</v>
      </c>
      <c r="M1913" s="44">
        <v>2315</v>
      </c>
    </row>
    <row r="1914" spans="1:13" x14ac:dyDescent="0.25">
      <c r="A1914" s="45" t="s">
        <v>2870</v>
      </c>
      <c r="B1914" s="44" t="s">
        <v>5124</v>
      </c>
      <c r="C1914" s="47">
        <v>44250</v>
      </c>
      <c r="D1914" s="44">
        <v>202106</v>
      </c>
      <c r="E1914" s="44">
        <v>3515</v>
      </c>
      <c r="F1914" s="44">
        <v>3515</v>
      </c>
      <c r="G1914" s="44">
        <v>3515</v>
      </c>
      <c r="H1914" s="44">
        <v>3515</v>
      </c>
      <c r="I1914" s="44">
        <v>0</v>
      </c>
      <c r="J1914" s="44">
        <v>0</v>
      </c>
      <c r="K1914" s="44">
        <v>1</v>
      </c>
      <c r="L1914" s="44">
        <v>3535</v>
      </c>
      <c r="M1914" s="44">
        <v>41</v>
      </c>
    </row>
    <row r="1915" spans="1:13" x14ac:dyDescent="0.25">
      <c r="A1915" s="45" t="s">
        <v>2871</v>
      </c>
      <c r="B1915" s="44" t="s">
        <v>5125</v>
      </c>
      <c r="C1915" s="47">
        <v>44250</v>
      </c>
      <c r="D1915" s="44">
        <v>202109</v>
      </c>
      <c r="E1915" s="44">
        <v>3515</v>
      </c>
      <c r="F1915" s="44">
        <v>3515</v>
      </c>
      <c r="G1915" s="44">
        <v>3515</v>
      </c>
      <c r="H1915" s="44">
        <v>3515</v>
      </c>
      <c r="I1915" s="44">
        <v>0</v>
      </c>
      <c r="J1915" s="44">
        <v>0</v>
      </c>
      <c r="K1915" s="44">
        <v>1</v>
      </c>
      <c r="L1915" s="44">
        <v>3535</v>
      </c>
      <c r="M1915" s="44">
        <v>7</v>
      </c>
    </row>
    <row r="1916" spans="1:13" x14ac:dyDescent="0.25">
      <c r="A1916" s="45" t="s">
        <v>2872</v>
      </c>
      <c r="B1916" s="44" t="s">
        <v>5126</v>
      </c>
      <c r="C1916" s="47">
        <v>44250</v>
      </c>
      <c r="D1916" s="44">
        <v>202112</v>
      </c>
      <c r="E1916" s="44">
        <v>3525</v>
      </c>
      <c r="F1916" s="44">
        <v>3525</v>
      </c>
      <c r="G1916" s="44">
        <v>3525</v>
      </c>
      <c r="H1916" s="44">
        <v>3525</v>
      </c>
      <c r="I1916" s="44">
        <v>20</v>
      </c>
      <c r="J1916" s="44">
        <v>0.56999999999999995</v>
      </c>
      <c r="K1916" s="44">
        <v>0</v>
      </c>
      <c r="L1916" s="44">
        <v>3525</v>
      </c>
      <c r="M1916" s="44">
        <v>0</v>
      </c>
    </row>
    <row r="1917" spans="1:13" x14ac:dyDescent="0.25">
      <c r="A1917" s="45" t="s">
        <v>905</v>
      </c>
      <c r="B1917" s="44" t="s">
        <v>5127</v>
      </c>
      <c r="C1917" s="47">
        <v>44250</v>
      </c>
      <c r="D1917" s="44">
        <v>202103</v>
      </c>
      <c r="E1917" s="44">
        <v>277.5</v>
      </c>
      <c r="F1917" s="44">
        <v>280.5</v>
      </c>
      <c r="G1917" s="44">
        <v>277</v>
      </c>
      <c r="H1917" s="44">
        <v>277</v>
      </c>
      <c r="I1917" s="44">
        <v>-3</v>
      </c>
      <c r="J1917" s="44">
        <v>-1.07</v>
      </c>
      <c r="K1917" s="44">
        <v>15</v>
      </c>
      <c r="L1917" s="44">
        <v>277</v>
      </c>
      <c r="M1917" s="44">
        <v>68</v>
      </c>
    </row>
    <row r="1918" spans="1:13" x14ac:dyDescent="0.25">
      <c r="A1918" s="45" t="s">
        <v>2873</v>
      </c>
      <c r="B1918" s="44" t="s">
        <v>5128</v>
      </c>
      <c r="C1918" s="47">
        <v>44250</v>
      </c>
      <c r="D1918" s="44">
        <v>202103</v>
      </c>
      <c r="E1918" s="44">
        <v>277.5</v>
      </c>
      <c r="F1918" s="44">
        <v>280.5</v>
      </c>
      <c r="G1918" s="44">
        <v>277</v>
      </c>
      <c r="H1918" s="44">
        <v>277</v>
      </c>
      <c r="I1918" s="44">
        <v>-3</v>
      </c>
      <c r="J1918" s="44">
        <v>-1.07</v>
      </c>
      <c r="K1918" s="44">
        <v>15</v>
      </c>
      <c r="L1918" s="44">
        <v>277</v>
      </c>
      <c r="M1918" s="44">
        <v>68</v>
      </c>
    </row>
    <row r="1919" spans="1:13" x14ac:dyDescent="0.25">
      <c r="A1919" s="45" t="s">
        <v>2874</v>
      </c>
      <c r="B1919" s="44" t="s">
        <v>5129</v>
      </c>
      <c r="C1919" s="47">
        <v>44250</v>
      </c>
      <c r="D1919" s="44">
        <v>202104</v>
      </c>
      <c r="E1919" s="44">
        <v>279</v>
      </c>
      <c r="F1919" s="44">
        <v>281</v>
      </c>
      <c r="G1919" s="44">
        <v>279</v>
      </c>
      <c r="H1919" s="44">
        <v>281</v>
      </c>
      <c r="I1919" s="44">
        <v>2.5</v>
      </c>
      <c r="J1919" s="44">
        <v>0.9</v>
      </c>
      <c r="K1919" s="44">
        <v>2</v>
      </c>
      <c r="L1919" s="44">
        <v>275.5</v>
      </c>
      <c r="M1919" s="44">
        <v>5</v>
      </c>
    </row>
    <row r="1920" spans="1:13" x14ac:dyDescent="0.25">
      <c r="A1920" s="45" t="s">
        <v>2875</v>
      </c>
      <c r="B1920" s="44" t="s">
        <v>5130</v>
      </c>
      <c r="C1920" s="47">
        <v>44250</v>
      </c>
      <c r="D1920" s="44">
        <v>202104</v>
      </c>
      <c r="E1920" s="44">
        <v>279</v>
      </c>
      <c r="F1920" s="44">
        <v>281</v>
      </c>
      <c r="G1920" s="44">
        <v>279</v>
      </c>
      <c r="H1920" s="44">
        <v>281</v>
      </c>
      <c r="I1920" s="44">
        <v>2.5</v>
      </c>
      <c r="J1920" s="44">
        <v>0.9</v>
      </c>
      <c r="K1920" s="44">
        <v>2</v>
      </c>
      <c r="L1920" s="44">
        <v>275.5</v>
      </c>
      <c r="M1920" s="44">
        <v>5</v>
      </c>
    </row>
    <row r="1921" spans="1:13" x14ac:dyDescent="0.25">
      <c r="A1921" s="45" t="s">
        <v>2876</v>
      </c>
      <c r="C1921" s="47"/>
    </row>
    <row r="1922" spans="1:13" x14ac:dyDescent="0.25">
      <c r="A1922" s="45" t="s">
        <v>2877</v>
      </c>
      <c r="C1922" s="47"/>
    </row>
    <row r="1923" spans="1:13" x14ac:dyDescent="0.25">
      <c r="A1923" s="45" t="s">
        <v>2878</v>
      </c>
      <c r="B1923" s="44" t="s">
        <v>5131</v>
      </c>
      <c r="C1923" s="47">
        <v>44250</v>
      </c>
      <c r="D1923" s="44">
        <v>202103</v>
      </c>
      <c r="E1923" s="44">
        <v>277.5</v>
      </c>
      <c r="F1923" s="44">
        <v>280.5</v>
      </c>
      <c r="G1923" s="44">
        <v>277</v>
      </c>
      <c r="H1923" s="44">
        <v>277</v>
      </c>
      <c r="I1923" s="44">
        <v>-3</v>
      </c>
      <c r="J1923" s="44">
        <v>-1.07</v>
      </c>
      <c r="K1923" s="44">
        <v>15</v>
      </c>
      <c r="L1923" s="44">
        <v>277</v>
      </c>
      <c r="M1923" s="44">
        <v>68</v>
      </c>
    </row>
    <row r="1924" spans="1:13" x14ac:dyDescent="0.25">
      <c r="A1924" s="45" t="s">
        <v>2879</v>
      </c>
      <c r="B1924" s="44" t="s">
        <v>5132</v>
      </c>
      <c r="C1924" s="47">
        <v>44250</v>
      </c>
      <c r="D1924" s="44">
        <v>202106</v>
      </c>
      <c r="E1924" s="44">
        <v>276</v>
      </c>
      <c r="F1924" s="44">
        <v>276</v>
      </c>
      <c r="G1924" s="44">
        <v>276</v>
      </c>
      <c r="H1924" s="44">
        <v>276</v>
      </c>
      <c r="I1924" s="44">
        <v>-3</v>
      </c>
      <c r="J1924" s="44">
        <v>-1.08</v>
      </c>
      <c r="K1924" s="44">
        <v>0</v>
      </c>
      <c r="L1924" s="44">
        <v>276</v>
      </c>
      <c r="M1924" s="44">
        <v>5</v>
      </c>
    </row>
    <row r="1925" spans="1:13" x14ac:dyDescent="0.25">
      <c r="A1925" s="45" t="s">
        <v>2880</v>
      </c>
      <c r="B1925" s="44" t="s">
        <v>5133</v>
      </c>
      <c r="C1925" s="47">
        <v>44250</v>
      </c>
      <c r="D1925" s="44">
        <v>202109</v>
      </c>
      <c r="E1925" s="44">
        <v>280</v>
      </c>
      <c r="F1925" s="44">
        <v>280</v>
      </c>
      <c r="G1925" s="44">
        <v>280</v>
      </c>
      <c r="H1925" s="44">
        <v>280</v>
      </c>
      <c r="I1925" s="44">
        <v>-0.5</v>
      </c>
      <c r="J1925" s="44">
        <v>-0.18</v>
      </c>
      <c r="K1925" s="44">
        <v>1</v>
      </c>
      <c r="L1925" s="44">
        <v>277.5</v>
      </c>
      <c r="M1925" s="44">
        <v>5</v>
      </c>
    </row>
    <row r="1926" spans="1:13" x14ac:dyDescent="0.25">
      <c r="A1926" s="45" t="s">
        <v>2881</v>
      </c>
      <c r="B1926" s="44" t="s">
        <v>5134</v>
      </c>
      <c r="C1926" s="47">
        <v>44250</v>
      </c>
      <c r="D1926" s="44">
        <v>202112</v>
      </c>
      <c r="E1926" s="44">
        <v>278</v>
      </c>
      <c r="F1926" s="44">
        <v>278</v>
      </c>
      <c r="G1926" s="44">
        <v>278</v>
      </c>
      <c r="H1926" s="44">
        <v>278</v>
      </c>
      <c r="I1926" s="44">
        <v>-3</v>
      </c>
      <c r="J1926" s="44">
        <v>-1.07</v>
      </c>
      <c r="K1926" s="44">
        <v>0</v>
      </c>
      <c r="L1926" s="44">
        <v>278</v>
      </c>
      <c r="M1926" s="44">
        <v>0</v>
      </c>
    </row>
    <row r="1927" spans="1:13" x14ac:dyDescent="0.25">
      <c r="A1927" s="45" t="s">
        <v>888</v>
      </c>
      <c r="B1927" s="44" t="s">
        <v>5135</v>
      </c>
      <c r="C1927" s="47">
        <v>44250</v>
      </c>
      <c r="D1927" s="44">
        <v>202103</v>
      </c>
      <c r="E1927" s="44">
        <v>20.16</v>
      </c>
      <c r="F1927" s="44">
        <v>20.170000000000002</v>
      </c>
      <c r="G1927" s="44">
        <v>19.8</v>
      </c>
      <c r="H1927" s="44">
        <v>19.82</v>
      </c>
      <c r="I1927" s="44">
        <v>-0.23</v>
      </c>
      <c r="J1927" s="44">
        <v>-1.1499999999999999</v>
      </c>
      <c r="K1927" s="44">
        <v>55</v>
      </c>
      <c r="L1927" s="44">
        <v>19.82</v>
      </c>
      <c r="M1927" s="44">
        <v>89</v>
      </c>
    </row>
    <row r="1928" spans="1:13" x14ac:dyDescent="0.25">
      <c r="A1928" s="45" t="s">
        <v>2882</v>
      </c>
      <c r="B1928" s="44" t="s">
        <v>5136</v>
      </c>
      <c r="C1928" s="47">
        <v>44250</v>
      </c>
      <c r="D1928" s="44">
        <v>202103</v>
      </c>
      <c r="E1928" s="44">
        <v>20.16</v>
      </c>
      <c r="F1928" s="44">
        <v>20.170000000000002</v>
      </c>
      <c r="G1928" s="44">
        <v>19.8</v>
      </c>
      <c r="H1928" s="44">
        <v>19.82</v>
      </c>
      <c r="I1928" s="44">
        <v>-0.23</v>
      </c>
      <c r="J1928" s="44">
        <v>-1.1499999999999999</v>
      </c>
      <c r="K1928" s="44">
        <v>55</v>
      </c>
      <c r="L1928" s="44">
        <v>19.82</v>
      </c>
      <c r="M1928" s="44">
        <v>89</v>
      </c>
    </row>
    <row r="1929" spans="1:13" x14ac:dyDescent="0.25">
      <c r="A1929" s="45" t="s">
        <v>2883</v>
      </c>
      <c r="B1929" s="44" t="s">
        <v>5137</v>
      </c>
      <c r="C1929" s="47">
        <v>44250</v>
      </c>
      <c r="D1929" s="44">
        <v>202104</v>
      </c>
      <c r="E1929" s="44">
        <v>20.09</v>
      </c>
      <c r="F1929" s="44">
        <v>20.09</v>
      </c>
      <c r="G1929" s="44">
        <v>19.79</v>
      </c>
      <c r="H1929" s="44">
        <v>19.79</v>
      </c>
      <c r="I1929" s="44">
        <v>-0.28000000000000003</v>
      </c>
      <c r="J1929" s="44">
        <v>-1.4</v>
      </c>
      <c r="K1929" s="44">
        <v>17</v>
      </c>
      <c r="L1929" s="44">
        <v>19.79</v>
      </c>
      <c r="M1929" s="44">
        <v>23</v>
      </c>
    </row>
    <row r="1930" spans="1:13" x14ac:dyDescent="0.25">
      <c r="A1930" s="45" t="s">
        <v>2884</v>
      </c>
      <c r="B1930" s="44" t="s">
        <v>5138</v>
      </c>
      <c r="C1930" s="47">
        <v>44250</v>
      </c>
      <c r="D1930" s="44">
        <v>202104</v>
      </c>
      <c r="E1930" s="44">
        <v>20.09</v>
      </c>
      <c r="F1930" s="44">
        <v>20.09</v>
      </c>
      <c r="G1930" s="44">
        <v>19.79</v>
      </c>
      <c r="H1930" s="44">
        <v>19.79</v>
      </c>
      <c r="I1930" s="44">
        <v>-0.28000000000000003</v>
      </c>
      <c r="J1930" s="44">
        <v>-1.4</v>
      </c>
      <c r="K1930" s="44">
        <v>17</v>
      </c>
      <c r="L1930" s="44">
        <v>19.79</v>
      </c>
      <c r="M1930" s="44">
        <v>23</v>
      </c>
    </row>
    <row r="1931" spans="1:13" x14ac:dyDescent="0.25">
      <c r="A1931" s="45" t="s">
        <v>2885</v>
      </c>
      <c r="C1931" s="47"/>
    </row>
    <row r="1932" spans="1:13" x14ac:dyDescent="0.25">
      <c r="A1932" s="45" t="s">
        <v>2886</v>
      </c>
      <c r="C1932" s="47"/>
    </row>
    <row r="1933" spans="1:13" x14ac:dyDescent="0.25">
      <c r="A1933" s="45" t="s">
        <v>2887</v>
      </c>
      <c r="B1933" s="44" t="s">
        <v>5139</v>
      </c>
      <c r="C1933" s="47">
        <v>44250</v>
      </c>
      <c r="D1933" s="44">
        <v>202103</v>
      </c>
      <c r="E1933" s="44">
        <v>20.16</v>
      </c>
      <c r="F1933" s="44">
        <v>20.170000000000002</v>
      </c>
      <c r="G1933" s="44">
        <v>19.8</v>
      </c>
      <c r="H1933" s="44">
        <v>19.82</v>
      </c>
      <c r="I1933" s="44">
        <v>-0.23</v>
      </c>
      <c r="J1933" s="44">
        <v>-1.1499999999999999</v>
      </c>
      <c r="K1933" s="44">
        <v>55</v>
      </c>
      <c r="L1933" s="44">
        <v>19.82</v>
      </c>
      <c r="M1933" s="44">
        <v>89</v>
      </c>
    </row>
    <row r="1934" spans="1:13" x14ac:dyDescent="0.25">
      <c r="A1934" s="45" t="s">
        <v>2888</v>
      </c>
      <c r="B1934" s="44" t="s">
        <v>5140</v>
      </c>
      <c r="C1934" s="47">
        <v>44250</v>
      </c>
      <c r="D1934" s="44">
        <v>202106</v>
      </c>
      <c r="E1934" s="44">
        <v>19.89</v>
      </c>
      <c r="F1934" s="44">
        <v>19.89</v>
      </c>
      <c r="G1934" s="44">
        <v>19.89</v>
      </c>
      <c r="H1934" s="44">
        <v>19.89</v>
      </c>
      <c r="I1934" s="44">
        <v>-0.23</v>
      </c>
      <c r="J1934" s="44">
        <v>-1.1399999999999999</v>
      </c>
      <c r="K1934" s="44">
        <v>0</v>
      </c>
      <c r="L1934" s="44">
        <v>19.89</v>
      </c>
      <c r="M1934" s="44">
        <v>0</v>
      </c>
    </row>
    <row r="1935" spans="1:13" x14ac:dyDescent="0.25">
      <c r="A1935" s="45" t="s">
        <v>2889</v>
      </c>
      <c r="B1935" s="44" t="s">
        <v>5141</v>
      </c>
      <c r="C1935" s="47">
        <v>44250</v>
      </c>
      <c r="D1935" s="44">
        <v>202109</v>
      </c>
      <c r="E1935" s="44">
        <v>19.760000000000002</v>
      </c>
      <c r="F1935" s="44">
        <v>19.760000000000002</v>
      </c>
      <c r="G1935" s="44">
        <v>19.760000000000002</v>
      </c>
      <c r="H1935" s="44">
        <v>19.760000000000002</v>
      </c>
      <c r="I1935" s="44">
        <v>-0.23</v>
      </c>
      <c r="J1935" s="44">
        <v>-1.1499999999999999</v>
      </c>
      <c r="K1935" s="44">
        <v>0</v>
      </c>
      <c r="L1935" s="44">
        <v>19.760000000000002</v>
      </c>
      <c r="M1935" s="44">
        <v>0</v>
      </c>
    </row>
    <row r="1936" spans="1:13" x14ac:dyDescent="0.25">
      <c r="A1936" s="45" t="s">
        <v>2890</v>
      </c>
      <c r="B1936" s="44" t="s">
        <v>5142</v>
      </c>
      <c r="C1936" s="47">
        <v>44250</v>
      </c>
      <c r="D1936" s="44">
        <v>202112</v>
      </c>
      <c r="E1936" s="44">
        <v>19.64</v>
      </c>
      <c r="F1936" s="44">
        <v>19.64</v>
      </c>
      <c r="G1936" s="44">
        <v>19.64</v>
      </c>
      <c r="H1936" s="44">
        <v>19.64</v>
      </c>
      <c r="I1936" s="44">
        <v>-0.23</v>
      </c>
      <c r="J1936" s="44">
        <v>-1.1599999999999999</v>
      </c>
      <c r="K1936" s="44">
        <v>0</v>
      </c>
      <c r="L1936" s="44">
        <v>19.64</v>
      </c>
      <c r="M1936" s="44">
        <v>0</v>
      </c>
    </row>
    <row r="1937" spans="1:13" x14ac:dyDescent="0.25">
      <c r="A1937" s="45" t="s">
        <v>939</v>
      </c>
      <c r="B1937" s="44" t="s">
        <v>5143</v>
      </c>
      <c r="C1937" s="47">
        <v>44250</v>
      </c>
      <c r="D1937" s="44">
        <v>202103</v>
      </c>
      <c r="E1937" s="44">
        <v>274.5</v>
      </c>
      <c r="F1937" s="44">
        <v>274.5</v>
      </c>
      <c r="G1937" s="44">
        <v>271.5</v>
      </c>
      <c r="H1937" s="44">
        <v>273.5</v>
      </c>
      <c r="I1937" s="44">
        <v>-1</v>
      </c>
      <c r="J1937" s="44">
        <v>-0.36</v>
      </c>
      <c r="K1937" s="44">
        <v>111</v>
      </c>
      <c r="L1937" s="44">
        <v>273.5</v>
      </c>
      <c r="M1937" s="44">
        <v>222</v>
      </c>
    </row>
    <row r="1938" spans="1:13" x14ac:dyDescent="0.25">
      <c r="A1938" s="45" t="s">
        <v>2891</v>
      </c>
      <c r="B1938" s="44" t="s">
        <v>5144</v>
      </c>
      <c r="C1938" s="47">
        <v>44250</v>
      </c>
      <c r="D1938" s="44">
        <v>202103</v>
      </c>
      <c r="E1938" s="44">
        <v>274.5</v>
      </c>
      <c r="F1938" s="44">
        <v>274.5</v>
      </c>
      <c r="G1938" s="44">
        <v>271.5</v>
      </c>
      <c r="H1938" s="44">
        <v>273.5</v>
      </c>
      <c r="I1938" s="44">
        <v>-1</v>
      </c>
      <c r="J1938" s="44">
        <v>-0.36</v>
      </c>
      <c r="K1938" s="44">
        <v>111</v>
      </c>
      <c r="L1938" s="44">
        <v>273.5</v>
      </c>
      <c r="M1938" s="44">
        <v>222</v>
      </c>
    </row>
    <row r="1939" spans="1:13" x14ac:dyDescent="0.25">
      <c r="A1939" s="45" t="s">
        <v>2892</v>
      </c>
      <c r="B1939" s="44" t="s">
        <v>5145</v>
      </c>
      <c r="C1939" s="47">
        <v>44250</v>
      </c>
      <c r="D1939" s="44">
        <v>202104</v>
      </c>
      <c r="E1939" s="44">
        <v>274.5</v>
      </c>
      <c r="F1939" s="44">
        <v>274.5</v>
      </c>
      <c r="G1939" s="44">
        <v>274.5</v>
      </c>
      <c r="H1939" s="44">
        <v>274.5</v>
      </c>
      <c r="I1939" s="44">
        <v>0</v>
      </c>
      <c r="J1939" s="44">
        <v>0</v>
      </c>
      <c r="K1939" s="44">
        <v>21</v>
      </c>
      <c r="L1939" s="44">
        <v>273.5</v>
      </c>
      <c r="M1939" s="44">
        <v>11</v>
      </c>
    </row>
    <row r="1940" spans="1:13" x14ac:dyDescent="0.25">
      <c r="A1940" s="45" t="s">
        <v>2893</v>
      </c>
      <c r="B1940" s="44" t="s">
        <v>5146</v>
      </c>
      <c r="C1940" s="47">
        <v>44250</v>
      </c>
      <c r="D1940" s="44">
        <v>202104</v>
      </c>
      <c r="E1940" s="44">
        <v>274.5</v>
      </c>
      <c r="F1940" s="44">
        <v>274.5</v>
      </c>
      <c r="G1940" s="44">
        <v>274.5</v>
      </c>
      <c r="H1940" s="44">
        <v>274.5</v>
      </c>
      <c r="I1940" s="44">
        <v>0</v>
      </c>
      <c r="J1940" s="44">
        <v>0</v>
      </c>
      <c r="K1940" s="44">
        <v>21</v>
      </c>
      <c r="L1940" s="44">
        <v>273.5</v>
      </c>
      <c r="M1940" s="44">
        <v>11</v>
      </c>
    </row>
    <row r="1941" spans="1:13" x14ac:dyDescent="0.25">
      <c r="A1941" s="45" t="s">
        <v>2894</v>
      </c>
      <c r="C1941" s="47"/>
    </row>
    <row r="1942" spans="1:13" x14ac:dyDescent="0.25">
      <c r="A1942" s="45" t="s">
        <v>2895</v>
      </c>
      <c r="C1942" s="47"/>
    </row>
    <row r="1943" spans="1:13" x14ac:dyDescent="0.25">
      <c r="A1943" s="45" t="s">
        <v>2896</v>
      </c>
      <c r="C1943" s="47"/>
    </row>
    <row r="1944" spans="1:13" x14ac:dyDescent="0.25">
      <c r="A1944" s="45" t="s">
        <v>2897</v>
      </c>
      <c r="C1944" s="47"/>
    </row>
    <row r="1945" spans="1:13" x14ac:dyDescent="0.25">
      <c r="A1945" s="45" t="s">
        <v>2898</v>
      </c>
      <c r="B1945" s="44" t="s">
        <v>5147</v>
      </c>
      <c r="C1945" s="47">
        <v>44250</v>
      </c>
      <c r="D1945" s="44">
        <v>202103</v>
      </c>
      <c r="E1945" s="44">
        <v>274.5</v>
      </c>
      <c r="F1945" s="44">
        <v>274.5</v>
      </c>
      <c r="G1945" s="44">
        <v>271.5</v>
      </c>
      <c r="H1945" s="44">
        <v>273.5</v>
      </c>
      <c r="I1945" s="44">
        <v>-1</v>
      </c>
      <c r="J1945" s="44">
        <v>-0.36</v>
      </c>
      <c r="K1945" s="44">
        <v>111</v>
      </c>
      <c r="L1945" s="44">
        <v>273.5</v>
      </c>
      <c r="M1945" s="44">
        <v>222</v>
      </c>
    </row>
    <row r="1946" spans="1:13" x14ac:dyDescent="0.25">
      <c r="A1946" s="45" t="s">
        <v>2899</v>
      </c>
      <c r="C1946" s="47"/>
    </row>
    <row r="1947" spans="1:13" x14ac:dyDescent="0.25">
      <c r="A1947" s="45" t="s">
        <v>2900</v>
      </c>
      <c r="C1947" s="47"/>
    </row>
    <row r="1948" spans="1:13" x14ac:dyDescent="0.25">
      <c r="A1948" s="45" t="s">
        <v>2901</v>
      </c>
      <c r="B1948" s="44" t="s">
        <v>5148</v>
      </c>
      <c r="C1948" s="47">
        <v>44250</v>
      </c>
      <c r="D1948" s="44">
        <v>202106</v>
      </c>
      <c r="E1948" s="44">
        <v>273</v>
      </c>
      <c r="F1948" s="44">
        <v>273</v>
      </c>
      <c r="G1948" s="44">
        <v>273</v>
      </c>
      <c r="H1948" s="44">
        <v>273</v>
      </c>
      <c r="I1948" s="44">
        <v>-1</v>
      </c>
      <c r="J1948" s="44">
        <v>-0.36</v>
      </c>
      <c r="K1948" s="44">
        <v>0</v>
      </c>
      <c r="L1948" s="44">
        <v>273</v>
      </c>
      <c r="M1948" s="44">
        <v>41</v>
      </c>
    </row>
    <row r="1949" spans="1:13" x14ac:dyDescent="0.25">
      <c r="A1949" s="45" t="s">
        <v>2902</v>
      </c>
      <c r="B1949" s="44" t="s">
        <v>5149</v>
      </c>
      <c r="C1949" s="47">
        <v>44250</v>
      </c>
      <c r="D1949" s="44">
        <v>202109</v>
      </c>
      <c r="E1949" s="44">
        <v>271.5</v>
      </c>
      <c r="F1949" s="44">
        <v>271.5</v>
      </c>
      <c r="G1949" s="44">
        <v>271.5</v>
      </c>
      <c r="H1949" s="44">
        <v>271.5</v>
      </c>
      <c r="I1949" s="44">
        <v>-1</v>
      </c>
      <c r="J1949" s="44">
        <v>-0.37</v>
      </c>
      <c r="K1949" s="44">
        <v>0</v>
      </c>
      <c r="L1949" s="44">
        <v>271.5</v>
      </c>
      <c r="M1949" s="44">
        <v>0</v>
      </c>
    </row>
    <row r="1950" spans="1:13" x14ac:dyDescent="0.25">
      <c r="A1950" s="45" t="s">
        <v>2903</v>
      </c>
      <c r="B1950" s="44" t="s">
        <v>5150</v>
      </c>
      <c r="C1950" s="47">
        <v>44250</v>
      </c>
      <c r="D1950" s="44">
        <v>202112</v>
      </c>
      <c r="E1950" s="44">
        <v>272.5</v>
      </c>
      <c r="F1950" s="44">
        <v>272.5</v>
      </c>
      <c r="G1950" s="44">
        <v>272.5</v>
      </c>
      <c r="H1950" s="44">
        <v>272.5</v>
      </c>
      <c r="I1950" s="44">
        <v>-1</v>
      </c>
      <c r="J1950" s="44">
        <v>-0.37</v>
      </c>
      <c r="K1950" s="44">
        <v>0</v>
      </c>
      <c r="L1950" s="44">
        <v>272.5</v>
      </c>
      <c r="M1950" s="44">
        <v>0</v>
      </c>
    </row>
    <row r="1951" spans="1:13" x14ac:dyDescent="0.25">
      <c r="A1951" s="45" t="s">
        <v>1086</v>
      </c>
      <c r="B1951" s="44" t="s">
        <v>5151</v>
      </c>
      <c r="C1951" s="47">
        <v>44250</v>
      </c>
      <c r="D1951" s="44">
        <v>202103</v>
      </c>
      <c r="E1951" s="44">
        <v>258.5</v>
      </c>
      <c r="F1951" s="44">
        <v>261</v>
      </c>
      <c r="G1951" s="44">
        <v>257</v>
      </c>
      <c r="H1951" s="44">
        <v>259.5</v>
      </c>
      <c r="I1951" s="44">
        <v>1</v>
      </c>
      <c r="J1951" s="44">
        <v>0.39</v>
      </c>
      <c r="K1951" s="44">
        <v>112</v>
      </c>
      <c r="L1951" s="44">
        <v>259.5</v>
      </c>
      <c r="M1951" s="44">
        <v>341</v>
      </c>
    </row>
    <row r="1952" spans="1:13" x14ac:dyDescent="0.25">
      <c r="A1952" s="45" t="s">
        <v>2904</v>
      </c>
      <c r="B1952" s="44" t="s">
        <v>5152</v>
      </c>
      <c r="C1952" s="47">
        <v>44250</v>
      </c>
      <c r="D1952" s="44">
        <v>202103</v>
      </c>
      <c r="E1952" s="44">
        <v>258.5</v>
      </c>
      <c r="F1952" s="44">
        <v>261</v>
      </c>
      <c r="G1952" s="44">
        <v>257</v>
      </c>
      <c r="H1952" s="44">
        <v>259.5</v>
      </c>
      <c r="I1952" s="44">
        <v>1</v>
      </c>
      <c r="J1952" s="44">
        <v>0.39</v>
      </c>
      <c r="K1952" s="44">
        <v>112</v>
      </c>
      <c r="L1952" s="44">
        <v>259.5</v>
      </c>
      <c r="M1952" s="44">
        <v>341</v>
      </c>
    </row>
    <row r="1953" spans="1:13" x14ac:dyDescent="0.25">
      <c r="A1953" s="45" t="s">
        <v>2905</v>
      </c>
      <c r="B1953" s="44" t="s">
        <v>5153</v>
      </c>
      <c r="C1953" s="47">
        <v>44250</v>
      </c>
      <c r="D1953" s="44">
        <v>202104</v>
      </c>
      <c r="E1953" s="44">
        <v>258.5</v>
      </c>
      <c r="F1953" s="44">
        <v>258.5</v>
      </c>
      <c r="G1953" s="44">
        <v>258.5</v>
      </c>
      <c r="H1953" s="44">
        <v>258.5</v>
      </c>
      <c r="I1953" s="44">
        <v>0.5</v>
      </c>
      <c r="J1953" s="44">
        <v>0.19</v>
      </c>
      <c r="K1953" s="44">
        <v>31</v>
      </c>
      <c r="L1953" s="44">
        <v>258.5</v>
      </c>
      <c r="M1953" s="44">
        <v>118</v>
      </c>
    </row>
    <row r="1954" spans="1:13" x14ac:dyDescent="0.25">
      <c r="A1954" s="45" t="s">
        <v>2906</v>
      </c>
      <c r="B1954" s="44" t="s">
        <v>5154</v>
      </c>
      <c r="C1954" s="47">
        <v>44250</v>
      </c>
      <c r="D1954" s="44">
        <v>202104</v>
      </c>
      <c r="E1954" s="44">
        <v>258.5</v>
      </c>
      <c r="F1954" s="44">
        <v>258.5</v>
      </c>
      <c r="G1954" s="44">
        <v>258.5</v>
      </c>
      <c r="H1954" s="44">
        <v>258.5</v>
      </c>
      <c r="I1954" s="44">
        <v>0.5</v>
      </c>
      <c r="J1954" s="44">
        <v>0.19</v>
      </c>
      <c r="K1954" s="44">
        <v>31</v>
      </c>
      <c r="L1954" s="44">
        <v>258.5</v>
      </c>
      <c r="M1954" s="44">
        <v>118</v>
      </c>
    </row>
    <row r="1955" spans="1:13" x14ac:dyDescent="0.25">
      <c r="A1955" s="45" t="s">
        <v>2907</v>
      </c>
      <c r="C1955" s="47"/>
    </row>
    <row r="1956" spans="1:13" x14ac:dyDescent="0.25">
      <c r="A1956" s="45" t="s">
        <v>2908</v>
      </c>
      <c r="C1956" s="47"/>
    </row>
    <row r="1957" spans="1:13" x14ac:dyDescent="0.25">
      <c r="A1957" s="45" t="s">
        <v>2909</v>
      </c>
      <c r="B1957" s="44" t="s">
        <v>5155</v>
      </c>
      <c r="C1957" s="47">
        <v>44250</v>
      </c>
      <c r="D1957" s="44">
        <v>202103</v>
      </c>
      <c r="E1957" s="44">
        <v>258.5</v>
      </c>
      <c r="F1957" s="44">
        <v>261</v>
      </c>
      <c r="G1957" s="44">
        <v>257</v>
      </c>
      <c r="H1957" s="44">
        <v>259.5</v>
      </c>
      <c r="I1957" s="44">
        <v>1</v>
      </c>
      <c r="J1957" s="44">
        <v>0.39</v>
      </c>
      <c r="K1957" s="44">
        <v>112</v>
      </c>
      <c r="L1957" s="44">
        <v>259.5</v>
      </c>
      <c r="M1957" s="44">
        <v>341</v>
      </c>
    </row>
    <row r="1958" spans="1:13" x14ac:dyDescent="0.25">
      <c r="A1958" s="45" t="s">
        <v>2910</v>
      </c>
      <c r="B1958" s="44" t="s">
        <v>5156</v>
      </c>
      <c r="C1958" s="47">
        <v>44250</v>
      </c>
      <c r="D1958" s="44">
        <v>202106</v>
      </c>
      <c r="E1958" s="44">
        <v>258.5</v>
      </c>
      <c r="F1958" s="44">
        <v>258.5</v>
      </c>
      <c r="G1958" s="44">
        <v>258.5</v>
      </c>
      <c r="H1958" s="44">
        <v>258.5</v>
      </c>
      <c r="I1958" s="44">
        <v>1</v>
      </c>
      <c r="J1958" s="44">
        <v>0.39</v>
      </c>
      <c r="K1958" s="44">
        <v>0</v>
      </c>
      <c r="L1958" s="44">
        <v>258.5</v>
      </c>
      <c r="M1958" s="44">
        <v>0</v>
      </c>
    </row>
    <row r="1959" spans="1:13" x14ac:dyDescent="0.25">
      <c r="A1959" s="45" t="s">
        <v>2911</v>
      </c>
      <c r="B1959" s="44" t="s">
        <v>5157</v>
      </c>
      <c r="C1959" s="47">
        <v>44250</v>
      </c>
      <c r="D1959" s="44">
        <v>202109</v>
      </c>
      <c r="E1959" s="44">
        <v>258</v>
      </c>
      <c r="F1959" s="44">
        <v>258</v>
      </c>
      <c r="G1959" s="44">
        <v>258</v>
      </c>
      <c r="H1959" s="44">
        <v>258</v>
      </c>
      <c r="I1959" s="44">
        <v>1</v>
      </c>
      <c r="J1959" s="44">
        <v>0.39</v>
      </c>
      <c r="K1959" s="44">
        <v>0</v>
      </c>
      <c r="L1959" s="44">
        <v>258</v>
      </c>
      <c r="M1959" s="44">
        <v>0</v>
      </c>
    </row>
    <row r="1960" spans="1:13" x14ac:dyDescent="0.25">
      <c r="A1960" s="45" t="s">
        <v>2912</v>
      </c>
      <c r="B1960" s="44" t="s">
        <v>5158</v>
      </c>
      <c r="C1960" s="47">
        <v>44250</v>
      </c>
      <c r="D1960" s="44">
        <v>202112</v>
      </c>
      <c r="E1960" s="44">
        <v>261</v>
      </c>
      <c r="F1960" s="44">
        <v>261</v>
      </c>
      <c r="G1960" s="44">
        <v>261</v>
      </c>
      <c r="H1960" s="44">
        <v>261</v>
      </c>
      <c r="I1960" s="44">
        <v>1</v>
      </c>
      <c r="J1960" s="44">
        <v>0.38</v>
      </c>
      <c r="K1960" s="44">
        <v>0</v>
      </c>
      <c r="L1960" s="44">
        <v>261</v>
      </c>
      <c r="M1960" s="44">
        <v>0</v>
      </c>
    </row>
    <row r="1961" spans="1:13" x14ac:dyDescent="0.25">
      <c r="A1961" s="45" t="s">
        <v>2913</v>
      </c>
      <c r="B1961" s="44" t="s">
        <v>5159</v>
      </c>
      <c r="C1961" s="47">
        <v>44250</v>
      </c>
      <c r="D1961" s="44">
        <v>202103</v>
      </c>
      <c r="E1961" s="44">
        <v>117</v>
      </c>
      <c r="F1961" s="44">
        <v>117</v>
      </c>
      <c r="G1961" s="44">
        <v>117</v>
      </c>
      <c r="H1961" s="44">
        <v>117</v>
      </c>
      <c r="I1961" s="44">
        <v>-2.5</v>
      </c>
      <c r="J1961" s="44">
        <v>-2.09</v>
      </c>
      <c r="K1961" s="44">
        <v>1</v>
      </c>
      <c r="L1961" s="44">
        <v>118</v>
      </c>
      <c r="M1961" s="44">
        <v>10</v>
      </c>
    </row>
    <row r="1962" spans="1:13" x14ac:dyDescent="0.25">
      <c r="A1962" s="45" t="s">
        <v>2914</v>
      </c>
      <c r="B1962" s="44" t="s">
        <v>5160</v>
      </c>
      <c r="C1962" s="47">
        <v>44250</v>
      </c>
      <c r="D1962" s="44">
        <v>202103</v>
      </c>
      <c r="E1962" s="44">
        <v>117</v>
      </c>
      <c r="F1962" s="44">
        <v>117</v>
      </c>
      <c r="G1962" s="44">
        <v>117</v>
      </c>
      <c r="H1962" s="44">
        <v>117</v>
      </c>
      <c r="I1962" s="44">
        <v>-2.5</v>
      </c>
      <c r="J1962" s="44">
        <v>-2.09</v>
      </c>
      <c r="K1962" s="44">
        <v>1</v>
      </c>
      <c r="L1962" s="44">
        <v>118</v>
      </c>
      <c r="M1962" s="44">
        <v>10</v>
      </c>
    </row>
    <row r="1963" spans="1:13" x14ac:dyDescent="0.25">
      <c r="A1963" s="45" t="s">
        <v>2915</v>
      </c>
      <c r="B1963" s="44" t="s">
        <v>5161</v>
      </c>
      <c r="C1963" s="47">
        <v>44250</v>
      </c>
      <c r="D1963" s="44">
        <v>202103</v>
      </c>
      <c r="E1963" s="44">
        <v>117</v>
      </c>
      <c r="F1963" s="44">
        <v>117</v>
      </c>
      <c r="G1963" s="44">
        <v>117</v>
      </c>
      <c r="H1963" s="44">
        <v>117</v>
      </c>
      <c r="I1963" s="44">
        <v>-2.5</v>
      </c>
      <c r="J1963" s="44">
        <v>-2.09</v>
      </c>
      <c r="K1963" s="44">
        <v>1</v>
      </c>
      <c r="L1963" s="44">
        <v>118</v>
      </c>
      <c r="M1963" s="44">
        <v>10</v>
      </c>
    </row>
    <row r="1964" spans="1:13" x14ac:dyDescent="0.25">
      <c r="A1964" s="45" t="s">
        <v>903</v>
      </c>
      <c r="B1964" s="44" t="s">
        <v>5162</v>
      </c>
      <c r="C1964" s="47">
        <v>44250</v>
      </c>
      <c r="D1964" s="44">
        <v>202103</v>
      </c>
      <c r="E1964" s="44">
        <v>115</v>
      </c>
      <c r="F1964" s="44">
        <v>116.5</v>
      </c>
      <c r="G1964" s="44">
        <v>114.5</v>
      </c>
      <c r="H1964" s="44">
        <v>116</v>
      </c>
      <c r="I1964" s="44">
        <v>-1.5</v>
      </c>
      <c r="J1964" s="44">
        <v>-1.28</v>
      </c>
      <c r="K1964" s="44">
        <v>54</v>
      </c>
      <c r="L1964" s="44">
        <v>116</v>
      </c>
      <c r="M1964" s="44">
        <v>348</v>
      </c>
    </row>
    <row r="1965" spans="1:13" x14ac:dyDescent="0.25">
      <c r="A1965" s="45" t="s">
        <v>2916</v>
      </c>
      <c r="B1965" s="44" t="s">
        <v>5163</v>
      </c>
      <c r="C1965" s="47">
        <v>44250</v>
      </c>
      <c r="D1965" s="44">
        <v>202103</v>
      </c>
      <c r="E1965" s="44">
        <v>115</v>
      </c>
      <c r="F1965" s="44">
        <v>116.5</v>
      </c>
      <c r="G1965" s="44">
        <v>114.5</v>
      </c>
      <c r="H1965" s="44">
        <v>116</v>
      </c>
      <c r="I1965" s="44">
        <v>-1.5</v>
      </c>
      <c r="J1965" s="44">
        <v>-1.28</v>
      </c>
      <c r="K1965" s="44">
        <v>54</v>
      </c>
      <c r="L1965" s="44">
        <v>116</v>
      </c>
      <c r="M1965" s="44">
        <v>348</v>
      </c>
    </row>
    <row r="1966" spans="1:13" x14ac:dyDescent="0.25">
      <c r="A1966" s="45" t="s">
        <v>2917</v>
      </c>
      <c r="B1966" s="44" t="s">
        <v>5164</v>
      </c>
      <c r="C1966" s="47">
        <v>44250</v>
      </c>
      <c r="D1966" s="44">
        <v>202104</v>
      </c>
      <c r="E1966" s="44">
        <v>115.5</v>
      </c>
      <c r="F1966" s="44">
        <v>115.5</v>
      </c>
      <c r="G1966" s="44">
        <v>115.5</v>
      </c>
      <c r="H1966" s="44">
        <v>115.5</v>
      </c>
      <c r="I1966" s="44">
        <v>-1.5</v>
      </c>
      <c r="J1966" s="44">
        <v>-1.28</v>
      </c>
      <c r="K1966" s="44">
        <v>13</v>
      </c>
      <c r="L1966" s="44">
        <v>115.5</v>
      </c>
      <c r="M1966" s="44">
        <v>32</v>
      </c>
    </row>
    <row r="1967" spans="1:13" x14ac:dyDescent="0.25">
      <c r="A1967" s="45" t="s">
        <v>2918</v>
      </c>
      <c r="B1967" s="44" t="s">
        <v>5165</v>
      </c>
      <c r="C1967" s="47">
        <v>44250</v>
      </c>
      <c r="D1967" s="44">
        <v>202104</v>
      </c>
      <c r="E1967" s="44">
        <v>115.5</v>
      </c>
      <c r="F1967" s="44">
        <v>115.5</v>
      </c>
      <c r="G1967" s="44">
        <v>115.5</v>
      </c>
      <c r="H1967" s="44">
        <v>115.5</v>
      </c>
      <c r="I1967" s="44">
        <v>-1.5</v>
      </c>
      <c r="J1967" s="44">
        <v>-1.28</v>
      </c>
      <c r="K1967" s="44">
        <v>13</v>
      </c>
      <c r="L1967" s="44">
        <v>115.5</v>
      </c>
      <c r="M1967" s="44">
        <v>32</v>
      </c>
    </row>
    <row r="1968" spans="1:13" x14ac:dyDescent="0.25">
      <c r="A1968" s="45" t="s">
        <v>2919</v>
      </c>
      <c r="C1968" s="47"/>
    </row>
    <row r="1969" spans="1:13" x14ac:dyDescent="0.25">
      <c r="A1969" s="45" t="s">
        <v>2920</v>
      </c>
      <c r="C1969" s="47"/>
    </row>
    <row r="1970" spans="1:13" x14ac:dyDescent="0.25">
      <c r="A1970" s="45" t="s">
        <v>2921</v>
      </c>
      <c r="B1970" s="44" t="s">
        <v>5166</v>
      </c>
      <c r="C1970" s="47">
        <v>44250</v>
      </c>
      <c r="D1970" s="44">
        <v>202103</v>
      </c>
      <c r="E1970" s="44">
        <v>115</v>
      </c>
      <c r="F1970" s="44">
        <v>116.5</v>
      </c>
      <c r="G1970" s="44">
        <v>114.5</v>
      </c>
      <c r="H1970" s="44">
        <v>116</v>
      </c>
      <c r="I1970" s="44">
        <v>-1.5</v>
      </c>
      <c r="J1970" s="44">
        <v>-1.28</v>
      </c>
      <c r="K1970" s="44">
        <v>54</v>
      </c>
      <c r="L1970" s="44">
        <v>116</v>
      </c>
      <c r="M1970" s="44">
        <v>348</v>
      </c>
    </row>
    <row r="1971" spans="1:13" x14ac:dyDescent="0.25">
      <c r="A1971" s="45" t="s">
        <v>2922</v>
      </c>
      <c r="B1971" s="44" t="s">
        <v>5167</v>
      </c>
      <c r="C1971" s="47">
        <v>44250</v>
      </c>
      <c r="D1971" s="44">
        <v>202106</v>
      </c>
      <c r="E1971" s="44">
        <v>115.5</v>
      </c>
      <c r="F1971" s="44">
        <v>115.5</v>
      </c>
      <c r="G1971" s="44">
        <v>115.5</v>
      </c>
      <c r="H1971" s="44">
        <v>115.5</v>
      </c>
      <c r="I1971" s="44">
        <v>-1.5</v>
      </c>
      <c r="J1971" s="44">
        <v>-1.28</v>
      </c>
      <c r="K1971" s="44">
        <v>0</v>
      </c>
      <c r="L1971" s="44">
        <v>115.5</v>
      </c>
      <c r="M1971" s="44">
        <v>0</v>
      </c>
    </row>
    <row r="1972" spans="1:13" x14ac:dyDescent="0.25">
      <c r="A1972" s="45" t="s">
        <v>2923</v>
      </c>
      <c r="B1972" s="44" t="s">
        <v>5168</v>
      </c>
      <c r="C1972" s="47">
        <v>44250</v>
      </c>
      <c r="D1972" s="44">
        <v>202109</v>
      </c>
      <c r="E1972" s="44">
        <v>115</v>
      </c>
      <c r="F1972" s="44">
        <v>115</v>
      </c>
      <c r="G1972" s="44">
        <v>115</v>
      </c>
      <c r="H1972" s="44">
        <v>115</v>
      </c>
      <c r="I1972" s="44">
        <v>-1.5</v>
      </c>
      <c r="J1972" s="44">
        <v>-1.29</v>
      </c>
      <c r="K1972" s="44">
        <v>0</v>
      </c>
      <c r="L1972" s="44">
        <v>115</v>
      </c>
      <c r="M1972" s="44">
        <v>0</v>
      </c>
    </row>
    <row r="1973" spans="1:13" x14ac:dyDescent="0.25">
      <c r="A1973" s="45" t="s">
        <v>2924</v>
      </c>
      <c r="B1973" s="44" t="s">
        <v>5169</v>
      </c>
      <c r="C1973" s="47">
        <v>44250</v>
      </c>
      <c r="D1973" s="44">
        <v>202112</v>
      </c>
      <c r="E1973" s="44">
        <v>115.5</v>
      </c>
      <c r="F1973" s="44">
        <v>115.5</v>
      </c>
      <c r="G1973" s="44">
        <v>115.5</v>
      </c>
      <c r="H1973" s="44">
        <v>115.5</v>
      </c>
      <c r="I1973" s="44">
        <v>-1.5</v>
      </c>
      <c r="J1973" s="44">
        <v>-1.28</v>
      </c>
      <c r="K1973" s="44">
        <v>0</v>
      </c>
      <c r="L1973" s="44">
        <v>115.5</v>
      </c>
      <c r="M1973" s="44">
        <v>0</v>
      </c>
    </row>
    <row r="1974" spans="1:13" x14ac:dyDescent="0.25">
      <c r="A1974" s="45" t="s">
        <v>913</v>
      </c>
      <c r="B1974" s="44" t="s">
        <v>5170</v>
      </c>
      <c r="C1974" s="47">
        <v>44250</v>
      </c>
      <c r="D1974" s="44">
        <v>202103</v>
      </c>
      <c r="E1974" s="44">
        <v>24.65</v>
      </c>
      <c r="F1974" s="44">
        <v>25.2</v>
      </c>
      <c r="G1974" s="44">
        <v>24</v>
      </c>
      <c r="H1974" s="44">
        <v>24.85</v>
      </c>
      <c r="I1974" s="44">
        <v>0.4</v>
      </c>
      <c r="J1974" s="44">
        <v>1.64</v>
      </c>
      <c r="K1974" s="44">
        <v>511</v>
      </c>
      <c r="L1974" s="44">
        <v>24.85</v>
      </c>
      <c r="M1974" s="44">
        <v>1068</v>
      </c>
    </row>
    <row r="1975" spans="1:13" x14ac:dyDescent="0.25">
      <c r="A1975" s="45" t="s">
        <v>2925</v>
      </c>
      <c r="B1975" s="44" t="s">
        <v>5171</v>
      </c>
      <c r="C1975" s="47">
        <v>44250</v>
      </c>
      <c r="D1975" s="44">
        <v>202103</v>
      </c>
      <c r="E1975" s="44">
        <v>24.65</v>
      </c>
      <c r="F1975" s="44">
        <v>25.2</v>
      </c>
      <c r="G1975" s="44">
        <v>24</v>
      </c>
      <c r="H1975" s="44">
        <v>24.85</v>
      </c>
      <c r="I1975" s="44">
        <v>0.4</v>
      </c>
      <c r="J1975" s="44">
        <v>1.64</v>
      </c>
      <c r="K1975" s="44">
        <v>511</v>
      </c>
      <c r="L1975" s="44">
        <v>24.85</v>
      </c>
      <c r="M1975" s="44">
        <v>1068</v>
      </c>
    </row>
    <row r="1976" spans="1:13" x14ac:dyDescent="0.25">
      <c r="A1976" s="45" t="s">
        <v>2926</v>
      </c>
      <c r="B1976" s="44" t="s">
        <v>5172</v>
      </c>
      <c r="C1976" s="47">
        <v>44250</v>
      </c>
      <c r="D1976" s="44">
        <v>202104</v>
      </c>
      <c r="E1976" s="44">
        <v>24.85</v>
      </c>
      <c r="F1976" s="44">
        <v>25.2</v>
      </c>
      <c r="G1976" s="44">
        <v>24.8</v>
      </c>
      <c r="H1976" s="44">
        <v>24.85</v>
      </c>
      <c r="I1976" s="44">
        <v>0.5</v>
      </c>
      <c r="J1976" s="44">
        <v>2.0499999999999998</v>
      </c>
      <c r="K1976" s="44">
        <v>163</v>
      </c>
      <c r="L1976" s="44">
        <v>24.85</v>
      </c>
      <c r="M1976" s="44">
        <v>252</v>
      </c>
    </row>
    <row r="1977" spans="1:13" x14ac:dyDescent="0.25">
      <c r="A1977" s="45" t="s">
        <v>2927</v>
      </c>
      <c r="B1977" s="44" t="s">
        <v>5173</v>
      </c>
      <c r="C1977" s="47">
        <v>44250</v>
      </c>
      <c r="D1977" s="44">
        <v>202104</v>
      </c>
      <c r="E1977" s="44">
        <v>24.85</v>
      </c>
      <c r="F1977" s="44">
        <v>25.2</v>
      </c>
      <c r="G1977" s="44">
        <v>24.8</v>
      </c>
      <c r="H1977" s="44">
        <v>24.85</v>
      </c>
      <c r="I1977" s="44">
        <v>0.5</v>
      </c>
      <c r="J1977" s="44">
        <v>2.0499999999999998</v>
      </c>
      <c r="K1977" s="44">
        <v>163</v>
      </c>
      <c r="L1977" s="44">
        <v>24.85</v>
      </c>
      <c r="M1977" s="44">
        <v>252</v>
      </c>
    </row>
    <row r="1978" spans="1:13" x14ac:dyDescent="0.25">
      <c r="A1978" s="45" t="s">
        <v>2928</v>
      </c>
      <c r="C1978" s="47"/>
    </row>
    <row r="1979" spans="1:13" x14ac:dyDescent="0.25">
      <c r="A1979" s="45" t="s">
        <v>2929</v>
      </c>
      <c r="C1979" s="47"/>
    </row>
    <row r="1980" spans="1:13" x14ac:dyDescent="0.25">
      <c r="A1980" s="45" t="s">
        <v>2930</v>
      </c>
      <c r="B1980" s="44" t="s">
        <v>5174</v>
      </c>
      <c r="C1980" s="47">
        <v>44250</v>
      </c>
      <c r="D1980" s="44">
        <v>202103</v>
      </c>
      <c r="E1980" s="44">
        <v>24.65</v>
      </c>
      <c r="F1980" s="44">
        <v>25.2</v>
      </c>
      <c r="G1980" s="44">
        <v>24</v>
      </c>
      <c r="H1980" s="44">
        <v>24.85</v>
      </c>
      <c r="I1980" s="44">
        <v>0.4</v>
      </c>
      <c r="J1980" s="44">
        <v>1.64</v>
      </c>
      <c r="K1980" s="44">
        <v>511</v>
      </c>
      <c r="L1980" s="44">
        <v>24.85</v>
      </c>
      <c r="M1980" s="44">
        <v>1068</v>
      </c>
    </row>
    <row r="1981" spans="1:13" x14ac:dyDescent="0.25">
      <c r="A1981" s="45" t="s">
        <v>2931</v>
      </c>
      <c r="B1981" s="44" t="s">
        <v>5175</v>
      </c>
      <c r="C1981" s="47">
        <v>44250</v>
      </c>
      <c r="D1981" s="44">
        <v>202106</v>
      </c>
      <c r="E1981" s="44">
        <v>25</v>
      </c>
      <c r="F1981" s="44">
        <v>25</v>
      </c>
      <c r="G1981" s="44">
        <v>25</v>
      </c>
      <c r="H1981" s="44">
        <v>25</v>
      </c>
      <c r="I1981" s="44">
        <v>0.85</v>
      </c>
      <c r="J1981" s="44">
        <v>3.52</v>
      </c>
      <c r="K1981" s="44">
        <v>0</v>
      </c>
      <c r="L1981" s="44">
        <v>25</v>
      </c>
      <c r="M1981" s="44">
        <v>0</v>
      </c>
    </row>
    <row r="1982" spans="1:13" x14ac:dyDescent="0.25">
      <c r="A1982" s="45" t="s">
        <v>2932</v>
      </c>
      <c r="B1982" s="44" t="s">
        <v>5176</v>
      </c>
      <c r="C1982" s="47">
        <v>44250</v>
      </c>
      <c r="D1982" s="44">
        <v>202109</v>
      </c>
      <c r="E1982" s="44">
        <v>25</v>
      </c>
      <c r="F1982" s="44">
        <v>25</v>
      </c>
      <c r="G1982" s="44">
        <v>25</v>
      </c>
      <c r="H1982" s="44">
        <v>25</v>
      </c>
      <c r="I1982" s="44">
        <v>0.85</v>
      </c>
      <c r="J1982" s="44">
        <v>3.52</v>
      </c>
      <c r="K1982" s="44">
        <v>0</v>
      </c>
      <c r="L1982" s="44">
        <v>25</v>
      </c>
      <c r="M1982" s="44">
        <v>0</v>
      </c>
    </row>
    <row r="1983" spans="1:13" x14ac:dyDescent="0.25">
      <c r="A1983" s="45" t="s">
        <v>2933</v>
      </c>
      <c r="B1983" s="44" t="s">
        <v>5177</v>
      </c>
      <c r="C1983" s="47">
        <v>44250</v>
      </c>
      <c r="D1983" s="44">
        <v>202112</v>
      </c>
      <c r="E1983" s="44">
        <v>25</v>
      </c>
      <c r="F1983" s="44">
        <v>25</v>
      </c>
      <c r="G1983" s="44">
        <v>25</v>
      </c>
      <c r="H1983" s="44">
        <v>25</v>
      </c>
      <c r="I1983" s="44">
        <v>0.4</v>
      </c>
      <c r="J1983" s="44">
        <v>1.63</v>
      </c>
      <c r="K1983" s="44">
        <v>0</v>
      </c>
      <c r="L1983" s="44">
        <v>25</v>
      </c>
      <c r="M1983" s="44">
        <v>0</v>
      </c>
    </row>
    <row r="1984" spans="1:13" x14ac:dyDescent="0.25">
      <c r="A1984" s="45" t="s">
        <v>1011</v>
      </c>
      <c r="B1984" s="44" t="s">
        <v>5178</v>
      </c>
      <c r="C1984" s="47">
        <v>44250</v>
      </c>
      <c r="D1984" s="44">
        <v>202103</v>
      </c>
      <c r="E1984" s="44">
        <v>294</v>
      </c>
      <c r="F1984" s="44">
        <v>294</v>
      </c>
      <c r="G1984" s="44">
        <v>292.5</v>
      </c>
      <c r="H1984" s="44">
        <v>292.5</v>
      </c>
      <c r="I1984" s="44">
        <v>-3</v>
      </c>
      <c r="J1984" s="44">
        <v>-1.02</v>
      </c>
      <c r="K1984" s="44">
        <v>4</v>
      </c>
      <c r="L1984" s="44">
        <v>294.5</v>
      </c>
      <c r="M1984" s="44">
        <v>20</v>
      </c>
    </row>
    <row r="1985" spans="1:13" x14ac:dyDescent="0.25">
      <c r="A1985" s="45" t="s">
        <v>2934</v>
      </c>
      <c r="B1985" s="44" t="s">
        <v>5179</v>
      </c>
      <c r="C1985" s="47">
        <v>44250</v>
      </c>
      <c r="D1985" s="44">
        <v>202103</v>
      </c>
      <c r="E1985" s="44">
        <v>294</v>
      </c>
      <c r="F1985" s="44">
        <v>294</v>
      </c>
      <c r="G1985" s="44">
        <v>292.5</v>
      </c>
      <c r="H1985" s="44">
        <v>292.5</v>
      </c>
      <c r="I1985" s="44">
        <v>-3</v>
      </c>
      <c r="J1985" s="44">
        <v>-1.02</v>
      </c>
      <c r="K1985" s="44">
        <v>4</v>
      </c>
      <c r="L1985" s="44">
        <v>294.5</v>
      </c>
      <c r="M1985" s="44">
        <v>20</v>
      </c>
    </row>
    <row r="1986" spans="1:13" x14ac:dyDescent="0.25">
      <c r="A1986" s="45" t="s">
        <v>2935</v>
      </c>
      <c r="B1986" s="44" t="s">
        <v>5180</v>
      </c>
      <c r="C1986" s="47">
        <v>44250</v>
      </c>
      <c r="D1986" s="44">
        <v>202104</v>
      </c>
      <c r="E1986" s="44">
        <v>294.5</v>
      </c>
      <c r="F1986" s="44">
        <v>294.5</v>
      </c>
      <c r="G1986" s="44">
        <v>294.5</v>
      </c>
      <c r="H1986" s="44">
        <v>294.5</v>
      </c>
      <c r="I1986" s="44">
        <v>-1</v>
      </c>
      <c r="J1986" s="44">
        <v>-0.34</v>
      </c>
      <c r="K1986" s="44">
        <v>0</v>
      </c>
      <c r="L1986" s="44">
        <v>294.5</v>
      </c>
      <c r="M1986" s="44">
        <v>0</v>
      </c>
    </row>
    <row r="1987" spans="1:13" x14ac:dyDescent="0.25">
      <c r="A1987" s="45" t="s">
        <v>2936</v>
      </c>
      <c r="B1987" s="44" t="s">
        <v>5181</v>
      </c>
      <c r="C1987" s="47">
        <v>44250</v>
      </c>
      <c r="D1987" s="44">
        <v>202104</v>
      </c>
      <c r="E1987" s="44">
        <v>294.5</v>
      </c>
      <c r="F1987" s="44">
        <v>294.5</v>
      </c>
      <c r="G1987" s="44">
        <v>294.5</v>
      </c>
      <c r="H1987" s="44">
        <v>294.5</v>
      </c>
      <c r="I1987" s="44">
        <v>-1</v>
      </c>
      <c r="J1987" s="44">
        <v>-0.34</v>
      </c>
      <c r="K1987" s="44">
        <v>0</v>
      </c>
      <c r="L1987" s="44">
        <v>294.5</v>
      </c>
      <c r="M1987" s="44">
        <v>0</v>
      </c>
    </row>
    <row r="1988" spans="1:13" x14ac:dyDescent="0.25">
      <c r="A1988" s="45" t="s">
        <v>2937</v>
      </c>
      <c r="C1988" s="47"/>
    </row>
    <row r="1989" spans="1:13" x14ac:dyDescent="0.25">
      <c r="A1989" s="45" t="s">
        <v>2938</v>
      </c>
      <c r="C1989" s="47"/>
    </row>
    <row r="1990" spans="1:13" x14ac:dyDescent="0.25">
      <c r="A1990" s="45" t="s">
        <v>2939</v>
      </c>
      <c r="B1990" s="44" t="s">
        <v>5182</v>
      </c>
      <c r="C1990" s="47">
        <v>44250</v>
      </c>
      <c r="D1990" s="44">
        <v>202103</v>
      </c>
      <c r="E1990" s="44">
        <v>294</v>
      </c>
      <c r="F1990" s="44">
        <v>294</v>
      </c>
      <c r="G1990" s="44">
        <v>292.5</v>
      </c>
      <c r="H1990" s="44">
        <v>292.5</v>
      </c>
      <c r="I1990" s="44">
        <v>-3</v>
      </c>
      <c r="J1990" s="44">
        <v>-1.02</v>
      </c>
      <c r="K1990" s="44">
        <v>4</v>
      </c>
      <c r="L1990" s="44">
        <v>294.5</v>
      </c>
      <c r="M1990" s="44">
        <v>20</v>
      </c>
    </row>
    <row r="1991" spans="1:13" x14ac:dyDescent="0.25">
      <c r="A1991" s="45" t="s">
        <v>2940</v>
      </c>
      <c r="B1991" s="44" t="s">
        <v>5183</v>
      </c>
      <c r="C1991" s="47">
        <v>44250</v>
      </c>
      <c r="D1991" s="44">
        <v>202106</v>
      </c>
      <c r="E1991" s="44">
        <v>293</v>
      </c>
      <c r="F1991" s="44">
        <v>293</v>
      </c>
      <c r="G1991" s="44">
        <v>293</v>
      </c>
      <c r="H1991" s="44">
        <v>293</v>
      </c>
      <c r="I1991" s="44">
        <v>-1</v>
      </c>
      <c r="J1991" s="44">
        <v>-0.34</v>
      </c>
      <c r="K1991" s="44">
        <v>0</v>
      </c>
      <c r="L1991" s="44">
        <v>293</v>
      </c>
      <c r="M1991" s="44">
        <v>1</v>
      </c>
    </row>
    <row r="1992" spans="1:13" x14ac:dyDescent="0.25">
      <c r="A1992" s="45" t="s">
        <v>2941</v>
      </c>
      <c r="B1992" s="44" t="s">
        <v>5184</v>
      </c>
      <c r="C1992" s="47">
        <v>44250</v>
      </c>
      <c r="D1992" s="44">
        <v>202109</v>
      </c>
      <c r="E1992" s="44">
        <v>293.5</v>
      </c>
      <c r="F1992" s="44">
        <v>293.5</v>
      </c>
      <c r="G1992" s="44">
        <v>293.5</v>
      </c>
      <c r="H1992" s="44">
        <v>293.5</v>
      </c>
      <c r="I1992" s="44">
        <v>-1</v>
      </c>
      <c r="J1992" s="44">
        <v>-0.34</v>
      </c>
      <c r="K1992" s="44">
        <v>0</v>
      </c>
      <c r="L1992" s="44">
        <v>293.5</v>
      </c>
      <c r="M1992" s="44">
        <v>0</v>
      </c>
    </row>
    <row r="1993" spans="1:13" x14ac:dyDescent="0.25">
      <c r="A1993" s="45" t="s">
        <v>2942</v>
      </c>
      <c r="B1993" s="44" t="s">
        <v>5185</v>
      </c>
      <c r="C1993" s="47">
        <v>44250</v>
      </c>
      <c r="D1993" s="44">
        <v>202112</v>
      </c>
      <c r="E1993" s="44">
        <v>293.5</v>
      </c>
      <c r="F1993" s="44">
        <v>293.5</v>
      </c>
      <c r="G1993" s="44">
        <v>293.5</v>
      </c>
      <c r="H1993" s="44">
        <v>293.5</v>
      </c>
      <c r="I1993" s="44">
        <v>-1</v>
      </c>
      <c r="J1993" s="44">
        <v>-0.34</v>
      </c>
      <c r="K1993" s="44">
        <v>0</v>
      </c>
      <c r="L1993" s="44">
        <v>293.5</v>
      </c>
      <c r="M1993" s="44">
        <v>0</v>
      </c>
    </row>
    <row r="1994" spans="1:13" x14ac:dyDescent="0.25">
      <c r="A1994" s="45" t="s">
        <v>1036</v>
      </c>
      <c r="B1994" s="44" t="s">
        <v>5186</v>
      </c>
      <c r="C1994" s="47">
        <v>44250</v>
      </c>
      <c r="D1994" s="44">
        <v>202103</v>
      </c>
      <c r="E1994" s="44">
        <v>367</v>
      </c>
      <c r="F1994" s="44">
        <v>380.5</v>
      </c>
      <c r="G1994" s="44">
        <v>355</v>
      </c>
      <c r="H1994" s="44">
        <v>379.5</v>
      </c>
      <c r="I1994" s="44">
        <v>3</v>
      </c>
      <c r="J1994" s="44">
        <v>0.8</v>
      </c>
      <c r="K1994" s="44">
        <v>187</v>
      </c>
      <c r="L1994" s="44">
        <v>379.5</v>
      </c>
      <c r="M1994" s="44">
        <v>435</v>
      </c>
    </row>
    <row r="1995" spans="1:13" x14ac:dyDescent="0.25">
      <c r="A1995" s="45" t="s">
        <v>2943</v>
      </c>
      <c r="B1995" s="44" t="s">
        <v>5187</v>
      </c>
      <c r="C1995" s="47">
        <v>44250</v>
      </c>
      <c r="D1995" s="44">
        <v>202103</v>
      </c>
      <c r="E1995" s="44">
        <v>367</v>
      </c>
      <c r="F1995" s="44">
        <v>380.5</v>
      </c>
      <c r="G1995" s="44">
        <v>355</v>
      </c>
      <c r="H1995" s="44">
        <v>379.5</v>
      </c>
      <c r="I1995" s="44">
        <v>3</v>
      </c>
      <c r="J1995" s="44">
        <v>0.8</v>
      </c>
      <c r="K1995" s="44">
        <v>187</v>
      </c>
      <c r="L1995" s="44">
        <v>379.5</v>
      </c>
      <c r="M1995" s="44">
        <v>435</v>
      </c>
    </row>
    <row r="1996" spans="1:13" x14ac:dyDescent="0.25">
      <c r="A1996" s="45" t="s">
        <v>2944</v>
      </c>
      <c r="B1996" s="44" t="s">
        <v>5188</v>
      </c>
      <c r="C1996" s="47">
        <v>44250</v>
      </c>
      <c r="D1996" s="44">
        <v>202104</v>
      </c>
      <c r="E1996" s="44">
        <v>357</v>
      </c>
      <c r="F1996" s="44">
        <v>357</v>
      </c>
      <c r="G1996" s="44">
        <v>357</v>
      </c>
      <c r="H1996" s="44">
        <v>357</v>
      </c>
      <c r="I1996" s="44">
        <v>-18.5</v>
      </c>
      <c r="J1996" s="44">
        <v>-4.93</v>
      </c>
      <c r="K1996" s="44">
        <v>22</v>
      </c>
      <c r="L1996" s="44">
        <v>378.5</v>
      </c>
      <c r="M1996" s="44">
        <v>48</v>
      </c>
    </row>
    <row r="1997" spans="1:13" x14ac:dyDescent="0.25">
      <c r="A1997" s="45" t="s">
        <v>2945</v>
      </c>
      <c r="B1997" s="44" t="s">
        <v>5189</v>
      </c>
      <c r="C1997" s="47">
        <v>44250</v>
      </c>
      <c r="D1997" s="44">
        <v>202104</v>
      </c>
      <c r="E1997" s="44">
        <v>357</v>
      </c>
      <c r="F1997" s="44">
        <v>357</v>
      </c>
      <c r="G1997" s="44">
        <v>357</v>
      </c>
      <c r="H1997" s="44">
        <v>357</v>
      </c>
      <c r="I1997" s="44">
        <v>-18.5</v>
      </c>
      <c r="J1997" s="44">
        <v>-4.93</v>
      </c>
      <c r="K1997" s="44">
        <v>22</v>
      </c>
      <c r="L1997" s="44">
        <v>378.5</v>
      </c>
      <c r="M1997" s="44">
        <v>48</v>
      </c>
    </row>
    <row r="1998" spans="1:13" x14ac:dyDescent="0.25">
      <c r="A1998" s="45" t="s">
        <v>2946</v>
      </c>
      <c r="C1998" s="47"/>
    </row>
    <row r="1999" spans="1:13" x14ac:dyDescent="0.25">
      <c r="A1999" s="45" t="s">
        <v>2947</v>
      </c>
      <c r="C1999" s="47"/>
    </row>
    <row r="2000" spans="1:13" x14ac:dyDescent="0.25">
      <c r="A2000" s="45" t="s">
        <v>2948</v>
      </c>
      <c r="B2000" s="44" t="s">
        <v>5190</v>
      </c>
      <c r="C2000" s="47">
        <v>44250</v>
      </c>
      <c r="D2000" s="44">
        <v>202103</v>
      </c>
      <c r="E2000" s="44">
        <v>367</v>
      </c>
      <c r="F2000" s="44">
        <v>380.5</v>
      </c>
      <c r="G2000" s="44">
        <v>355</v>
      </c>
      <c r="H2000" s="44">
        <v>379.5</v>
      </c>
      <c r="I2000" s="44">
        <v>3</v>
      </c>
      <c r="J2000" s="44">
        <v>0.8</v>
      </c>
      <c r="K2000" s="44">
        <v>187</v>
      </c>
      <c r="L2000" s="44">
        <v>379.5</v>
      </c>
      <c r="M2000" s="44">
        <v>435</v>
      </c>
    </row>
    <row r="2001" spans="1:13" x14ac:dyDescent="0.25">
      <c r="A2001" s="45" t="s">
        <v>2949</v>
      </c>
      <c r="B2001" s="44" t="s">
        <v>5191</v>
      </c>
      <c r="C2001" s="47">
        <v>44250</v>
      </c>
      <c r="D2001" s="44">
        <v>202106</v>
      </c>
      <c r="E2001" s="44">
        <v>376.5</v>
      </c>
      <c r="F2001" s="44">
        <v>376.5</v>
      </c>
      <c r="G2001" s="44">
        <v>376.5</v>
      </c>
      <c r="H2001" s="44">
        <v>376.5</v>
      </c>
      <c r="I2001" s="44">
        <v>3</v>
      </c>
      <c r="J2001" s="44">
        <v>0.8</v>
      </c>
      <c r="K2001" s="44">
        <v>0</v>
      </c>
      <c r="L2001" s="44">
        <v>376.5</v>
      </c>
      <c r="M2001" s="44">
        <v>12</v>
      </c>
    </row>
    <row r="2002" spans="1:13" x14ac:dyDescent="0.25">
      <c r="A2002" s="45" t="s">
        <v>2950</v>
      </c>
      <c r="B2002" s="44" t="s">
        <v>5192</v>
      </c>
      <c r="C2002" s="47">
        <v>44250</v>
      </c>
      <c r="D2002" s="44">
        <v>202109</v>
      </c>
      <c r="E2002" s="44">
        <v>378.5</v>
      </c>
      <c r="F2002" s="44">
        <v>378.5</v>
      </c>
      <c r="G2002" s="44">
        <v>378.5</v>
      </c>
      <c r="H2002" s="44">
        <v>378.5</v>
      </c>
      <c r="I2002" s="44">
        <v>3</v>
      </c>
      <c r="J2002" s="44">
        <v>0.8</v>
      </c>
      <c r="K2002" s="44">
        <v>0</v>
      </c>
      <c r="L2002" s="44">
        <v>378.5</v>
      </c>
      <c r="M2002" s="44">
        <v>0</v>
      </c>
    </row>
    <row r="2003" spans="1:13" x14ac:dyDescent="0.25">
      <c r="A2003" s="45" t="s">
        <v>2951</v>
      </c>
      <c r="B2003" s="44" t="s">
        <v>5193</v>
      </c>
      <c r="C2003" s="47">
        <v>44250</v>
      </c>
      <c r="D2003" s="44">
        <v>202112</v>
      </c>
      <c r="E2003" s="44">
        <v>378.5</v>
      </c>
      <c r="F2003" s="44">
        <v>378.5</v>
      </c>
      <c r="G2003" s="44">
        <v>378.5</v>
      </c>
      <c r="H2003" s="44">
        <v>378.5</v>
      </c>
      <c r="I2003" s="44">
        <v>3</v>
      </c>
      <c r="J2003" s="44">
        <v>0.8</v>
      </c>
      <c r="K2003" s="44">
        <v>0</v>
      </c>
      <c r="L2003" s="44">
        <v>378.5</v>
      </c>
      <c r="M2003" s="44">
        <v>0</v>
      </c>
    </row>
    <row r="2004" spans="1:13" x14ac:dyDescent="0.25">
      <c r="A2004" s="45" t="s">
        <v>1080</v>
      </c>
      <c r="B2004" s="44" t="s">
        <v>5194</v>
      </c>
      <c r="C2004" s="47">
        <v>44250</v>
      </c>
      <c r="D2004" s="44">
        <v>202103</v>
      </c>
      <c r="E2004" s="44">
        <v>128</v>
      </c>
      <c r="F2004" s="44">
        <v>128</v>
      </c>
      <c r="G2004" s="44">
        <v>121.5</v>
      </c>
      <c r="H2004" s="44">
        <v>122.5</v>
      </c>
      <c r="I2004" s="44">
        <v>-6</v>
      </c>
      <c r="J2004" s="44">
        <v>-4.67</v>
      </c>
      <c r="K2004" s="44">
        <v>206</v>
      </c>
      <c r="L2004" s="44">
        <v>122.5</v>
      </c>
      <c r="M2004" s="44">
        <v>640</v>
      </c>
    </row>
    <row r="2005" spans="1:13" x14ac:dyDescent="0.25">
      <c r="A2005" s="45" t="s">
        <v>2952</v>
      </c>
      <c r="B2005" s="44" t="s">
        <v>5195</v>
      </c>
      <c r="C2005" s="47">
        <v>44250</v>
      </c>
      <c r="D2005" s="44">
        <v>202103</v>
      </c>
      <c r="E2005" s="44">
        <v>128</v>
      </c>
      <c r="F2005" s="44">
        <v>128</v>
      </c>
      <c r="G2005" s="44">
        <v>121.5</v>
      </c>
      <c r="H2005" s="44">
        <v>122.5</v>
      </c>
      <c r="I2005" s="44">
        <v>-6</v>
      </c>
      <c r="J2005" s="44">
        <v>-4.67</v>
      </c>
      <c r="K2005" s="44">
        <v>206</v>
      </c>
      <c r="L2005" s="44">
        <v>122.5</v>
      </c>
      <c r="M2005" s="44">
        <v>640</v>
      </c>
    </row>
    <row r="2006" spans="1:13" x14ac:dyDescent="0.25">
      <c r="A2006" s="45" t="s">
        <v>2953</v>
      </c>
      <c r="B2006" s="44" t="s">
        <v>5196</v>
      </c>
      <c r="C2006" s="47">
        <v>44250</v>
      </c>
      <c r="D2006" s="44">
        <v>202104</v>
      </c>
      <c r="E2006" s="44">
        <v>128.5</v>
      </c>
      <c r="F2006" s="44">
        <v>128.5</v>
      </c>
      <c r="G2006" s="44">
        <v>128.5</v>
      </c>
      <c r="H2006" s="44">
        <v>128.5</v>
      </c>
      <c r="I2006" s="44">
        <v>0</v>
      </c>
      <c r="J2006" s="44">
        <v>0</v>
      </c>
      <c r="K2006" s="44">
        <v>26</v>
      </c>
      <c r="L2006" s="44">
        <v>122.5</v>
      </c>
      <c r="M2006" s="44">
        <v>132</v>
      </c>
    </row>
    <row r="2007" spans="1:13" x14ac:dyDescent="0.25">
      <c r="A2007" s="45" t="s">
        <v>2954</v>
      </c>
      <c r="B2007" s="44" t="s">
        <v>5197</v>
      </c>
      <c r="C2007" s="47">
        <v>44250</v>
      </c>
      <c r="D2007" s="44">
        <v>202104</v>
      </c>
      <c r="E2007" s="44">
        <v>128.5</v>
      </c>
      <c r="F2007" s="44">
        <v>128.5</v>
      </c>
      <c r="G2007" s="44">
        <v>128.5</v>
      </c>
      <c r="H2007" s="44">
        <v>128.5</v>
      </c>
      <c r="I2007" s="44">
        <v>0</v>
      </c>
      <c r="J2007" s="44">
        <v>0</v>
      </c>
      <c r="K2007" s="44">
        <v>26</v>
      </c>
      <c r="L2007" s="44">
        <v>122.5</v>
      </c>
      <c r="M2007" s="44">
        <v>132</v>
      </c>
    </row>
    <row r="2008" spans="1:13" x14ac:dyDescent="0.25">
      <c r="A2008" s="45" t="s">
        <v>2955</v>
      </c>
      <c r="C2008" s="47"/>
    </row>
    <row r="2009" spans="1:13" x14ac:dyDescent="0.25">
      <c r="A2009" s="45" t="s">
        <v>2956</v>
      </c>
      <c r="C2009" s="47"/>
    </row>
    <row r="2010" spans="1:13" x14ac:dyDescent="0.25">
      <c r="A2010" s="45" t="s">
        <v>2957</v>
      </c>
      <c r="B2010" s="44" t="s">
        <v>5198</v>
      </c>
      <c r="C2010" s="47">
        <v>44250</v>
      </c>
      <c r="D2010" s="44">
        <v>202103</v>
      </c>
      <c r="E2010" s="44">
        <v>128</v>
      </c>
      <c r="F2010" s="44">
        <v>128</v>
      </c>
      <c r="G2010" s="44">
        <v>121.5</v>
      </c>
      <c r="H2010" s="44">
        <v>122.5</v>
      </c>
      <c r="I2010" s="44">
        <v>-6</v>
      </c>
      <c r="J2010" s="44">
        <v>-4.67</v>
      </c>
      <c r="K2010" s="44">
        <v>206</v>
      </c>
      <c r="L2010" s="44">
        <v>122.5</v>
      </c>
      <c r="M2010" s="44">
        <v>640</v>
      </c>
    </row>
    <row r="2011" spans="1:13" x14ac:dyDescent="0.25">
      <c r="A2011" s="45" t="s">
        <v>2958</v>
      </c>
      <c r="B2011" s="44" t="s">
        <v>5199</v>
      </c>
      <c r="C2011" s="47">
        <v>44250</v>
      </c>
      <c r="D2011" s="44">
        <v>202106</v>
      </c>
      <c r="E2011" s="44">
        <v>122</v>
      </c>
      <c r="F2011" s="44">
        <v>122</v>
      </c>
      <c r="G2011" s="44">
        <v>122</v>
      </c>
      <c r="H2011" s="44">
        <v>122</v>
      </c>
      <c r="I2011" s="44">
        <v>-6</v>
      </c>
      <c r="J2011" s="44">
        <v>-4.6900000000000004</v>
      </c>
      <c r="K2011" s="44">
        <v>0</v>
      </c>
      <c r="L2011" s="44">
        <v>122</v>
      </c>
      <c r="M2011" s="44">
        <v>6</v>
      </c>
    </row>
    <row r="2012" spans="1:13" x14ac:dyDescent="0.25">
      <c r="A2012" s="45" t="s">
        <v>2959</v>
      </c>
      <c r="B2012" s="44" t="s">
        <v>5200</v>
      </c>
      <c r="C2012" s="47">
        <v>44250</v>
      </c>
      <c r="D2012" s="44">
        <v>202109</v>
      </c>
      <c r="E2012" s="44">
        <v>122</v>
      </c>
      <c r="F2012" s="44">
        <v>122</v>
      </c>
      <c r="G2012" s="44">
        <v>122</v>
      </c>
      <c r="H2012" s="44">
        <v>122</v>
      </c>
      <c r="I2012" s="44">
        <v>-6</v>
      </c>
      <c r="J2012" s="44">
        <v>-4.6900000000000004</v>
      </c>
      <c r="K2012" s="44">
        <v>0</v>
      </c>
      <c r="L2012" s="44">
        <v>122</v>
      </c>
      <c r="M2012" s="44">
        <v>0</v>
      </c>
    </row>
    <row r="2013" spans="1:13" x14ac:dyDescent="0.25">
      <c r="A2013" s="45" t="s">
        <v>2960</v>
      </c>
      <c r="B2013" s="44" t="s">
        <v>5201</v>
      </c>
      <c r="C2013" s="47">
        <v>44250</v>
      </c>
      <c r="D2013" s="44">
        <v>202112</v>
      </c>
      <c r="E2013" s="44">
        <v>122.5</v>
      </c>
      <c r="F2013" s="44">
        <v>122.5</v>
      </c>
      <c r="G2013" s="44">
        <v>122.5</v>
      </c>
      <c r="H2013" s="44">
        <v>122.5</v>
      </c>
      <c r="I2013" s="44">
        <v>-6</v>
      </c>
      <c r="J2013" s="44">
        <v>-4.67</v>
      </c>
      <c r="K2013" s="44">
        <v>0</v>
      </c>
      <c r="L2013" s="44">
        <v>122.5</v>
      </c>
      <c r="M2013" s="44">
        <v>0</v>
      </c>
    </row>
    <row r="2014" spans="1:13" x14ac:dyDescent="0.25">
      <c r="A2014" s="45" t="s">
        <v>1088</v>
      </c>
      <c r="B2014" s="44" t="s">
        <v>5202</v>
      </c>
      <c r="C2014" s="47">
        <v>44250</v>
      </c>
      <c r="D2014" s="44">
        <v>202103</v>
      </c>
      <c r="E2014" s="44">
        <v>782</v>
      </c>
      <c r="F2014" s="44">
        <v>796</v>
      </c>
      <c r="G2014" s="44">
        <v>761</v>
      </c>
      <c r="H2014" s="44">
        <v>782</v>
      </c>
      <c r="I2014" s="44">
        <v>-3</v>
      </c>
      <c r="J2014" s="44">
        <v>-0.38</v>
      </c>
      <c r="K2014" s="44">
        <v>510</v>
      </c>
      <c r="L2014" s="44">
        <v>783</v>
      </c>
      <c r="M2014" s="44">
        <v>281</v>
      </c>
    </row>
    <row r="2015" spans="1:13" x14ac:dyDescent="0.25">
      <c r="A2015" s="45" t="s">
        <v>2961</v>
      </c>
      <c r="B2015" s="44" t="s">
        <v>5203</v>
      </c>
      <c r="C2015" s="47">
        <v>44250</v>
      </c>
      <c r="D2015" s="44">
        <v>202103</v>
      </c>
      <c r="E2015" s="44">
        <v>782</v>
      </c>
      <c r="F2015" s="44">
        <v>796</v>
      </c>
      <c r="G2015" s="44">
        <v>761</v>
      </c>
      <c r="H2015" s="44">
        <v>782</v>
      </c>
      <c r="I2015" s="44">
        <v>-3</v>
      </c>
      <c r="J2015" s="44">
        <v>-0.38</v>
      </c>
      <c r="K2015" s="44">
        <v>510</v>
      </c>
      <c r="L2015" s="44">
        <v>783</v>
      </c>
      <c r="M2015" s="44">
        <v>281</v>
      </c>
    </row>
    <row r="2016" spans="1:13" x14ac:dyDescent="0.25">
      <c r="A2016" s="45" t="s">
        <v>2962</v>
      </c>
      <c r="B2016" s="44" t="s">
        <v>5204</v>
      </c>
      <c r="C2016" s="47">
        <v>44250</v>
      </c>
      <c r="D2016" s="44">
        <v>202104</v>
      </c>
      <c r="E2016" s="44">
        <v>780</v>
      </c>
      <c r="F2016" s="44">
        <v>782</v>
      </c>
      <c r="G2016" s="44">
        <v>780</v>
      </c>
      <c r="H2016" s="44">
        <v>782</v>
      </c>
      <c r="I2016" s="44">
        <v>-3</v>
      </c>
      <c r="J2016" s="44">
        <v>-0.38</v>
      </c>
      <c r="K2016" s="44">
        <v>3</v>
      </c>
      <c r="L2016" s="44">
        <v>780</v>
      </c>
      <c r="M2016" s="44">
        <v>8</v>
      </c>
    </row>
    <row r="2017" spans="1:13" x14ac:dyDescent="0.25">
      <c r="A2017" s="45" t="s">
        <v>2963</v>
      </c>
      <c r="B2017" s="44" t="s">
        <v>5205</v>
      </c>
      <c r="C2017" s="47">
        <v>44250</v>
      </c>
      <c r="D2017" s="44">
        <v>202104</v>
      </c>
      <c r="E2017" s="44">
        <v>780</v>
      </c>
      <c r="F2017" s="44">
        <v>782</v>
      </c>
      <c r="G2017" s="44">
        <v>780</v>
      </c>
      <c r="H2017" s="44">
        <v>782</v>
      </c>
      <c r="I2017" s="44">
        <v>-3</v>
      </c>
      <c r="J2017" s="44">
        <v>-0.38</v>
      </c>
      <c r="K2017" s="44">
        <v>3</v>
      </c>
      <c r="L2017" s="44">
        <v>780</v>
      </c>
      <c r="M2017" s="44">
        <v>8</v>
      </c>
    </row>
    <row r="2018" spans="1:13" x14ac:dyDescent="0.25">
      <c r="A2018" s="45" t="s">
        <v>2964</v>
      </c>
      <c r="C2018" s="47"/>
    </row>
    <row r="2019" spans="1:13" x14ac:dyDescent="0.25">
      <c r="A2019" s="45" t="s">
        <v>2965</v>
      </c>
      <c r="C2019" s="47"/>
    </row>
    <row r="2020" spans="1:13" x14ac:dyDescent="0.25">
      <c r="A2020" s="45" t="s">
        <v>2966</v>
      </c>
      <c r="B2020" s="44" t="s">
        <v>5206</v>
      </c>
      <c r="C2020" s="47">
        <v>44250</v>
      </c>
      <c r="D2020" s="44">
        <v>202103</v>
      </c>
      <c r="E2020" s="44">
        <v>782</v>
      </c>
      <c r="F2020" s="44">
        <v>796</v>
      </c>
      <c r="G2020" s="44">
        <v>761</v>
      </c>
      <c r="H2020" s="44">
        <v>782</v>
      </c>
      <c r="I2020" s="44">
        <v>-3</v>
      </c>
      <c r="J2020" s="44">
        <v>-0.38</v>
      </c>
      <c r="K2020" s="44">
        <v>510</v>
      </c>
      <c r="L2020" s="44">
        <v>783</v>
      </c>
      <c r="M2020" s="44">
        <v>281</v>
      </c>
    </row>
    <row r="2021" spans="1:13" x14ac:dyDescent="0.25">
      <c r="A2021" s="45" t="s">
        <v>2967</v>
      </c>
      <c r="B2021" s="44" t="s">
        <v>5207</v>
      </c>
      <c r="C2021" s="47">
        <v>44250</v>
      </c>
      <c r="D2021" s="44">
        <v>202106</v>
      </c>
      <c r="E2021" s="44">
        <v>782</v>
      </c>
      <c r="F2021" s="44">
        <v>782</v>
      </c>
      <c r="G2021" s="44">
        <v>782</v>
      </c>
      <c r="H2021" s="44">
        <v>782</v>
      </c>
      <c r="I2021" s="44">
        <v>-2</v>
      </c>
      <c r="J2021" s="44">
        <v>-0.26</v>
      </c>
      <c r="K2021" s="44">
        <v>0</v>
      </c>
      <c r="L2021" s="44">
        <v>782</v>
      </c>
      <c r="M2021" s="44">
        <v>1</v>
      </c>
    </row>
    <row r="2022" spans="1:13" x14ac:dyDescent="0.25">
      <c r="A2022" s="45" t="s">
        <v>2968</v>
      </c>
      <c r="B2022" s="44" t="s">
        <v>5208</v>
      </c>
      <c r="C2022" s="47">
        <v>44250</v>
      </c>
      <c r="D2022" s="44">
        <v>202109</v>
      </c>
      <c r="E2022" s="44">
        <v>781</v>
      </c>
      <c r="F2022" s="44">
        <v>781</v>
      </c>
      <c r="G2022" s="44">
        <v>781</v>
      </c>
      <c r="H2022" s="44">
        <v>781</v>
      </c>
      <c r="I2022" s="44">
        <v>-2</v>
      </c>
      <c r="J2022" s="44">
        <v>-0.26</v>
      </c>
      <c r="K2022" s="44">
        <v>0</v>
      </c>
      <c r="L2022" s="44">
        <v>781</v>
      </c>
      <c r="M2022" s="44">
        <v>3</v>
      </c>
    </row>
    <row r="2023" spans="1:13" x14ac:dyDescent="0.25">
      <c r="A2023" s="45" t="s">
        <v>2969</v>
      </c>
      <c r="B2023" s="44" t="s">
        <v>5209</v>
      </c>
      <c r="C2023" s="47">
        <v>44250</v>
      </c>
      <c r="D2023" s="44">
        <v>202112</v>
      </c>
      <c r="E2023" s="44">
        <v>780</v>
      </c>
      <c r="F2023" s="44">
        <v>780</v>
      </c>
      <c r="G2023" s="44">
        <v>780</v>
      </c>
      <c r="H2023" s="44">
        <v>780</v>
      </c>
      <c r="I2023" s="44">
        <v>-2</v>
      </c>
      <c r="J2023" s="44">
        <v>-0.26</v>
      </c>
      <c r="K2023" s="44">
        <v>0</v>
      </c>
      <c r="L2023" s="44">
        <v>780</v>
      </c>
      <c r="M2023" s="44">
        <v>0</v>
      </c>
    </row>
    <row r="2024" spans="1:13" x14ac:dyDescent="0.25">
      <c r="A2024" s="45" t="s">
        <v>1090</v>
      </c>
      <c r="B2024" s="44" t="s">
        <v>5210</v>
      </c>
      <c r="C2024" s="47">
        <v>44250</v>
      </c>
      <c r="D2024" s="44">
        <v>202103</v>
      </c>
      <c r="E2024" s="44">
        <v>895</v>
      </c>
      <c r="F2024" s="44">
        <v>895</v>
      </c>
      <c r="G2024" s="44">
        <v>895</v>
      </c>
      <c r="H2024" s="44">
        <v>895</v>
      </c>
      <c r="I2024" s="44">
        <v>-27</v>
      </c>
      <c r="J2024" s="44">
        <v>-2.93</v>
      </c>
      <c r="K2024" s="44">
        <v>0</v>
      </c>
      <c r="L2024" s="44">
        <v>895</v>
      </c>
      <c r="M2024" s="44">
        <v>3</v>
      </c>
    </row>
    <row r="2025" spans="1:13" x14ac:dyDescent="0.25">
      <c r="A2025" s="45" t="s">
        <v>2970</v>
      </c>
      <c r="B2025" s="44" t="s">
        <v>5211</v>
      </c>
      <c r="C2025" s="47">
        <v>44250</v>
      </c>
      <c r="D2025" s="44">
        <v>202103</v>
      </c>
      <c r="E2025" s="44">
        <v>895</v>
      </c>
      <c r="F2025" s="44">
        <v>895</v>
      </c>
      <c r="G2025" s="44">
        <v>895</v>
      </c>
      <c r="H2025" s="44">
        <v>895</v>
      </c>
      <c r="I2025" s="44">
        <v>-27</v>
      </c>
      <c r="J2025" s="44">
        <v>-2.93</v>
      </c>
      <c r="K2025" s="44">
        <v>0</v>
      </c>
      <c r="L2025" s="44">
        <v>895</v>
      </c>
      <c r="M2025" s="44">
        <v>3</v>
      </c>
    </row>
    <row r="2026" spans="1:13" x14ac:dyDescent="0.25">
      <c r="A2026" s="45" t="s">
        <v>2971</v>
      </c>
      <c r="B2026" s="44" t="s">
        <v>5212</v>
      </c>
      <c r="C2026" s="47">
        <v>44250</v>
      </c>
      <c r="D2026" s="44">
        <v>202104</v>
      </c>
      <c r="E2026" s="44">
        <v>890</v>
      </c>
      <c r="F2026" s="44">
        <v>890</v>
      </c>
      <c r="G2026" s="44">
        <v>890</v>
      </c>
      <c r="H2026" s="44">
        <v>890</v>
      </c>
      <c r="I2026" s="44">
        <v>-27</v>
      </c>
      <c r="J2026" s="44">
        <v>-2.94</v>
      </c>
      <c r="K2026" s="44">
        <v>0</v>
      </c>
      <c r="L2026" s="44">
        <v>890</v>
      </c>
      <c r="M2026" s="44">
        <v>1</v>
      </c>
    </row>
    <row r="2027" spans="1:13" x14ac:dyDescent="0.25">
      <c r="A2027" s="45" t="s">
        <v>2972</v>
      </c>
      <c r="B2027" s="44" t="s">
        <v>5213</v>
      </c>
      <c r="C2027" s="47">
        <v>44250</v>
      </c>
      <c r="D2027" s="44">
        <v>202104</v>
      </c>
      <c r="E2027" s="44">
        <v>890</v>
      </c>
      <c r="F2027" s="44">
        <v>890</v>
      </c>
      <c r="G2027" s="44">
        <v>890</v>
      </c>
      <c r="H2027" s="44">
        <v>890</v>
      </c>
      <c r="I2027" s="44">
        <v>-27</v>
      </c>
      <c r="J2027" s="44">
        <v>-2.94</v>
      </c>
      <c r="K2027" s="44">
        <v>0</v>
      </c>
      <c r="L2027" s="44">
        <v>890</v>
      </c>
      <c r="M2027" s="44">
        <v>1</v>
      </c>
    </row>
    <row r="2028" spans="1:13" x14ac:dyDescent="0.25">
      <c r="A2028" s="45" t="s">
        <v>2973</v>
      </c>
      <c r="C2028" s="47"/>
    </row>
    <row r="2029" spans="1:13" x14ac:dyDescent="0.25">
      <c r="A2029" s="45" t="s">
        <v>2974</v>
      </c>
      <c r="B2029" s="44" t="s">
        <v>5214</v>
      </c>
      <c r="C2029" s="47">
        <v>44250</v>
      </c>
      <c r="D2029" s="44">
        <v>202103</v>
      </c>
      <c r="E2029" s="44">
        <v>895</v>
      </c>
      <c r="F2029" s="44">
        <v>895</v>
      </c>
      <c r="G2029" s="44">
        <v>895</v>
      </c>
      <c r="H2029" s="44">
        <v>895</v>
      </c>
      <c r="I2029" s="44">
        <v>-27</v>
      </c>
      <c r="J2029" s="44">
        <v>-2.93</v>
      </c>
      <c r="K2029" s="44">
        <v>0</v>
      </c>
      <c r="L2029" s="44">
        <v>895</v>
      </c>
      <c r="M2029" s="44">
        <v>3</v>
      </c>
    </row>
    <row r="2030" spans="1:13" x14ac:dyDescent="0.25">
      <c r="A2030" s="45" t="s">
        <v>2975</v>
      </c>
      <c r="B2030" s="44" t="s">
        <v>5215</v>
      </c>
      <c r="C2030" s="47">
        <v>44250</v>
      </c>
      <c r="D2030" s="44">
        <v>202106</v>
      </c>
      <c r="E2030" s="44">
        <v>893</v>
      </c>
      <c r="F2030" s="44">
        <v>893</v>
      </c>
      <c r="G2030" s="44">
        <v>893</v>
      </c>
      <c r="H2030" s="44">
        <v>893</v>
      </c>
      <c r="I2030" s="44">
        <v>-27</v>
      </c>
      <c r="J2030" s="44">
        <v>-2.93</v>
      </c>
      <c r="K2030" s="44">
        <v>0</v>
      </c>
      <c r="L2030" s="44">
        <v>893</v>
      </c>
      <c r="M2030" s="44">
        <v>0</v>
      </c>
    </row>
    <row r="2031" spans="1:13" x14ac:dyDescent="0.25">
      <c r="A2031" s="45" t="s">
        <v>2976</v>
      </c>
      <c r="B2031" s="44" t="s">
        <v>5216</v>
      </c>
      <c r="C2031" s="47">
        <v>44250</v>
      </c>
      <c r="D2031" s="44">
        <v>202109</v>
      </c>
      <c r="E2031" s="44">
        <v>893</v>
      </c>
      <c r="F2031" s="44">
        <v>893</v>
      </c>
      <c r="G2031" s="44">
        <v>893</v>
      </c>
      <c r="H2031" s="44">
        <v>893</v>
      </c>
      <c r="I2031" s="44">
        <v>-27</v>
      </c>
      <c r="J2031" s="44">
        <v>-2.93</v>
      </c>
      <c r="K2031" s="44">
        <v>0</v>
      </c>
      <c r="L2031" s="44">
        <v>893</v>
      </c>
      <c r="M2031" s="44">
        <v>0</v>
      </c>
    </row>
    <row r="2032" spans="1:13" x14ac:dyDescent="0.25">
      <c r="A2032" s="45" t="s">
        <v>2977</v>
      </c>
      <c r="B2032" s="44" t="s">
        <v>5217</v>
      </c>
      <c r="C2032" s="47">
        <v>44250</v>
      </c>
      <c r="D2032" s="44">
        <v>202112</v>
      </c>
      <c r="E2032" s="44">
        <v>893</v>
      </c>
      <c r="F2032" s="44">
        <v>893</v>
      </c>
      <c r="G2032" s="44">
        <v>893</v>
      </c>
      <c r="H2032" s="44">
        <v>893</v>
      </c>
      <c r="I2032" s="44">
        <v>-27</v>
      </c>
      <c r="J2032" s="44">
        <v>-2.93</v>
      </c>
      <c r="K2032" s="44">
        <v>0</v>
      </c>
      <c r="L2032" s="44">
        <v>893</v>
      </c>
      <c r="M2032" s="44">
        <v>0</v>
      </c>
    </row>
    <row r="2033" spans="1:13" x14ac:dyDescent="0.25">
      <c r="A2033" s="45" t="s">
        <v>1091</v>
      </c>
      <c r="B2033" s="44" t="s">
        <v>5218</v>
      </c>
      <c r="C2033" s="47">
        <v>44250</v>
      </c>
      <c r="D2033" s="44">
        <v>202103</v>
      </c>
      <c r="E2033" s="44">
        <v>909</v>
      </c>
      <c r="F2033" s="44">
        <v>940</v>
      </c>
      <c r="G2033" s="44">
        <v>893</v>
      </c>
      <c r="H2033" s="44">
        <v>895</v>
      </c>
      <c r="I2033" s="44">
        <v>-27</v>
      </c>
      <c r="J2033" s="44">
        <v>-2.93</v>
      </c>
      <c r="K2033" s="44">
        <v>81</v>
      </c>
      <c r="L2033" s="44">
        <v>895</v>
      </c>
      <c r="M2033" s="44">
        <v>150</v>
      </c>
    </row>
    <row r="2034" spans="1:13" x14ac:dyDescent="0.25">
      <c r="A2034" s="45" t="s">
        <v>2978</v>
      </c>
      <c r="B2034" s="44" t="s">
        <v>5219</v>
      </c>
      <c r="C2034" s="47">
        <v>44250</v>
      </c>
      <c r="D2034" s="44">
        <v>202103</v>
      </c>
      <c r="E2034" s="44">
        <v>909</v>
      </c>
      <c r="F2034" s="44">
        <v>940</v>
      </c>
      <c r="G2034" s="44">
        <v>893</v>
      </c>
      <c r="H2034" s="44">
        <v>895</v>
      </c>
      <c r="I2034" s="44">
        <v>-27</v>
      </c>
      <c r="J2034" s="44">
        <v>-2.93</v>
      </c>
      <c r="K2034" s="44">
        <v>81</v>
      </c>
      <c r="L2034" s="44">
        <v>895</v>
      </c>
      <c r="M2034" s="44">
        <v>150</v>
      </c>
    </row>
    <row r="2035" spans="1:13" x14ac:dyDescent="0.25">
      <c r="A2035" s="45" t="s">
        <v>2979</v>
      </c>
      <c r="B2035" s="44" t="s">
        <v>5220</v>
      </c>
      <c r="C2035" s="47">
        <v>44250</v>
      </c>
      <c r="D2035" s="44">
        <v>202104</v>
      </c>
      <c r="E2035" s="44">
        <v>890</v>
      </c>
      <c r="F2035" s="44">
        <v>890</v>
      </c>
      <c r="G2035" s="44">
        <v>890</v>
      </c>
      <c r="H2035" s="44">
        <v>890</v>
      </c>
      <c r="I2035" s="44">
        <v>-27</v>
      </c>
      <c r="J2035" s="44">
        <v>-2.94</v>
      </c>
      <c r="K2035" s="44">
        <v>0</v>
      </c>
      <c r="L2035" s="44">
        <v>890</v>
      </c>
      <c r="M2035" s="44">
        <v>9</v>
      </c>
    </row>
    <row r="2036" spans="1:13" x14ac:dyDescent="0.25">
      <c r="A2036" s="45" t="s">
        <v>2980</v>
      </c>
      <c r="B2036" s="44" t="s">
        <v>5221</v>
      </c>
      <c r="C2036" s="47">
        <v>44250</v>
      </c>
      <c r="D2036" s="44">
        <v>202104</v>
      </c>
      <c r="E2036" s="44">
        <v>890</v>
      </c>
      <c r="F2036" s="44">
        <v>890</v>
      </c>
      <c r="G2036" s="44">
        <v>890</v>
      </c>
      <c r="H2036" s="44">
        <v>890</v>
      </c>
      <c r="I2036" s="44">
        <v>-27</v>
      </c>
      <c r="J2036" s="44">
        <v>-2.94</v>
      </c>
      <c r="K2036" s="44">
        <v>0</v>
      </c>
      <c r="L2036" s="44">
        <v>890</v>
      </c>
      <c r="M2036" s="44">
        <v>9</v>
      </c>
    </row>
    <row r="2037" spans="1:13" x14ac:dyDescent="0.25">
      <c r="A2037" s="45" t="s">
        <v>2981</v>
      </c>
      <c r="C2037" s="47"/>
    </row>
    <row r="2038" spans="1:13" x14ac:dyDescent="0.25">
      <c r="A2038" s="45" t="s">
        <v>2982</v>
      </c>
      <c r="B2038" s="44" t="s">
        <v>5222</v>
      </c>
      <c r="C2038" s="47">
        <v>44250</v>
      </c>
      <c r="D2038" s="44">
        <v>202103</v>
      </c>
      <c r="E2038" s="44">
        <v>909</v>
      </c>
      <c r="F2038" s="44">
        <v>940</v>
      </c>
      <c r="G2038" s="44">
        <v>893</v>
      </c>
      <c r="H2038" s="44">
        <v>895</v>
      </c>
      <c r="I2038" s="44">
        <v>-27</v>
      </c>
      <c r="J2038" s="44">
        <v>-2.93</v>
      </c>
      <c r="K2038" s="44">
        <v>81</v>
      </c>
      <c r="L2038" s="44">
        <v>895</v>
      </c>
      <c r="M2038" s="44">
        <v>150</v>
      </c>
    </row>
    <row r="2039" spans="1:13" x14ac:dyDescent="0.25">
      <c r="A2039" s="45" t="s">
        <v>2983</v>
      </c>
      <c r="B2039" s="44" t="s">
        <v>5223</v>
      </c>
      <c r="C2039" s="47">
        <v>44250</v>
      </c>
      <c r="D2039" s="44">
        <v>202106</v>
      </c>
      <c r="E2039" s="44">
        <v>893</v>
      </c>
      <c r="F2039" s="44">
        <v>893</v>
      </c>
      <c r="G2039" s="44">
        <v>893</v>
      </c>
      <c r="H2039" s="44">
        <v>893</v>
      </c>
      <c r="I2039" s="44">
        <v>-27</v>
      </c>
      <c r="J2039" s="44">
        <v>-2.93</v>
      </c>
      <c r="K2039" s="44">
        <v>0</v>
      </c>
      <c r="L2039" s="44">
        <v>893</v>
      </c>
      <c r="M2039" s="44">
        <v>0</v>
      </c>
    </row>
    <row r="2040" spans="1:13" x14ac:dyDescent="0.25">
      <c r="A2040" s="45" t="s">
        <v>2984</v>
      </c>
      <c r="B2040" s="44" t="s">
        <v>5224</v>
      </c>
      <c r="C2040" s="47">
        <v>44250</v>
      </c>
      <c r="D2040" s="44">
        <v>202109</v>
      </c>
      <c r="E2040" s="44">
        <v>893</v>
      </c>
      <c r="F2040" s="44">
        <v>893</v>
      </c>
      <c r="G2040" s="44">
        <v>893</v>
      </c>
      <c r="H2040" s="44">
        <v>893</v>
      </c>
      <c r="I2040" s="44">
        <v>-27</v>
      </c>
      <c r="J2040" s="44">
        <v>-2.93</v>
      </c>
      <c r="K2040" s="44">
        <v>0</v>
      </c>
      <c r="L2040" s="44">
        <v>893</v>
      </c>
      <c r="M2040" s="44">
        <v>0</v>
      </c>
    </row>
    <row r="2041" spans="1:13" x14ac:dyDescent="0.25">
      <c r="A2041" s="45" t="s">
        <v>2985</v>
      </c>
      <c r="B2041" s="44" t="s">
        <v>5225</v>
      </c>
      <c r="C2041" s="47">
        <v>44250</v>
      </c>
      <c r="D2041" s="44">
        <v>202112</v>
      </c>
      <c r="E2041" s="44">
        <v>893</v>
      </c>
      <c r="F2041" s="44">
        <v>893</v>
      </c>
      <c r="G2041" s="44">
        <v>893</v>
      </c>
      <c r="H2041" s="44">
        <v>893</v>
      </c>
      <c r="I2041" s="44">
        <v>-27</v>
      </c>
      <c r="J2041" s="44">
        <v>-2.93</v>
      </c>
      <c r="K2041" s="44">
        <v>0</v>
      </c>
      <c r="L2041" s="44">
        <v>893</v>
      </c>
      <c r="M2041" s="44">
        <v>0</v>
      </c>
    </row>
    <row r="2042" spans="1:13" x14ac:dyDescent="0.25">
      <c r="A2042" s="45" t="s">
        <v>1044</v>
      </c>
      <c r="B2042" s="44" t="s">
        <v>5226</v>
      </c>
      <c r="C2042" s="47">
        <v>44250</v>
      </c>
      <c r="D2042" s="44">
        <v>202103</v>
      </c>
      <c r="E2042" s="44">
        <v>109</v>
      </c>
      <c r="F2042" s="44">
        <v>110.5</v>
      </c>
      <c r="G2042" s="44">
        <v>107.5</v>
      </c>
      <c r="H2042" s="44">
        <v>110.5</v>
      </c>
      <c r="I2042" s="44">
        <v>-1.5</v>
      </c>
      <c r="J2042" s="44">
        <v>-1.34</v>
      </c>
      <c r="K2042" s="44">
        <v>960</v>
      </c>
      <c r="L2042" s="44">
        <v>110.5</v>
      </c>
      <c r="M2042" s="44">
        <v>3538</v>
      </c>
    </row>
    <row r="2043" spans="1:13" x14ac:dyDescent="0.25">
      <c r="A2043" s="45" t="s">
        <v>2986</v>
      </c>
      <c r="B2043" s="44" t="s">
        <v>5227</v>
      </c>
      <c r="C2043" s="47">
        <v>44250</v>
      </c>
      <c r="D2043" s="44">
        <v>202103</v>
      </c>
      <c r="E2043" s="44">
        <v>109</v>
      </c>
      <c r="F2043" s="44">
        <v>110.5</v>
      </c>
      <c r="G2043" s="44">
        <v>107.5</v>
      </c>
      <c r="H2043" s="44">
        <v>110.5</v>
      </c>
      <c r="I2043" s="44">
        <v>-1.5</v>
      </c>
      <c r="J2043" s="44">
        <v>-1.34</v>
      </c>
      <c r="K2043" s="44">
        <v>960</v>
      </c>
      <c r="L2043" s="44">
        <v>110.5</v>
      </c>
      <c r="M2043" s="44">
        <v>3538</v>
      </c>
    </row>
    <row r="2044" spans="1:13" x14ac:dyDescent="0.25">
      <c r="A2044" s="45" t="s">
        <v>2987</v>
      </c>
      <c r="B2044" s="44" t="s">
        <v>5228</v>
      </c>
      <c r="C2044" s="47">
        <v>44250</v>
      </c>
      <c r="D2044" s="44">
        <v>202104</v>
      </c>
      <c r="E2044" s="44">
        <v>108</v>
      </c>
      <c r="F2044" s="44">
        <v>109</v>
      </c>
      <c r="G2044" s="44">
        <v>107.5</v>
      </c>
      <c r="H2044" s="44">
        <v>109</v>
      </c>
      <c r="I2044" s="44">
        <v>-2.5</v>
      </c>
      <c r="J2044" s="44">
        <v>-2.2400000000000002</v>
      </c>
      <c r="K2044" s="44">
        <v>53</v>
      </c>
      <c r="L2044" s="44">
        <v>110</v>
      </c>
      <c r="M2044" s="44">
        <v>75</v>
      </c>
    </row>
    <row r="2045" spans="1:13" x14ac:dyDescent="0.25">
      <c r="A2045" s="45" t="s">
        <v>2988</v>
      </c>
      <c r="B2045" s="44" t="s">
        <v>5229</v>
      </c>
      <c r="C2045" s="47">
        <v>44250</v>
      </c>
      <c r="D2045" s="44">
        <v>202104</v>
      </c>
      <c r="E2045" s="44">
        <v>108</v>
      </c>
      <c r="F2045" s="44">
        <v>109</v>
      </c>
      <c r="G2045" s="44">
        <v>107.5</v>
      </c>
      <c r="H2045" s="44">
        <v>109</v>
      </c>
      <c r="I2045" s="44">
        <v>-2.5</v>
      </c>
      <c r="J2045" s="44">
        <v>-2.2400000000000002</v>
      </c>
      <c r="K2045" s="44">
        <v>53</v>
      </c>
      <c r="L2045" s="44">
        <v>110</v>
      </c>
      <c r="M2045" s="44">
        <v>75</v>
      </c>
    </row>
    <row r="2046" spans="1:13" x14ac:dyDescent="0.25">
      <c r="A2046" s="45" t="s">
        <v>2989</v>
      </c>
      <c r="C2046" s="47"/>
    </row>
    <row r="2047" spans="1:13" x14ac:dyDescent="0.25">
      <c r="A2047" s="45" t="s">
        <v>2990</v>
      </c>
      <c r="C2047" s="47"/>
    </row>
    <row r="2048" spans="1:13" x14ac:dyDescent="0.25">
      <c r="A2048" s="45" t="s">
        <v>2991</v>
      </c>
      <c r="C2048" s="47"/>
    </row>
    <row r="2049" spans="1:13" x14ac:dyDescent="0.25">
      <c r="A2049" s="45" t="s">
        <v>2992</v>
      </c>
      <c r="B2049" s="44" t="s">
        <v>5230</v>
      </c>
      <c r="C2049" s="47">
        <v>44250</v>
      </c>
      <c r="D2049" s="44">
        <v>202103</v>
      </c>
      <c r="E2049" s="44">
        <v>109</v>
      </c>
      <c r="F2049" s="44">
        <v>110.5</v>
      </c>
      <c r="G2049" s="44">
        <v>107.5</v>
      </c>
      <c r="H2049" s="44">
        <v>110.5</v>
      </c>
      <c r="I2049" s="44">
        <v>-1.5</v>
      </c>
      <c r="J2049" s="44">
        <v>-1.34</v>
      </c>
      <c r="K2049" s="44">
        <v>960</v>
      </c>
      <c r="L2049" s="44">
        <v>110.5</v>
      </c>
      <c r="M2049" s="44">
        <v>3538</v>
      </c>
    </row>
    <row r="2050" spans="1:13" x14ac:dyDescent="0.25">
      <c r="A2050" s="45" t="s">
        <v>2993</v>
      </c>
      <c r="C2050" s="47"/>
    </row>
    <row r="2051" spans="1:13" x14ac:dyDescent="0.25">
      <c r="A2051" s="45" t="s">
        <v>2994</v>
      </c>
      <c r="B2051" s="44" t="s">
        <v>5231</v>
      </c>
      <c r="C2051" s="47">
        <v>44250</v>
      </c>
      <c r="D2051" s="44">
        <v>202106</v>
      </c>
      <c r="E2051" s="44">
        <v>107.5</v>
      </c>
      <c r="F2051" s="44">
        <v>108</v>
      </c>
      <c r="G2051" s="44">
        <v>107.5</v>
      </c>
      <c r="H2051" s="44">
        <v>108</v>
      </c>
      <c r="I2051" s="44">
        <v>-4</v>
      </c>
      <c r="J2051" s="44">
        <v>-3.57</v>
      </c>
      <c r="K2051" s="44">
        <v>7</v>
      </c>
      <c r="L2051" s="44">
        <v>110.5</v>
      </c>
      <c r="M2051" s="44">
        <v>542</v>
      </c>
    </row>
    <row r="2052" spans="1:13" x14ac:dyDescent="0.25">
      <c r="A2052" s="45" t="s">
        <v>2995</v>
      </c>
      <c r="C2052" s="47"/>
    </row>
    <row r="2053" spans="1:13" x14ac:dyDescent="0.25">
      <c r="A2053" s="45" t="s">
        <v>2996</v>
      </c>
      <c r="C2053" s="47"/>
    </row>
    <row r="2054" spans="1:13" x14ac:dyDescent="0.25">
      <c r="A2054" s="45" t="s">
        <v>2997</v>
      </c>
      <c r="B2054" s="44" t="s">
        <v>5232</v>
      </c>
      <c r="C2054" s="47">
        <v>44250</v>
      </c>
      <c r="D2054" s="44">
        <v>202109</v>
      </c>
      <c r="E2054" s="44">
        <v>111</v>
      </c>
      <c r="F2054" s="44">
        <v>111</v>
      </c>
      <c r="G2054" s="44">
        <v>111</v>
      </c>
      <c r="H2054" s="44">
        <v>111</v>
      </c>
      <c r="I2054" s="44">
        <v>-1.5</v>
      </c>
      <c r="J2054" s="44">
        <v>-1.33</v>
      </c>
      <c r="K2054" s="44">
        <v>0</v>
      </c>
      <c r="L2054" s="44">
        <v>111</v>
      </c>
      <c r="M2054" s="44">
        <v>1</v>
      </c>
    </row>
    <row r="2055" spans="1:13" x14ac:dyDescent="0.25">
      <c r="A2055" s="45" t="s">
        <v>2998</v>
      </c>
      <c r="B2055" s="44" t="s">
        <v>5233</v>
      </c>
      <c r="C2055" s="47">
        <v>44250</v>
      </c>
      <c r="D2055" s="44">
        <v>202112</v>
      </c>
      <c r="E2055" s="44">
        <v>110.5</v>
      </c>
      <c r="F2055" s="44">
        <v>110.5</v>
      </c>
      <c r="G2055" s="44">
        <v>110.5</v>
      </c>
      <c r="H2055" s="44">
        <v>110.5</v>
      </c>
      <c r="I2055" s="44">
        <v>-1.5</v>
      </c>
      <c r="J2055" s="44">
        <v>-1.34</v>
      </c>
      <c r="K2055" s="44">
        <v>0</v>
      </c>
      <c r="L2055" s="44">
        <v>110.5</v>
      </c>
      <c r="M2055" s="44">
        <v>0</v>
      </c>
    </row>
    <row r="2056" spans="1:13" x14ac:dyDescent="0.25">
      <c r="A2056" s="45" t="s">
        <v>1017</v>
      </c>
      <c r="B2056" s="44" t="s">
        <v>5234</v>
      </c>
      <c r="C2056" s="47">
        <v>44250</v>
      </c>
      <c r="D2056" s="44">
        <v>202103</v>
      </c>
      <c r="E2056" s="44">
        <v>185.5</v>
      </c>
      <c r="F2056" s="44">
        <v>186</v>
      </c>
      <c r="G2056" s="44">
        <v>183</v>
      </c>
      <c r="H2056" s="44">
        <v>185</v>
      </c>
      <c r="I2056" s="44">
        <v>-1.5</v>
      </c>
      <c r="J2056" s="44">
        <v>-0.8</v>
      </c>
      <c r="K2056" s="44">
        <v>78</v>
      </c>
      <c r="L2056" s="44">
        <v>185</v>
      </c>
      <c r="M2056" s="44">
        <v>339</v>
      </c>
    </row>
    <row r="2057" spans="1:13" x14ac:dyDescent="0.25">
      <c r="A2057" s="45" t="s">
        <v>2999</v>
      </c>
      <c r="B2057" s="44" t="s">
        <v>5235</v>
      </c>
      <c r="C2057" s="47">
        <v>44250</v>
      </c>
      <c r="D2057" s="44">
        <v>202103</v>
      </c>
      <c r="E2057" s="44">
        <v>185.5</v>
      </c>
      <c r="F2057" s="44">
        <v>186</v>
      </c>
      <c r="G2057" s="44">
        <v>183</v>
      </c>
      <c r="H2057" s="44">
        <v>185</v>
      </c>
      <c r="I2057" s="44">
        <v>-1.5</v>
      </c>
      <c r="J2057" s="44">
        <v>-0.8</v>
      </c>
      <c r="K2057" s="44">
        <v>78</v>
      </c>
      <c r="L2057" s="44">
        <v>185</v>
      </c>
      <c r="M2057" s="44">
        <v>339</v>
      </c>
    </row>
    <row r="2058" spans="1:13" x14ac:dyDescent="0.25">
      <c r="A2058" s="45" t="s">
        <v>3000</v>
      </c>
      <c r="B2058" s="44" t="s">
        <v>5236</v>
      </c>
      <c r="C2058" s="47">
        <v>44250</v>
      </c>
      <c r="D2058" s="44">
        <v>202104</v>
      </c>
      <c r="E2058" s="44">
        <v>183.5</v>
      </c>
      <c r="F2058" s="44">
        <v>183.5</v>
      </c>
      <c r="G2058" s="44">
        <v>183.5</v>
      </c>
      <c r="H2058" s="44">
        <v>183.5</v>
      </c>
      <c r="I2058" s="44">
        <v>-1.5</v>
      </c>
      <c r="J2058" s="44">
        <v>-0.81</v>
      </c>
      <c r="K2058" s="44">
        <v>1</v>
      </c>
      <c r="L2058" s="44">
        <v>183.5</v>
      </c>
      <c r="M2058" s="44">
        <v>2</v>
      </c>
    </row>
    <row r="2059" spans="1:13" x14ac:dyDescent="0.25">
      <c r="A2059" s="45" t="s">
        <v>3001</v>
      </c>
      <c r="B2059" s="44" t="s">
        <v>5237</v>
      </c>
      <c r="C2059" s="47">
        <v>44250</v>
      </c>
      <c r="D2059" s="44">
        <v>202104</v>
      </c>
      <c r="E2059" s="44">
        <v>183.5</v>
      </c>
      <c r="F2059" s="44">
        <v>183.5</v>
      </c>
      <c r="G2059" s="44">
        <v>183.5</v>
      </c>
      <c r="H2059" s="44">
        <v>183.5</v>
      </c>
      <c r="I2059" s="44">
        <v>-1.5</v>
      </c>
      <c r="J2059" s="44">
        <v>-0.81</v>
      </c>
      <c r="K2059" s="44">
        <v>1</v>
      </c>
      <c r="L2059" s="44">
        <v>183.5</v>
      </c>
      <c r="M2059" s="44">
        <v>2</v>
      </c>
    </row>
    <row r="2060" spans="1:13" x14ac:dyDescent="0.25">
      <c r="A2060" s="45" t="s">
        <v>3002</v>
      </c>
      <c r="C2060" s="47"/>
    </row>
    <row r="2061" spans="1:13" x14ac:dyDescent="0.25">
      <c r="A2061" s="45" t="s">
        <v>3003</v>
      </c>
      <c r="C2061" s="47"/>
    </row>
    <row r="2062" spans="1:13" x14ac:dyDescent="0.25">
      <c r="A2062" s="45" t="s">
        <v>3004</v>
      </c>
      <c r="B2062" s="44" t="s">
        <v>5238</v>
      </c>
      <c r="C2062" s="47">
        <v>44250</v>
      </c>
      <c r="D2062" s="44">
        <v>202103</v>
      </c>
      <c r="E2062" s="44">
        <v>185.5</v>
      </c>
      <c r="F2062" s="44">
        <v>186</v>
      </c>
      <c r="G2062" s="44">
        <v>183</v>
      </c>
      <c r="H2062" s="44">
        <v>185</v>
      </c>
      <c r="I2062" s="44">
        <v>-1.5</v>
      </c>
      <c r="J2062" s="44">
        <v>-0.8</v>
      </c>
      <c r="K2062" s="44">
        <v>78</v>
      </c>
      <c r="L2062" s="44">
        <v>185</v>
      </c>
      <c r="M2062" s="44">
        <v>339</v>
      </c>
    </row>
    <row r="2063" spans="1:13" x14ac:dyDescent="0.25">
      <c r="A2063" s="45" t="s">
        <v>3005</v>
      </c>
      <c r="B2063" s="44" t="s">
        <v>5239</v>
      </c>
      <c r="C2063" s="47">
        <v>44250</v>
      </c>
      <c r="D2063" s="44">
        <v>202106</v>
      </c>
      <c r="E2063" s="44">
        <v>183.5</v>
      </c>
      <c r="F2063" s="44">
        <v>183.5</v>
      </c>
      <c r="G2063" s="44">
        <v>183.5</v>
      </c>
      <c r="H2063" s="44">
        <v>183.5</v>
      </c>
      <c r="I2063" s="44">
        <v>-1.5</v>
      </c>
      <c r="J2063" s="44">
        <v>-0.81</v>
      </c>
      <c r="K2063" s="44">
        <v>0</v>
      </c>
      <c r="L2063" s="44">
        <v>183.5</v>
      </c>
      <c r="M2063" s="44">
        <v>2</v>
      </c>
    </row>
    <row r="2064" spans="1:13" x14ac:dyDescent="0.25">
      <c r="A2064" s="45" t="s">
        <v>3006</v>
      </c>
      <c r="B2064" s="44" t="s">
        <v>5240</v>
      </c>
      <c r="C2064" s="47">
        <v>44250</v>
      </c>
      <c r="D2064" s="44">
        <v>202109</v>
      </c>
      <c r="E2064" s="44">
        <v>184</v>
      </c>
      <c r="F2064" s="44">
        <v>184</v>
      </c>
      <c r="G2064" s="44">
        <v>184</v>
      </c>
      <c r="H2064" s="44">
        <v>184</v>
      </c>
      <c r="I2064" s="44">
        <v>-1.5</v>
      </c>
      <c r="J2064" s="44">
        <v>-0.81</v>
      </c>
      <c r="K2064" s="44">
        <v>0</v>
      </c>
      <c r="L2064" s="44">
        <v>184</v>
      </c>
      <c r="M2064" s="44">
        <v>1</v>
      </c>
    </row>
    <row r="2065" spans="1:13" x14ac:dyDescent="0.25">
      <c r="A2065" s="45" t="s">
        <v>3007</v>
      </c>
      <c r="B2065" s="44" t="s">
        <v>5241</v>
      </c>
      <c r="C2065" s="47">
        <v>44250</v>
      </c>
      <c r="D2065" s="44">
        <v>202112</v>
      </c>
      <c r="E2065" s="44">
        <v>183.5</v>
      </c>
      <c r="F2065" s="44">
        <v>183.5</v>
      </c>
      <c r="G2065" s="44">
        <v>183.5</v>
      </c>
      <c r="H2065" s="44">
        <v>183.5</v>
      </c>
      <c r="I2065" s="44">
        <v>-1.5</v>
      </c>
      <c r="J2065" s="44">
        <v>-0.81</v>
      </c>
      <c r="K2065" s="44">
        <v>0</v>
      </c>
      <c r="L2065" s="44">
        <v>183.5</v>
      </c>
      <c r="M2065" s="44">
        <v>0</v>
      </c>
    </row>
    <row r="2066" spans="1:13" x14ac:dyDescent="0.25">
      <c r="A2066" s="45" t="s">
        <v>1089</v>
      </c>
      <c r="B2066" s="44" t="s">
        <v>5242</v>
      </c>
      <c r="C2066" s="47">
        <v>44250</v>
      </c>
      <c r="D2066" s="44">
        <v>202103</v>
      </c>
      <c r="E2066" s="44">
        <v>779</v>
      </c>
      <c r="F2066" s="44">
        <v>797</v>
      </c>
      <c r="G2066" s="44">
        <v>761</v>
      </c>
      <c r="H2066" s="44">
        <v>783</v>
      </c>
      <c r="I2066" s="44">
        <v>-2</v>
      </c>
      <c r="J2066" s="44">
        <v>-0.25</v>
      </c>
      <c r="K2066" s="44">
        <v>1067</v>
      </c>
      <c r="L2066" s="44">
        <v>783</v>
      </c>
      <c r="M2066" s="44">
        <v>576</v>
      </c>
    </row>
    <row r="2067" spans="1:13" x14ac:dyDescent="0.25">
      <c r="A2067" s="45" t="s">
        <v>3008</v>
      </c>
      <c r="B2067" s="44" t="s">
        <v>5243</v>
      </c>
      <c r="C2067" s="47">
        <v>44250</v>
      </c>
      <c r="D2067" s="44">
        <v>202103</v>
      </c>
      <c r="E2067" s="44">
        <v>779</v>
      </c>
      <c r="F2067" s="44">
        <v>797</v>
      </c>
      <c r="G2067" s="44">
        <v>761</v>
      </c>
      <c r="H2067" s="44">
        <v>783</v>
      </c>
      <c r="I2067" s="44">
        <v>-2</v>
      </c>
      <c r="J2067" s="44">
        <v>-0.25</v>
      </c>
      <c r="K2067" s="44">
        <v>1067</v>
      </c>
      <c r="L2067" s="44">
        <v>783</v>
      </c>
      <c r="M2067" s="44">
        <v>576</v>
      </c>
    </row>
    <row r="2068" spans="1:13" x14ac:dyDescent="0.25">
      <c r="A2068" s="45" t="s">
        <v>3009</v>
      </c>
      <c r="B2068" s="44" t="s">
        <v>5244</v>
      </c>
      <c r="C2068" s="47">
        <v>44250</v>
      </c>
      <c r="D2068" s="44">
        <v>202104</v>
      </c>
      <c r="E2068" s="44">
        <v>783</v>
      </c>
      <c r="F2068" s="44">
        <v>788</v>
      </c>
      <c r="G2068" s="44">
        <v>761</v>
      </c>
      <c r="H2068" s="44">
        <v>780</v>
      </c>
      <c r="I2068" s="44">
        <v>-5</v>
      </c>
      <c r="J2068" s="44">
        <v>-0.64</v>
      </c>
      <c r="K2068" s="44">
        <v>41</v>
      </c>
      <c r="L2068" s="44">
        <v>780</v>
      </c>
      <c r="M2068" s="44">
        <v>40</v>
      </c>
    </row>
    <row r="2069" spans="1:13" x14ac:dyDescent="0.25">
      <c r="A2069" s="45" t="s">
        <v>3010</v>
      </c>
      <c r="B2069" s="44" t="s">
        <v>5245</v>
      </c>
      <c r="C2069" s="47">
        <v>44250</v>
      </c>
      <c r="D2069" s="44">
        <v>202104</v>
      </c>
      <c r="E2069" s="44">
        <v>783</v>
      </c>
      <c r="F2069" s="44">
        <v>788</v>
      </c>
      <c r="G2069" s="44">
        <v>761</v>
      </c>
      <c r="H2069" s="44">
        <v>780</v>
      </c>
      <c r="I2069" s="44">
        <v>-5</v>
      </c>
      <c r="J2069" s="44">
        <v>-0.64</v>
      </c>
      <c r="K2069" s="44">
        <v>41</v>
      </c>
      <c r="L2069" s="44">
        <v>780</v>
      </c>
      <c r="M2069" s="44">
        <v>40</v>
      </c>
    </row>
    <row r="2070" spans="1:13" x14ac:dyDescent="0.25">
      <c r="A2070" s="45" t="s">
        <v>3011</v>
      </c>
      <c r="C2070" s="47"/>
    </row>
    <row r="2071" spans="1:13" x14ac:dyDescent="0.25">
      <c r="A2071" s="45" t="s">
        <v>3012</v>
      </c>
      <c r="C2071" s="47"/>
    </row>
    <row r="2072" spans="1:13" x14ac:dyDescent="0.25">
      <c r="A2072" s="45" t="s">
        <v>3013</v>
      </c>
      <c r="B2072" s="44" t="s">
        <v>5246</v>
      </c>
      <c r="C2072" s="47">
        <v>44250</v>
      </c>
      <c r="D2072" s="44">
        <v>202103</v>
      </c>
      <c r="E2072" s="44">
        <v>779</v>
      </c>
      <c r="F2072" s="44">
        <v>797</v>
      </c>
      <c r="G2072" s="44">
        <v>761</v>
      </c>
      <c r="H2072" s="44">
        <v>783</v>
      </c>
      <c r="I2072" s="44">
        <v>-2</v>
      </c>
      <c r="J2072" s="44">
        <v>-0.25</v>
      </c>
      <c r="K2072" s="44">
        <v>1067</v>
      </c>
      <c r="L2072" s="44">
        <v>783</v>
      </c>
      <c r="M2072" s="44">
        <v>576</v>
      </c>
    </row>
    <row r="2073" spans="1:13" x14ac:dyDescent="0.25">
      <c r="A2073" s="45" t="s">
        <v>3014</v>
      </c>
      <c r="B2073" s="44" t="s">
        <v>5247</v>
      </c>
      <c r="C2073" s="47">
        <v>44250</v>
      </c>
      <c r="D2073" s="44">
        <v>202106</v>
      </c>
      <c r="E2073" s="44">
        <v>782</v>
      </c>
      <c r="F2073" s="44">
        <v>782</v>
      </c>
      <c r="G2073" s="44">
        <v>782</v>
      </c>
      <c r="H2073" s="44">
        <v>782</v>
      </c>
      <c r="I2073" s="44">
        <v>-2</v>
      </c>
      <c r="J2073" s="44">
        <v>-0.26</v>
      </c>
      <c r="K2073" s="44">
        <v>0</v>
      </c>
      <c r="L2073" s="44">
        <v>782</v>
      </c>
      <c r="M2073" s="44">
        <v>0</v>
      </c>
    </row>
    <row r="2074" spans="1:13" x14ac:dyDescent="0.25">
      <c r="A2074" s="45" t="s">
        <v>3015</v>
      </c>
      <c r="B2074" s="44" t="s">
        <v>5248</v>
      </c>
      <c r="C2074" s="47">
        <v>44250</v>
      </c>
      <c r="D2074" s="44">
        <v>202109</v>
      </c>
      <c r="E2074" s="44">
        <v>781</v>
      </c>
      <c r="F2074" s="44">
        <v>781</v>
      </c>
      <c r="G2074" s="44">
        <v>781</v>
      </c>
      <c r="H2074" s="44">
        <v>781</v>
      </c>
      <c r="I2074" s="44">
        <v>-2</v>
      </c>
      <c r="J2074" s="44">
        <v>-0.26</v>
      </c>
      <c r="K2074" s="44">
        <v>0</v>
      </c>
      <c r="L2074" s="44">
        <v>781</v>
      </c>
      <c r="M2074" s="44">
        <v>0</v>
      </c>
    </row>
    <row r="2075" spans="1:13" x14ac:dyDescent="0.25">
      <c r="A2075" s="45" t="s">
        <v>3016</v>
      </c>
      <c r="B2075" s="44" t="s">
        <v>5249</v>
      </c>
      <c r="C2075" s="47">
        <v>44250</v>
      </c>
      <c r="D2075" s="44">
        <v>202112</v>
      </c>
      <c r="E2075" s="44">
        <v>780</v>
      </c>
      <c r="F2075" s="44">
        <v>780</v>
      </c>
      <c r="G2075" s="44">
        <v>780</v>
      </c>
      <c r="H2075" s="44">
        <v>780</v>
      </c>
      <c r="I2075" s="44">
        <v>-2</v>
      </c>
      <c r="J2075" s="44">
        <v>-0.26</v>
      </c>
      <c r="K2075" s="44">
        <v>0</v>
      </c>
      <c r="L2075" s="44">
        <v>780</v>
      </c>
      <c r="M2075" s="44">
        <v>0</v>
      </c>
    </row>
    <row r="2076" spans="1:13" x14ac:dyDescent="0.25">
      <c r="A2076" s="45" t="s">
        <v>1048</v>
      </c>
      <c r="B2076" s="44" t="s">
        <v>5250</v>
      </c>
      <c r="C2076" s="47">
        <v>44250</v>
      </c>
      <c r="D2076" s="44">
        <v>202103</v>
      </c>
      <c r="E2076" s="44">
        <v>66.8</v>
      </c>
      <c r="F2076" s="44">
        <v>66.8</v>
      </c>
      <c r="G2076" s="44">
        <v>66.8</v>
      </c>
      <c r="H2076" s="44">
        <v>66.8</v>
      </c>
      <c r="I2076" s="44">
        <v>6</v>
      </c>
      <c r="J2076" s="44">
        <v>9.8699999999999992</v>
      </c>
      <c r="K2076" s="44">
        <v>4</v>
      </c>
      <c r="L2076" s="44">
        <v>66.8</v>
      </c>
      <c r="M2076" s="44">
        <v>14</v>
      </c>
    </row>
    <row r="2077" spans="1:13" x14ac:dyDescent="0.25">
      <c r="A2077" s="45" t="s">
        <v>3017</v>
      </c>
      <c r="B2077" s="44" t="s">
        <v>5251</v>
      </c>
      <c r="C2077" s="47">
        <v>44250</v>
      </c>
      <c r="D2077" s="44">
        <v>202103</v>
      </c>
      <c r="E2077" s="44">
        <v>66.8</v>
      </c>
      <c r="F2077" s="44">
        <v>66.8</v>
      </c>
      <c r="G2077" s="44">
        <v>66.8</v>
      </c>
      <c r="H2077" s="44">
        <v>66.8</v>
      </c>
      <c r="I2077" s="44">
        <v>6</v>
      </c>
      <c r="J2077" s="44">
        <v>9.8699999999999992</v>
      </c>
      <c r="K2077" s="44">
        <v>4</v>
      </c>
      <c r="L2077" s="44">
        <v>66.8</v>
      </c>
      <c r="M2077" s="44">
        <v>14</v>
      </c>
    </row>
    <row r="2078" spans="1:13" x14ac:dyDescent="0.25">
      <c r="A2078" s="45" t="s">
        <v>3018</v>
      </c>
      <c r="B2078" s="44" t="s">
        <v>5252</v>
      </c>
      <c r="C2078" s="47">
        <v>44250</v>
      </c>
      <c r="D2078" s="44">
        <v>202104</v>
      </c>
      <c r="E2078" s="44">
        <v>66.599999999999994</v>
      </c>
      <c r="F2078" s="44">
        <v>66.599999999999994</v>
      </c>
      <c r="G2078" s="44">
        <v>66.599999999999994</v>
      </c>
      <c r="H2078" s="44">
        <v>66.599999999999994</v>
      </c>
      <c r="I2078" s="44">
        <v>6</v>
      </c>
      <c r="J2078" s="44">
        <v>9.9</v>
      </c>
      <c r="K2078" s="44">
        <v>0</v>
      </c>
      <c r="L2078" s="44">
        <v>66.599999999999994</v>
      </c>
      <c r="M2078" s="44">
        <v>0</v>
      </c>
    </row>
    <row r="2079" spans="1:13" x14ac:dyDescent="0.25">
      <c r="A2079" s="45" t="s">
        <v>3019</v>
      </c>
      <c r="B2079" s="44" t="s">
        <v>5253</v>
      </c>
      <c r="C2079" s="47">
        <v>44250</v>
      </c>
      <c r="D2079" s="44">
        <v>202104</v>
      </c>
      <c r="E2079" s="44">
        <v>66.599999999999994</v>
      </c>
      <c r="F2079" s="44">
        <v>66.599999999999994</v>
      </c>
      <c r="G2079" s="44">
        <v>66.599999999999994</v>
      </c>
      <c r="H2079" s="44">
        <v>66.599999999999994</v>
      </c>
      <c r="I2079" s="44">
        <v>6</v>
      </c>
      <c r="J2079" s="44">
        <v>9.9</v>
      </c>
      <c r="K2079" s="44">
        <v>0</v>
      </c>
      <c r="L2079" s="44">
        <v>66.599999999999994</v>
      </c>
      <c r="M2079" s="44">
        <v>0</v>
      </c>
    </row>
    <row r="2080" spans="1:13" x14ac:dyDescent="0.25">
      <c r="A2080" s="45" t="s">
        <v>3020</v>
      </c>
      <c r="C2080" s="47"/>
    </row>
    <row r="2081" spans="1:13" x14ac:dyDescent="0.25">
      <c r="A2081" s="45" t="s">
        <v>3021</v>
      </c>
      <c r="B2081" s="44" t="s">
        <v>5254</v>
      </c>
      <c r="C2081" s="47">
        <v>44250</v>
      </c>
      <c r="D2081" s="44">
        <v>202103</v>
      </c>
      <c r="E2081" s="44">
        <v>66.8</v>
      </c>
      <c r="F2081" s="44">
        <v>66.8</v>
      </c>
      <c r="G2081" s="44">
        <v>66.8</v>
      </c>
      <c r="H2081" s="44">
        <v>66.8</v>
      </c>
      <c r="I2081" s="44">
        <v>6</v>
      </c>
      <c r="J2081" s="44">
        <v>9.8699999999999992</v>
      </c>
      <c r="K2081" s="44">
        <v>4</v>
      </c>
      <c r="L2081" s="44">
        <v>66.8</v>
      </c>
      <c r="M2081" s="44">
        <v>14</v>
      </c>
    </row>
    <row r="2082" spans="1:13" x14ac:dyDescent="0.25">
      <c r="A2082" s="45" t="s">
        <v>3022</v>
      </c>
      <c r="B2082" s="44" t="s">
        <v>5255</v>
      </c>
      <c r="C2082" s="47">
        <v>44250</v>
      </c>
      <c r="D2082" s="44">
        <v>202106</v>
      </c>
      <c r="E2082" s="44">
        <v>66.7</v>
      </c>
      <c r="F2082" s="44">
        <v>66.7</v>
      </c>
      <c r="G2082" s="44">
        <v>66.7</v>
      </c>
      <c r="H2082" s="44">
        <v>66.7</v>
      </c>
      <c r="I2082" s="44">
        <v>6</v>
      </c>
      <c r="J2082" s="44">
        <v>9.8800000000000008</v>
      </c>
      <c r="K2082" s="44">
        <v>0</v>
      </c>
      <c r="L2082" s="44">
        <v>66.7</v>
      </c>
      <c r="M2082" s="44">
        <v>4</v>
      </c>
    </row>
    <row r="2083" spans="1:13" x14ac:dyDescent="0.25">
      <c r="A2083" s="45" t="s">
        <v>3023</v>
      </c>
      <c r="B2083" s="44" t="s">
        <v>5256</v>
      </c>
      <c r="C2083" s="47">
        <v>44250</v>
      </c>
      <c r="D2083" s="44">
        <v>202109</v>
      </c>
      <c r="E2083" s="44">
        <v>67.2</v>
      </c>
      <c r="F2083" s="44">
        <v>67.2</v>
      </c>
      <c r="G2083" s="44">
        <v>67.2</v>
      </c>
      <c r="H2083" s="44">
        <v>67.2</v>
      </c>
      <c r="I2083" s="44">
        <v>6</v>
      </c>
      <c r="J2083" s="44">
        <v>9.8000000000000007</v>
      </c>
      <c r="K2083" s="44">
        <v>0</v>
      </c>
      <c r="L2083" s="44">
        <v>67.2</v>
      </c>
      <c r="M2083" s="44">
        <v>1</v>
      </c>
    </row>
    <row r="2084" spans="1:13" x14ac:dyDescent="0.25">
      <c r="A2084" s="45" t="s">
        <v>3024</v>
      </c>
      <c r="B2084" s="44" t="s">
        <v>5257</v>
      </c>
      <c r="C2084" s="47">
        <v>44250</v>
      </c>
      <c r="D2084" s="44">
        <v>202112</v>
      </c>
      <c r="E2084" s="44">
        <v>67</v>
      </c>
      <c r="F2084" s="44">
        <v>67</v>
      </c>
      <c r="G2084" s="44">
        <v>67</v>
      </c>
      <c r="H2084" s="44">
        <v>67</v>
      </c>
      <c r="I2084" s="44">
        <v>6</v>
      </c>
      <c r="J2084" s="44">
        <v>9.84</v>
      </c>
      <c r="K2084" s="44">
        <v>0</v>
      </c>
      <c r="L2084" s="44">
        <v>67</v>
      </c>
      <c r="M2084" s="44">
        <v>0</v>
      </c>
    </row>
    <row r="2085" spans="1:13" x14ac:dyDescent="0.25">
      <c r="A2085" s="45" t="s">
        <v>1049</v>
      </c>
      <c r="B2085" s="44" t="s">
        <v>5258</v>
      </c>
      <c r="C2085" s="47">
        <v>44250</v>
      </c>
      <c r="D2085" s="44">
        <v>202103</v>
      </c>
      <c r="E2085" s="44">
        <v>195.5</v>
      </c>
      <c r="F2085" s="44">
        <v>195.5</v>
      </c>
      <c r="G2085" s="44">
        <v>194</v>
      </c>
      <c r="H2085" s="44">
        <v>194.5</v>
      </c>
      <c r="I2085" s="44">
        <v>-5</v>
      </c>
      <c r="J2085" s="44">
        <v>-2.5099999999999998</v>
      </c>
      <c r="K2085" s="44">
        <v>21</v>
      </c>
      <c r="L2085" s="44">
        <v>194.5</v>
      </c>
      <c r="M2085" s="44">
        <v>90</v>
      </c>
    </row>
    <row r="2086" spans="1:13" x14ac:dyDescent="0.25">
      <c r="A2086" s="45" t="s">
        <v>3025</v>
      </c>
      <c r="B2086" s="44" t="s">
        <v>5259</v>
      </c>
      <c r="C2086" s="47">
        <v>44250</v>
      </c>
      <c r="D2086" s="44">
        <v>202103</v>
      </c>
      <c r="E2086" s="44">
        <v>195.5</v>
      </c>
      <c r="F2086" s="44">
        <v>195.5</v>
      </c>
      <c r="G2086" s="44">
        <v>194</v>
      </c>
      <c r="H2086" s="44">
        <v>194.5</v>
      </c>
      <c r="I2086" s="44">
        <v>-5</v>
      </c>
      <c r="J2086" s="44">
        <v>-2.5099999999999998</v>
      </c>
      <c r="K2086" s="44">
        <v>21</v>
      </c>
      <c r="L2086" s="44">
        <v>194.5</v>
      </c>
      <c r="M2086" s="44">
        <v>90</v>
      </c>
    </row>
    <row r="2087" spans="1:13" x14ac:dyDescent="0.25">
      <c r="A2087" s="45" t="s">
        <v>3026</v>
      </c>
      <c r="B2087" s="44" t="s">
        <v>5260</v>
      </c>
      <c r="C2087" s="47">
        <v>44250</v>
      </c>
      <c r="D2087" s="44">
        <v>202104</v>
      </c>
      <c r="E2087" s="44">
        <v>194</v>
      </c>
      <c r="F2087" s="44">
        <v>194</v>
      </c>
      <c r="G2087" s="44">
        <v>194</v>
      </c>
      <c r="H2087" s="44">
        <v>194</v>
      </c>
      <c r="I2087" s="44">
        <v>-6</v>
      </c>
      <c r="J2087" s="44">
        <v>-3</v>
      </c>
      <c r="K2087" s="44">
        <v>1</v>
      </c>
      <c r="L2087" s="44">
        <v>194</v>
      </c>
      <c r="M2087" s="44">
        <v>3</v>
      </c>
    </row>
    <row r="2088" spans="1:13" x14ac:dyDescent="0.25">
      <c r="A2088" s="45" t="s">
        <v>3027</v>
      </c>
      <c r="B2088" s="44" t="s">
        <v>5261</v>
      </c>
      <c r="C2088" s="47">
        <v>44250</v>
      </c>
      <c r="D2088" s="44">
        <v>202104</v>
      </c>
      <c r="E2088" s="44">
        <v>194</v>
      </c>
      <c r="F2088" s="44">
        <v>194</v>
      </c>
      <c r="G2088" s="44">
        <v>194</v>
      </c>
      <c r="H2088" s="44">
        <v>194</v>
      </c>
      <c r="I2088" s="44">
        <v>-6</v>
      </c>
      <c r="J2088" s="44">
        <v>-3</v>
      </c>
      <c r="K2088" s="44">
        <v>1</v>
      </c>
      <c r="L2088" s="44">
        <v>194</v>
      </c>
      <c r="M2088" s="44">
        <v>3</v>
      </c>
    </row>
    <row r="2089" spans="1:13" x14ac:dyDescent="0.25">
      <c r="A2089" s="45" t="s">
        <v>3028</v>
      </c>
      <c r="C2089" s="47"/>
    </row>
    <row r="2090" spans="1:13" x14ac:dyDescent="0.25">
      <c r="A2090" s="45" t="s">
        <v>3029</v>
      </c>
      <c r="B2090" s="44" t="s">
        <v>5262</v>
      </c>
      <c r="C2090" s="47">
        <v>44250</v>
      </c>
      <c r="D2090" s="44">
        <v>202103</v>
      </c>
      <c r="E2090" s="44">
        <v>195.5</v>
      </c>
      <c r="F2090" s="44">
        <v>195.5</v>
      </c>
      <c r="G2090" s="44">
        <v>194</v>
      </c>
      <c r="H2090" s="44">
        <v>194.5</v>
      </c>
      <c r="I2090" s="44">
        <v>-5</v>
      </c>
      <c r="J2090" s="44">
        <v>-2.5099999999999998</v>
      </c>
      <c r="K2090" s="44">
        <v>21</v>
      </c>
      <c r="L2090" s="44">
        <v>194.5</v>
      </c>
      <c r="M2090" s="44">
        <v>90</v>
      </c>
    </row>
    <row r="2091" spans="1:13" x14ac:dyDescent="0.25">
      <c r="A2091" s="45" t="s">
        <v>3030</v>
      </c>
      <c r="B2091" s="44" t="s">
        <v>5263</v>
      </c>
      <c r="C2091" s="47">
        <v>44250</v>
      </c>
      <c r="D2091" s="44">
        <v>202106</v>
      </c>
      <c r="E2091" s="44">
        <v>194</v>
      </c>
      <c r="F2091" s="44">
        <v>194</v>
      </c>
      <c r="G2091" s="44">
        <v>194</v>
      </c>
      <c r="H2091" s="44">
        <v>194</v>
      </c>
      <c r="I2091" s="44">
        <v>-5</v>
      </c>
      <c r="J2091" s="44">
        <v>-2.5099999999999998</v>
      </c>
      <c r="K2091" s="44">
        <v>0</v>
      </c>
      <c r="L2091" s="44">
        <v>194</v>
      </c>
      <c r="M2091" s="44">
        <v>0</v>
      </c>
    </row>
    <row r="2092" spans="1:13" x14ac:dyDescent="0.25">
      <c r="A2092" s="45" t="s">
        <v>3031</v>
      </c>
      <c r="B2092" s="44" t="s">
        <v>5264</v>
      </c>
      <c r="C2092" s="47">
        <v>44250</v>
      </c>
      <c r="D2092" s="44">
        <v>202109</v>
      </c>
      <c r="E2092" s="44">
        <v>193</v>
      </c>
      <c r="F2092" s="44">
        <v>193</v>
      </c>
      <c r="G2092" s="44">
        <v>193</v>
      </c>
      <c r="H2092" s="44">
        <v>193</v>
      </c>
      <c r="I2092" s="44">
        <v>-5</v>
      </c>
      <c r="J2092" s="44">
        <v>-2.5299999999999998</v>
      </c>
      <c r="K2092" s="44">
        <v>0</v>
      </c>
      <c r="L2092" s="44">
        <v>193</v>
      </c>
      <c r="M2092" s="44">
        <v>0</v>
      </c>
    </row>
    <row r="2093" spans="1:13" x14ac:dyDescent="0.25">
      <c r="A2093" s="45" t="s">
        <v>3032</v>
      </c>
      <c r="B2093" s="44" t="s">
        <v>5265</v>
      </c>
      <c r="C2093" s="47">
        <v>44250</v>
      </c>
      <c r="D2093" s="44">
        <v>202112</v>
      </c>
      <c r="E2093" s="44">
        <v>193</v>
      </c>
      <c r="F2093" s="44">
        <v>193</v>
      </c>
      <c r="G2093" s="44">
        <v>193</v>
      </c>
      <c r="H2093" s="44">
        <v>193</v>
      </c>
      <c r="I2093" s="44">
        <v>-5</v>
      </c>
      <c r="J2093" s="44">
        <v>-2.5299999999999998</v>
      </c>
      <c r="K2093" s="44">
        <v>0</v>
      </c>
      <c r="L2093" s="44">
        <v>193</v>
      </c>
      <c r="M2093" s="44">
        <v>0</v>
      </c>
    </row>
    <row r="2094" spans="1:13" x14ac:dyDescent="0.25">
      <c r="A2094" s="45" t="s">
        <v>1061</v>
      </c>
      <c r="B2094" s="44" t="s">
        <v>5266</v>
      </c>
      <c r="C2094" s="47">
        <v>44250</v>
      </c>
      <c r="D2094" s="44">
        <v>202103</v>
      </c>
      <c r="E2094" s="44">
        <v>58.6</v>
      </c>
      <c r="F2094" s="44">
        <v>61.2</v>
      </c>
      <c r="G2094" s="44">
        <v>58.4</v>
      </c>
      <c r="H2094" s="44">
        <v>59.7</v>
      </c>
      <c r="I2094" s="44">
        <v>0.2</v>
      </c>
      <c r="J2094" s="44">
        <v>0.34</v>
      </c>
      <c r="K2094" s="44">
        <v>513</v>
      </c>
      <c r="L2094" s="44">
        <v>59.7</v>
      </c>
      <c r="M2094" s="44">
        <v>690</v>
      </c>
    </row>
    <row r="2095" spans="1:13" x14ac:dyDescent="0.25">
      <c r="A2095" s="45" t="s">
        <v>3033</v>
      </c>
      <c r="B2095" s="44" t="s">
        <v>5267</v>
      </c>
      <c r="C2095" s="47">
        <v>44250</v>
      </c>
      <c r="D2095" s="44">
        <v>202103</v>
      </c>
      <c r="E2095" s="44">
        <v>58.6</v>
      </c>
      <c r="F2095" s="44">
        <v>61.2</v>
      </c>
      <c r="G2095" s="44">
        <v>58.4</v>
      </c>
      <c r="H2095" s="44">
        <v>59.7</v>
      </c>
      <c r="I2095" s="44">
        <v>0.2</v>
      </c>
      <c r="J2095" s="44">
        <v>0.34</v>
      </c>
      <c r="K2095" s="44">
        <v>513</v>
      </c>
      <c r="L2095" s="44">
        <v>59.7</v>
      </c>
      <c r="M2095" s="44">
        <v>690</v>
      </c>
    </row>
    <row r="2096" spans="1:13" x14ac:dyDescent="0.25">
      <c r="A2096" s="45" t="s">
        <v>3034</v>
      </c>
      <c r="B2096" s="44" t="s">
        <v>5268</v>
      </c>
      <c r="C2096" s="47">
        <v>44250</v>
      </c>
      <c r="D2096" s="44">
        <v>202104</v>
      </c>
      <c r="E2096" s="44">
        <v>60.7</v>
      </c>
      <c r="F2096" s="44">
        <v>60.7</v>
      </c>
      <c r="G2096" s="44">
        <v>60.7</v>
      </c>
      <c r="H2096" s="44">
        <v>60.7</v>
      </c>
      <c r="I2096" s="44">
        <v>1.1000000000000001</v>
      </c>
      <c r="J2096" s="44">
        <v>1.85</v>
      </c>
      <c r="K2096" s="44">
        <v>1</v>
      </c>
      <c r="L2096" s="44">
        <v>59.6</v>
      </c>
      <c r="M2096" s="44">
        <v>18</v>
      </c>
    </row>
    <row r="2097" spans="1:13" x14ac:dyDescent="0.25">
      <c r="A2097" s="45" t="s">
        <v>3035</v>
      </c>
      <c r="B2097" s="44" t="s">
        <v>5269</v>
      </c>
      <c r="C2097" s="47">
        <v>44250</v>
      </c>
      <c r="D2097" s="44">
        <v>202104</v>
      </c>
      <c r="E2097" s="44">
        <v>60.7</v>
      </c>
      <c r="F2097" s="44">
        <v>60.7</v>
      </c>
      <c r="G2097" s="44">
        <v>60.7</v>
      </c>
      <c r="H2097" s="44">
        <v>60.7</v>
      </c>
      <c r="I2097" s="44">
        <v>1.1000000000000001</v>
      </c>
      <c r="J2097" s="44">
        <v>1.85</v>
      </c>
      <c r="K2097" s="44">
        <v>1</v>
      </c>
      <c r="L2097" s="44">
        <v>59.6</v>
      </c>
      <c r="M2097" s="44">
        <v>18</v>
      </c>
    </row>
    <row r="2098" spans="1:13" x14ac:dyDescent="0.25">
      <c r="A2098" s="45" t="s">
        <v>3036</v>
      </c>
      <c r="C2098" s="47"/>
    </row>
    <row r="2099" spans="1:13" x14ac:dyDescent="0.25">
      <c r="A2099" s="45" t="s">
        <v>3037</v>
      </c>
      <c r="C2099" s="47"/>
    </row>
    <row r="2100" spans="1:13" x14ac:dyDescent="0.25">
      <c r="A2100" s="45" t="s">
        <v>3038</v>
      </c>
      <c r="B2100" s="44" t="s">
        <v>5270</v>
      </c>
      <c r="C2100" s="47">
        <v>44250</v>
      </c>
      <c r="D2100" s="44">
        <v>202103</v>
      </c>
      <c r="E2100" s="44">
        <v>58.6</v>
      </c>
      <c r="F2100" s="44">
        <v>61.2</v>
      </c>
      <c r="G2100" s="44">
        <v>58.4</v>
      </c>
      <c r="H2100" s="44">
        <v>59.7</v>
      </c>
      <c r="I2100" s="44">
        <v>0.2</v>
      </c>
      <c r="J2100" s="44">
        <v>0.34</v>
      </c>
      <c r="K2100" s="44">
        <v>513</v>
      </c>
      <c r="L2100" s="44">
        <v>59.7</v>
      </c>
      <c r="M2100" s="44">
        <v>690</v>
      </c>
    </row>
    <row r="2101" spans="1:13" x14ac:dyDescent="0.25">
      <c r="A2101" s="45" t="s">
        <v>3039</v>
      </c>
      <c r="B2101" s="44" t="s">
        <v>5271</v>
      </c>
      <c r="C2101" s="47">
        <v>44250</v>
      </c>
      <c r="D2101" s="44">
        <v>202106</v>
      </c>
      <c r="E2101" s="44">
        <v>59.6</v>
      </c>
      <c r="F2101" s="44">
        <v>59.6</v>
      </c>
      <c r="G2101" s="44">
        <v>59.6</v>
      </c>
      <c r="H2101" s="44">
        <v>59.6</v>
      </c>
      <c r="I2101" s="44">
        <v>0.2</v>
      </c>
      <c r="J2101" s="44">
        <v>0.34</v>
      </c>
      <c r="K2101" s="44">
        <v>0</v>
      </c>
      <c r="L2101" s="44">
        <v>59.6</v>
      </c>
      <c r="M2101" s="44">
        <v>0</v>
      </c>
    </row>
    <row r="2102" spans="1:13" x14ac:dyDescent="0.25">
      <c r="A2102" s="45" t="s">
        <v>3040</v>
      </c>
      <c r="B2102" s="44" t="s">
        <v>5272</v>
      </c>
      <c r="C2102" s="47">
        <v>44250</v>
      </c>
      <c r="D2102" s="44">
        <v>202109</v>
      </c>
      <c r="E2102" s="44">
        <v>59.4</v>
      </c>
      <c r="F2102" s="44">
        <v>59.4</v>
      </c>
      <c r="G2102" s="44">
        <v>59.4</v>
      </c>
      <c r="H2102" s="44">
        <v>59.4</v>
      </c>
      <c r="I2102" s="44">
        <v>0.2</v>
      </c>
      <c r="J2102" s="44">
        <v>0.34</v>
      </c>
      <c r="K2102" s="44">
        <v>0</v>
      </c>
      <c r="L2102" s="44">
        <v>59.4</v>
      </c>
      <c r="M2102" s="44">
        <v>0</v>
      </c>
    </row>
    <row r="2103" spans="1:13" x14ac:dyDescent="0.25">
      <c r="A2103" s="45" t="s">
        <v>3041</v>
      </c>
      <c r="B2103" s="44" t="s">
        <v>5273</v>
      </c>
      <c r="C2103" s="47">
        <v>44250</v>
      </c>
      <c r="D2103" s="44">
        <v>202112</v>
      </c>
      <c r="E2103" s="44">
        <v>60</v>
      </c>
      <c r="F2103" s="44">
        <v>60</v>
      </c>
      <c r="G2103" s="44">
        <v>60</v>
      </c>
      <c r="H2103" s="44">
        <v>60</v>
      </c>
      <c r="I2103" s="44">
        <v>0.2</v>
      </c>
      <c r="J2103" s="44">
        <v>0.33</v>
      </c>
      <c r="K2103" s="44">
        <v>0</v>
      </c>
      <c r="L2103" s="44">
        <v>60</v>
      </c>
      <c r="M2103" s="44">
        <v>0</v>
      </c>
    </row>
    <row r="2104" spans="1:13" x14ac:dyDescent="0.25">
      <c r="A2104" s="45" t="s">
        <v>881</v>
      </c>
      <c r="B2104" s="44" t="s">
        <v>5274</v>
      </c>
      <c r="C2104" s="47">
        <v>44250</v>
      </c>
      <c r="D2104" s="44">
        <v>202103</v>
      </c>
      <c r="E2104" s="44">
        <v>31.38</v>
      </c>
      <c r="F2104" s="44">
        <v>31.79</v>
      </c>
      <c r="G2104" s="44">
        <v>31.38</v>
      </c>
      <c r="H2104" s="44">
        <v>31.79</v>
      </c>
      <c r="I2104" s="44">
        <v>0.33</v>
      </c>
      <c r="J2104" s="44">
        <v>1.05</v>
      </c>
      <c r="K2104" s="44">
        <v>18</v>
      </c>
      <c r="L2104" s="44">
        <v>31.79</v>
      </c>
      <c r="M2104" s="44">
        <v>71</v>
      </c>
    </row>
    <row r="2105" spans="1:13" x14ac:dyDescent="0.25">
      <c r="A2105" s="45" t="s">
        <v>3042</v>
      </c>
      <c r="B2105" s="44" t="s">
        <v>5275</v>
      </c>
      <c r="C2105" s="47">
        <v>44250</v>
      </c>
      <c r="D2105" s="44">
        <v>202103</v>
      </c>
      <c r="E2105" s="44">
        <v>31.38</v>
      </c>
      <c r="F2105" s="44">
        <v>31.79</v>
      </c>
      <c r="G2105" s="44">
        <v>31.38</v>
      </c>
      <c r="H2105" s="44">
        <v>31.79</v>
      </c>
      <c r="I2105" s="44">
        <v>0.33</v>
      </c>
      <c r="J2105" s="44">
        <v>1.05</v>
      </c>
      <c r="K2105" s="44">
        <v>18</v>
      </c>
      <c r="L2105" s="44">
        <v>31.79</v>
      </c>
      <c r="M2105" s="44">
        <v>71</v>
      </c>
    </row>
    <row r="2106" spans="1:13" x14ac:dyDescent="0.25">
      <c r="A2106" s="45" t="s">
        <v>3043</v>
      </c>
      <c r="B2106" s="44" t="s">
        <v>5276</v>
      </c>
      <c r="C2106" s="47">
        <v>44250</v>
      </c>
      <c r="D2106" s="44">
        <v>202104</v>
      </c>
      <c r="E2106" s="44">
        <v>31.76</v>
      </c>
      <c r="F2106" s="44">
        <v>31.76</v>
      </c>
      <c r="G2106" s="44">
        <v>31.76</v>
      </c>
      <c r="H2106" s="44">
        <v>31.76</v>
      </c>
      <c r="I2106" s="44">
        <v>0.33</v>
      </c>
      <c r="J2106" s="44">
        <v>1.05</v>
      </c>
      <c r="K2106" s="44">
        <v>0</v>
      </c>
      <c r="L2106" s="44">
        <v>31.76</v>
      </c>
      <c r="M2106" s="44">
        <v>20</v>
      </c>
    </row>
    <row r="2107" spans="1:13" x14ac:dyDescent="0.25">
      <c r="A2107" s="45" t="s">
        <v>3044</v>
      </c>
      <c r="B2107" s="44" t="s">
        <v>5277</v>
      </c>
      <c r="C2107" s="47">
        <v>44250</v>
      </c>
      <c r="D2107" s="44">
        <v>202104</v>
      </c>
      <c r="E2107" s="44">
        <v>31.76</v>
      </c>
      <c r="F2107" s="44">
        <v>31.76</v>
      </c>
      <c r="G2107" s="44">
        <v>31.76</v>
      </c>
      <c r="H2107" s="44">
        <v>31.76</v>
      </c>
      <c r="I2107" s="44">
        <v>0.33</v>
      </c>
      <c r="J2107" s="44">
        <v>1.05</v>
      </c>
      <c r="K2107" s="44">
        <v>0</v>
      </c>
      <c r="L2107" s="44">
        <v>31.76</v>
      </c>
      <c r="M2107" s="44">
        <v>20</v>
      </c>
    </row>
    <row r="2108" spans="1:13" x14ac:dyDescent="0.25">
      <c r="A2108" s="45" t="s">
        <v>3045</v>
      </c>
      <c r="C2108" s="47"/>
    </row>
    <row r="2109" spans="1:13" x14ac:dyDescent="0.25">
      <c r="A2109" s="45" t="s">
        <v>3046</v>
      </c>
      <c r="B2109" s="44" t="s">
        <v>5278</v>
      </c>
      <c r="C2109" s="47">
        <v>44250</v>
      </c>
      <c r="D2109" s="44">
        <v>202103</v>
      </c>
      <c r="E2109" s="44">
        <v>31.38</v>
      </c>
      <c r="F2109" s="44">
        <v>31.79</v>
      </c>
      <c r="G2109" s="44">
        <v>31.38</v>
      </c>
      <c r="H2109" s="44">
        <v>31.79</v>
      </c>
      <c r="I2109" s="44">
        <v>0.33</v>
      </c>
      <c r="J2109" s="44">
        <v>1.05</v>
      </c>
      <c r="K2109" s="44">
        <v>18</v>
      </c>
      <c r="L2109" s="44">
        <v>31.79</v>
      </c>
      <c r="M2109" s="44">
        <v>71</v>
      </c>
    </row>
    <row r="2110" spans="1:13" x14ac:dyDescent="0.25">
      <c r="A2110" s="45" t="s">
        <v>3047</v>
      </c>
      <c r="B2110" s="44" t="s">
        <v>5279</v>
      </c>
      <c r="C2110" s="47">
        <v>44250</v>
      </c>
      <c r="D2110" s="44">
        <v>202106</v>
      </c>
      <c r="E2110" s="44">
        <v>31.92</v>
      </c>
      <c r="F2110" s="44">
        <v>31.92</v>
      </c>
      <c r="G2110" s="44">
        <v>31.92</v>
      </c>
      <c r="H2110" s="44">
        <v>31.92</v>
      </c>
      <c r="I2110" s="44">
        <v>0.33</v>
      </c>
      <c r="J2110" s="44">
        <v>1.04</v>
      </c>
      <c r="K2110" s="44">
        <v>0</v>
      </c>
      <c r="L2110" s="44">
        <v>31.92</v>
      </c>
      <c r="M2110" s="44">
        <v>0</v>
      </c>
    </row>
    <row r="2111" spans="1:13" x14ac:dyDescent="0.25">
      <c r="A2111" s="45" t="s">
        <v>3048</v>
      </c>
      <c r="B2111" s="44" t="s">
        <v>5280</v>
      </c>
      <c r="C2111" s="47">
        <v>44250</v>
      </c>
      <c r="D2111" s="44">
        <v>202109</v>
      </c>
      <c r="E2111" s="44">
        <v>31.92</v>
      </c>
      <c r="F2111" s="44">
        <v>31.92</v>
      </c>
      <c r="G2111" s="44">
        <v>31.92</v>
      </c>
      <c r="H2111" s="44">
        <v>31.92</v>
      </c>
      <c r="I2111" s="44">
        <v>0.33</v>
      </c>
      <c r="J2111" s="44">
        <v>1.04</v>
      </c>
      <c r="K2111" s="44">
        <v>0</v>
      </c>
      <c r="L2111" s="44">
        <v>31.92</v>
      </c>
      <c r="M2111" s="44">
        <v>0</v>
      </c>
    </row>
    <row r="2112" spans="1:13" x14ac:dyDescent="0.25">
      <c r="A2112" s="45" t="s">
        <v>3049</v>
      </c>
      <c r="B2112" s="44" t="s">
        <v>5281</v>
      </c>
      <c r="C2112" s="47">
        <v>44250</v>
      </c>
      <c r="D2112" s="44">
        <v>202112</v>
      </c>
      <c r="E2112" s="44">
        <v>31.65</v>
      </c>
      <c r="F2112" s="44">
        <v>31.65</v>
      </c>
      <c r="G2112" s="44">
        <v>31.65</v>
      </c>
      <c r="H2112" s="44">
        <v>31.65</v>
      </c>
      <c r="I2112" s="44">
        <v>0.33</v>
      </c>
      <c r="J2112" s="44">
        <v>1.05</v>
      </c>
      <c r="K2112" s="44">
        <v>0</v>
      </c>
      <c r="L2112" s="44">
        <v>31.65</v>
      </c>
      <c r="M2112" s="44">
        <v>0</v>
      </c>
    </row>
    <row r="2113" spans="1:13" x14ac:dyDescent="0.25">
      <c r="A2113" s="45" t="s">
        <v>981</v>
      </c>
      <c r="B2113" s="44" t="s">
        <v>5282</v>
      </c>
      <c r="C2113" s="47">
        <v>44250</v>
      </c>
      <c r="D2113" s="44">
        <v>202103</v>
      </c>
      <c r="E2113" s="44">
        <v>30.55</v>
      </c>
      <c r="F2113" s="44">
        <v>30.85</v>
      </c>
      <c r="G2113" s="44">
        <v>30.55</v>
      </c>
      <c r="H2113" s="44">
        <v>30.85</v>
      </c>
      <c r="I2113" s="44">
        <v>0.65</v>
      </c>
      <c r="J2113" s="44">
        <v>2.15</v>
      </c>
      <c r="K2113" s="44">
        <v>16</v>
      </c>
      <c r="L2113" s="44">
        <v>30.85</v>
      </c>
      <c r="M2113" s="44">
        <v>222</v>
      </c>
    </row>
    <row r="2114" spans="1:13" x14ac:dyDescent="0.25">
      <c r="A2114" s="45" t="s">
        <v>3050</v>
      </c>
      <c r="B2114" s="44" t="s">
        <v>5283</v>
      </c>
      <c r="C2114" s="47">
        <v>44250</v>
      </c>
      <c r="D2114" s="44">
        <v>202103</v>
      </c>
      <c r="E2114" s="44">
        <v>30.55</v>
      </c>
      <c r="F2114" s="44">
        <v>30.85</v>
      </c>
      <c r="G2114" s="44">
        <v>30.55</v>
      </c>
      <c r="H2114" s="44">
        <v>30.85</v>
      </c>
      <c r="I2114" s="44">
        <v>0.65</v>
      </c>
      <c r="J2114" s="44">
        <v>2.15</v>
      </c>
      <c r="K2114" s="44">
        <v>16</v>
      </c>
      <c r="L2114" s="44">
        <v>30.85</v>
      </c>
      <c r="M2114" s="44">
        <v>222</v>
      </c>
    </row>
    <row r="2115" spans="1:13" x14ac:dyDescent="0.25">
      <c r="A2115" s="45" t="s">
        <v>3051</v>
      </c>
      <c r="B2115" s="44" t="s">
        <v>5284</v>
      </c>
      <c r="C2115" s="47">
        <v>44250</v>
      </c>
      <c r="D2115" s="44">
        <v>202104</v>
      </c>
      <c r="E2115" s="44">
        <v>30.7</v>
      </c>
      <c r="F2115" s="44">
        <v>30.85</v>
      </c>
      <c r="G2115" s="44">
        <v>30.7</v>
      </c>
      <c r="H2115" s="44">
        <v>30.85</v>
      </c>
      <c r="I2115" s="44">
        <v>0.5</v>
      </c>
      <c r="J2115" s="44">
        <v>1.65</v>
      </c>
      <c r="K2115" s="44">
        <v>14</v>
      </c>
      <c r="L2115" s="44">
        <v>30.85</v>
      </c>
      <c r="M2115" s="44">
        <v>28</v>
      </c>
    </row>
    <row r="2116" spans="1:13" x14ac:dyDescent="0.25">
      <c r="A2116" s="45" t="s">
        <v>3052</v>
      </c>
      <c r="B2116" s="44" t="s">
        <v>5285</v>
      </c>
      <c r="C2116" s="47">
        <v>44250</v>
      </c>
      <c r="D2116" s="44">
        <v>202104</v>
      </c>
      <c r="E2116" s="44">
        <v>30.7</v>
      </c>
      <c r="F2116" s="44">
        <v>30.85</v>
      </c>
      <c r="G2116" s="44">
        <v>30.7</v>
      </c>
      <c r="H2116" s="44">
        <v>30.85</v>
      </c>
      <c r="I2116" s="44">
        <v>0.5</v>
      </c>
      <c r="J2116" s="44">
        <v>1.65</v>
      </c>
      <c r="K2116" s="44">
        <v>14</v>
      </c>
      <c r="L2116" s="44">
        <v>30.85</v>
      </c>
      <c r="M2116" s="44">
        <v>28</v>
      </c>
    </row>
    <row r="2117" spans="1:13" x14ac:dyDescent="0.25">
      <c r="A2117" s="45" t="s">
        <v>3053</v>
      </c>
      <c r="C2117" s="47"/>
    </row>
    <row r="2118" spans="1:13" x14ac:dyDescent="0.25">
      <c r="A2118" s="45" t="s">
        <v>3054</v>
      </c>
      <c r="C2118" s="47"/>
    </row>
    <row r="2119" spans="1:13" x14ac:dyDescent="0.25">
      <c r="A2119" s="45" t="s">
        <v>3055</v>
      </c>
      <c r="C2119" s="47"/>
    </row>
    <row r="2120" spans="1:13" x14ac:dyDescent="0.25">
      <c r="A2120" s="45" t="s">
        <v>3056</v>
      </c>
      <c r="B2120" s="44" t="s">
        <v>5286</v>
      </c>
      <c r="C2120" s="47">
        <v>44250</v>
      </c>
      <c r="D2120" s="44">
        <v>202103</v>
      </c>
      <c r="E2120" s="44">
        <v>30.55</v>
      </c>
      <c r="F2120" s="44">
        <v>30.85</v>
      </c>
      <c r="G2120" s="44">
        <v>30.55</v>
      </c>
      <c r="H2120" s="44">
        <v>30.85</v>
      </c>
      <c r="I2120" s="44">
        <v>0.65</v>
      </c>
      <c r="J2120" s="44">
        <v>2.15</v>
      </c>
      <c r="K2120" s="44">
        <v>16</v>
      </c>
      <c r="L2120" s="44">
        <v>30.85</v>
      </c>
      <c r="M2120" s="44">
        <v>222</v>
      </c>
    </row>
    <row r="2121" spans="1:13" x14ac:dyDescent="0.25">
      <c r="A2121" s="45" t="s">
        <v>3057</v>
      </c>
      <c r="C2121" s="47"/>
    </row>
    <row r="2122" spans="1:13" x14ac:dyDescent="0.25">
      <c r="A2122" s="45" t="s">
        <v>3058</v>
      </c>
      <c r="B2122" s="44" t="s">
        <v>5287</v>
      </c>
      <c r="C2122" s="47">
        <v>44250</v>
      </c>
      <c r="D2122" s="44">
        <v>202106</v>
      </c>
      <c r="E2122" s="44">
        <v>30.6</v>
      </c>
      <c r="F2122" s="44">
        <v>30.6</v>
      </c>
      <c r="G2122" s="44">
        <v>30.6</v>
      </c>
      <c r="H2122" s="44">
        <v>30.6</v>
      </c>
      <c r="I2122" s="44">
        <v>0.35</v>
      </c>
      <c r="J2122" s="44">
        <v>1.1599999999999999</v>
      </c>
      <c r="K2122" s="44">
        <v>1</v>
      </c>
      <c r="L2122" s="44">
        <v>30.6</v>
      </c>
      <c r="M2122" s="44">
        <v>3</v>
      </c>
    </row>
    <row r="2123" spans="1:13" x14ac:dyDescent="0.25">
      <c r="A2123" s="45" t="s">
        <v>3059</v>
      </c>
      <c r="B2123" s="44" t="s">
        <v>5288</v>
      </c>
      <c r="C2123" s="47">
        <v>44250</v>
      </c>
      <c r="D2123" s="44">
        <v>202109</v>
      </c>
      <c r="E2123" s="44">
        <v>30.95</v>
      </c>
      <c r="F2123" s="44">
        <v>30.95</v>
      </c>
      <c r="G2123" s="44">
        <v>30.95</v>
      </c>
      <c r="H2123" s="44">
        <v>30.95</v>
      </c>
      <c r="I2123" s="44">
        <v>0.65</v>
      </c>
      <c r="J2123" s="44">
        <v>2.15</v>
      </c>
      <c r="K2123" s="44">
        <v>0</v>
      </c>
      <c r="L2123" s="44">
        <v>30.95</v>
      </c>
      <c r="M2123" s="44">
        <v>1</v>
      </c>
    </row>
    <row r="2124" spans="1:13" x14ac:dyDescent="0.25">
      <c r="A2124" s="45" t="s">
        <v>3060</v>
      </c>
      <c r="B2124" s="44" t="s">
        <v>5289</v>
      </c>
      <c r="C2124" s="47">
        <v>44250</v>
      </c>
      <c r="D2124" s="44">
        <v>202112</v>
      </c>
      <c r="E2124" s="44">
        <v>31</v>
      </c>
      <c r="F2124" s="44">
        <v>31</v>
      </c>
      <c r="G2124" s="44">
        <v>31</v>
      </c>
      <c r="H2124" s="44">
        <v>31</v>
      </c>
      <c r="I2124" s="44">
        <v>0.65</v>
      </c>
      <c r="J2124" s="44">
        <v>2.14</v>
      </c>
      <c r="K2124" s="44">
        <v>0</v>
      </c>
      <c r="L2124" s="44">
        <v>31</v>
      </c>
      <c r="M2124" s="44">
        <v>0</v>
      </c>
    </row>
    <row r="2125" spans="1:13" x14ac:dyDescent="0.25">
      <c r="A2125" s="45" t="s">
        <v>1054</v>
      </c>
      <c r="B2125" s="44" t="s">
        <v>5290</v>
      </c>
      <c r="C2125" s="47">
        <v>44250</v>
      </c>
      <c r="D2125" s="44">
        <v>202103</v>
      </c>
      <c r="E2125" s="44">
        <v>1705</v>
      </c>
      <c r="F2125" s="44">
        <v>1705</v>
      </c>
      <c r="G2125" s="44">
        <v>1705</v>
      </c>
      <c r="H2125" s="44">
        <v>1705</v>
      </c>
      <c r="I2125" s="44">
        <v>-45</v>
      </c>
      <c r="J2125" s="44">
        <v>-2.57</v>
      </c>
      <c r="K2125" s="44">
        <v>0</v>
      </c>
      <c r="L2125" s="44">
        <v>1705</v>
      </c>
      <c r="M2125" s="44">
        <v>0</v>
      </c>
    </row>
    <row r="2126" spans="1:13" x14ac:dyDescent="0.25">
      <c r="A2126" s="45" t="s">
        <v>3061</v>
      </c>
      <c r="B2126" s="44" t="s">
        <v>5291</v>
      </c>
      <c r="C2126" s="47">
        <v>44250</v>
      </c>
      <c r="D2126" s="44">
        <v>202103</v>
      </c>
      <c r="E2126" s="44">
        <v>1705</v>
      </c>
      <c r="F2126" s="44">
        <v>1705</v>
      </c>
      <c r="G2126" s="44">
        <v>1705</v>
      </c>
      <c r="H2126" s="44">
        <v>1705</v>
      </c>
      <c r="I2126" s="44">
        <v>-45</v>
      </c>
      <c r="J2126" s="44">
        <v>-2.57</v>
      </c>
      <c r="K2126" s="44">
        <v>0</v>
      </c>
      <c r="L2126" s="44">
        <v>1705</v>
      </c>
      <c r="M2126" s="44">
        <v>0</v>
      </c>
    </row>
    <row r="2127" spans="1:13" x14ac:dyDescent="0.25">
      <c r="A2127" s="45" t="s">
        <v>3062</v>
      </c>
      <c r="B2127" s="44" t="s">
        <v>5292</v>
      </c>
      <c r="C2127" s="47">
        <v>44250</v>
      </c>
      <c r="D2127" s="44">
        <v>202104</v>
      </c>
      <c r="E2127" s="44">
        <v>1710</v>
      </c>
      <c r="F2127" s="44">
        <v>1710</v>
      </c>
      <c r="G2127" s="44">
        <v>1710</v>
      </c>
      <c r="H2127" s="44">
        <v>1710</v>
      </c>
      <c r="I2127" s="44">
        <v>-45</v>
      </c>
      <c r="J2127" s="44">
        <v>-2.56</v>
      </c>
      <c r="K2127" s="44">
        <v>0</v>
      </c>
      <c r="L2127" s="44">
        <v>1710</v>
      </c>
      <c r="M2127" s="44">
        <v>0</v>
      </c>
    </row>
    <row r="2128" spans="1:13" x14ac:dyDescent="0.25">
      <c r="A2128" s="45" t="s">
        <v>3063</v>
      </c>
      <c r="B2128" s="44" t="s">
        <v>5293</v>
      </c>
      <c r="C2128" s="47">
        <v>44250</v>
      </c>
      <c r="D2128" s="44">
        <v>202104</v>
      </c>
      <c r="E2128" s="44">
        <v>1710</v>
      </c>
      <c r="F2128" s="44">
        <v>1710</v>
      </c>
      <c r="G2128" s="44">
        <v>1710</v>
      </c>
      <c r="H2128" s="44">
        <v>1710</v>
      </c>
      <c r="I2128" s="44">
        <v>-45</v>
      </c>
      <c r="J2128" s="44">
        <v>-2.56</v>
      </c>
      <c r="K2128" s="44">
        <v>0</v>
      </c>
      <c r="L2128" s="44">
        <v>1710</v>
      </c>
      <c r="M2128" s="44">
        <v>0</v>
      </c>
    </row>
    <row r="2129" spans="1:13" x14ac:dyDescent="0.25">
      <c r="A2129" s="45" t="s">
        <v>3064</v>
      </c>
      <c r="C2129" s="47"/>
    </row>
    <row r="2130" spans="1:13" x14ac:dyDescent="0.25">
      <c r="A2130" s="45" t="s">
        <v>3065</v>
      </c>
      <c r="B2130" s="44" t="s">
        <v>5294</v>
      </c>
      <c r="C2130" s="47">
        <v>44250</v>
      </c>
      <c r="D2130" s="44">
        <v>202103</v>
      </c>
      <c r="E2130" s="44">
        <v>1705</v>
      </c>
      <c r="F2130" s="44">
        <v>1705</v>
      </c>
      <c r="G2130" s="44">
        <v>1705</v>
      </c>
      <c r="H2130" s="44">
        <v>1705</v>
      </c>
      <c r="I2130" s="44">
        <v>-45</v>
      </c>
      <c r="J2130" s="44">
        <v>-2.57</v>
      </c>
      <c r="K2130" s="44">
        <v>0</v>
      </c>
      <c r="L2130" s="44">
        <v>1705</v>
      </c>
      <c r="M2130" s="44">
        <v>0</v>
      </c>
    </row>
    <row r="2131" spans="1:13" x14ac:dyDescent="0.25">
      <c r="A2131" s="45" t="s">
        <v>3066</v>
      </c>
      <c r="B2131" s="44" t="s">
        <v>5295</v>
      </c>
      <c r="C2131" s="47">
        <v>44250</v>
      </c>
      <c r="D2131" s="44">
        <v>202106</v>
      </c>
      <c r="E2131" s="44">
        <v>1745</v>
      </c>
      <c r="F2131" s="44">
        <v>1745</v>
      </c>
      <c r="G2131" s="44">
        <v>1745</v>
      </c>
      <c r="H2131" s="44">
        <v>1745</v>
      </c>
      <c r="I2131" s="44">
        <v>-45</v>
      </c>
      <c r="J2131" s="44">
        <v>-2.5099999999999998</v>
      </c>
      <c r="K2131" s="44">
        <v>0</v>
      </c>
      <c r="L2131" s="44">
        <v>1745</v>
      </c>
      <c r="M2131" s="44">
        <v>0</v>
      </c>
    </row>
    <row r="2132" spans="1:13" x14ac:dyDescent="0.25">
      <c r="A2132" s="45" t="s">
        <v>3067</v>
      </c>
      <c r="B2132" s="44" t="s">
        <v>5296</v>
      </c>
      <c r="C2132" s="47">
        <v>44250</v>
      </c>
      <c r="D2132" s="44">
        <v>202109</v>
      </c>
      <c r="E2132" s="44">
        <v>1745</v>
      </c>
      <c r="F2132" s="44">
        <v>1745</v>
      </c>
      <c r="G2132" s="44">
        <v>1745</v>
      </c>
      <c r="H2132" s="44">
        <v>1745</v>
      </c>
      <c r="I2132" s="44">
        <v>-45</v>
      </c>
      <c r="J2132" s="44">
        <v>-2.5099999999999998</v>
      </c>
      <c r="K2132" s="44">
        <v>0</v>
      </c>
      <c r="L2132" s="44">
        <v>1745</v>
      </c>
      <c r="M2132" s="44">
        <v>0</v>
      </c>
    </row>
    <row r="2133" spans="1:13" x14ac:dyDescent="0.25">
      <c r="A2133" s="45" t="s">
        <v>3068</v>
      </c>
      <c r="B2133" s="44" t="s">
        <v>5297</v>
      </c>
      <c r="C2133" s="47">
        <v>44250</v>
      </c>
      <c r="D2133" s="44">
        <v>202112</v>
      </c>
      <c r="E2133" s="44">
        <v>1745</v>
      </c>
      <c r="F2133" s="44">
        <v>1745</v>
      </c>
      <c r="G2133" s="44">
        <v>1745</v>
      </c>
      <c r="H2133" s="44">
        <v>1745</v>
      </c>
      <c r="I2133" s="44">
        <v>-45</v>
      </c>
      <c r="J2133" s="44">
        <v>-2.5099999999999998</v>
      </c>
      <c r="K2133" s="44">
        <v>0</v>
      </c>
      <c r="L2133" s="44">
        <v>1745</v>
      </c>
      <c r="M2133" s="44">
        <v>0</v>
      </c>
    </row>
    <row r="2134" spans="1:13" x14ac:dyDescent="0.25">
      <c r="A2134" s="45" t="s">
        <v>1032</v>
      </c>
      <c r="B2134" s="44" t="s">
        <v>5298</v>
      </c>
      <c r="C2134" s="47">
        <v>44250</v>
      </c>
      <c r="D2134" s="44">
        <v>202103</v>
      </c>
      <c r="E2134" s="44">
        <v>847</v>
      </c>
      <c r="F2134" s="44">
        <v>847</v>
      </c>
      <c r="G2134" s="44">
        <v>847</v>
      </c>
      <c r="H2134" s="44">
        <v>847</v>
      </c>
      <c r="I2134" s="44">
        <v>-22</v>
      </c>
      <c r="J2134" s="44">
        <v>-2.5299999999999998</v>
      </c>
      <c r="K2134" s="44">
        <v>1</v>
      </c>
      <c r="L2134" s="44">
        <v>847</v>
      </c>
      <c r="M2134" s="44">
        <v>25</v>
      </c>
    </row>
    <row r="2135" spans="1:13" x14ac:dyDescent="0.25">
      <c r="A2135" s="45" t="s">
        <v>3069</v>
      </c>
      <c r="B2135" s="44" t="s">
        <v>5299</v>
      </c>
      <c r="C2135" s="47">
        <v>44250</v>
      </c>
      <c r="D2135" s="44">
        <v>202103</v>
      </c>
      <c r="E2135" s="44">
        <v>847</v>
      </c>
      <c r="F2135" s="44">
        <v>847</v>
      </c>
      <c r="G2135" s="44">
        <v>847</v>
      </c>
      <c r="H2135" s="44">
        <v>847</v>
      </c>
      <c r="I2135" s="44">
        <v>-22</v>
      </c>
      <c r="J2135" s="44">
        <v>-2.5299999999999998</v>
      </c>
      <c r="K2135" s="44">
        <v>1</v>
      </c>
      <c r="L2135" s="44">
        <v>847</v>
      </c>
      <c r="M2135" s="44">
        <v>25</v>
      </c>
    </row>
    <row r="2136" spans="1:13" x14ac:dyDescent="0.25">
      <c r="A2136" s="45" t="s">
        <v>3070</v>
      </c>
      <c r="B2136" s="44" t="s">
        <v>5300</v>
      </c>
      <c r="C2136" s="47">
        <v>44250</v>
      </c>
      <c r="D2136" s="44">
        <v>202104</v>
      </c>
      <c r="E2136" s="44">
        <v>847</v>
      </c>
      <c r="F2136" s="44">
        <v>847</v>
      </c>
      <c r="G2136" s="44">
        <v>847</v>
      </c>
      <c r="H2136" s="44">
        <v>847</v>
      </c>
      <c r="I2136" s="44">
        <v>-22</v>
      </c>
      <c r="J2136" s="44">
        <v>-2.5299999999999998</v>
      </c>
      <c r="K2136" s="44">
        <v>0</v>
      </c>
      <c r="L2136" s="44">
        <v>847</v>
      </c>
      <c r="M2136" s="44">
        <v>5</v>
      </c>
    </row>
    <row r="2137" spans="1:13" x14ac:dyDescent="0.25">
      <c r="A2137" s="45" t="s">
        <v>3071</v>
      </c>
      <c r="B2137" s="44" t="s">
        <v>5301</v>
      </c>
      <c r="C2137" s="47">
        <v>44250</v>
      </c>
      <c r="D2137" s="44">
        <v>202104</v>
      </c>
      <c r="E2137" s="44">
        <v>847</v>
      </c>
      <c r="F2137" s="44">
        <v>847</v>
      </c>
      <c r="G2137" s="44">
        <v>847</v>
      </c>
      <c r="H2137" s="44">
        <v>847</v>
      </c>
      <c r="I2137" s="44">
        <v>-22</v>
      </c>
      <c r="J2137" s="44">
        <v>-2.5299999999999998</v>
      </c>
      <c r="K2137" s="44">
        <v>0</v>
      </c>
      <c r="L2137" s="44">
        <v>847</v>
      </c>
      <c r="M2137" s="44">
        <v>5</v>
      </c>
    </row>
    <row r="2138" spans="1:13" x14ac:dyDescent="0.25">
      <c r="A2138" s="45" t="s">
        <v>3072</v>
      </c>
      <c r="C2138" s="47"/>
    </row>
    <row r="2139" spans="1:13" x14ac:dyDescent="0.25">
      <c r="A2139" s="45" t="s">
        <v>3073</v>
      </c>
      <c r="B2139" s="44" t="s">
        <v>5302</v>
      </c>
      <c r="C2139" s="47">
        <v>44250</v>
      </c>
      <c r="D2139" s="44">
        <v>202103</v>
      </c>
      <c r="E2139" s="44">
        <v>847</v>
      </c>
      <c r="F2139" s="44">
        <v>847</v>
      </c>
      <c r="G2139" s="44">
        <v>847</v>
      </c>
      <c r="H2139" s="44">
        <v>847</v>
      </c>
      <c r="I2139" s="44">
        <v>-22</v>
      </c>
      <c r="J2139" s="44">
        <v>-2.5299999999999998</v>
      </c>
      <c r="K2139" s="44">
        <v>1</v>
      </c>
      <c r="L2139" s="44">
        <v>847</v>
      </c>
      <c r="M2139" s="44">
        <v>25</v>
      </c>
    </row>
    <row r="2140" spans="1:13" x14ac:dyDescent="0.25">
      <c r="A2140" s="45" t="s">
        <v>3074</v>
      </c>
      <c r="B2140" s="44" t="s">
        <v>5303</v>
      </c>
      <c r="C2140" s="47">
        <v>44250</v>
      </c>
      <c r="D2140" s="44">
        <v>202106</v>
      </c>
      <c r="E2140" s="44">
        <v>840</v>
      </c>
      <c r="F2140" s="44">
        <v>840</v>
      </c>
      <c r="G2140" s="44">
        <v>840</v>
      </c>
      <c r="H2140" s="44">
        <v>840</v>
      </c>
      <c r="I2140" s="44">
        <v>-22</v>
      </c>
      <c r="J2140" s="44">
        <v>-2.5499999999999998</v>
      </c>
      <c r="K2140" s="44">
        <v>0</v>
      </c>
      <c r="L2140" s="44">
        <v>840</v>
      </c>
      <c r="M2140" s="44">
        <v>0</v>
      </c>
    </row>
    <row r="2141" spans="1:13" x14ac:dyDescent="0.25">
      <c r="A2141" s="45" t="s">
        <v>3075</v>
      </c>
      <c r="B2141" s="44" t="s">
        <v>5304</v>
      </c>
      <c r="C2141" s="47">
        <v>44250</v>
      </c>
      <c r="D2141" s="44">
        <v>202109</v>
      </c>
      <c r="E2141" s="44">
        <v>844</v>
      </c>
      <c r="F2141" s="44">
        <v>844</v>
      </c>
      <c r="G2141" s="44">
        <v>844</v>
      </c>
      <c r="H2141" s="44">
        <v>844</v>
      </c>
      <c r="I2141" s="44">
        <v>-22</v>
      </c>
      <c r="J2141" s="44">
        <v>-2.54</v>
      </c>
      <c r="K2141" s="44">
        <v>0</v>
      </c>
      <c r="L2141" s="44">
        <v>844</v>
      </c>
      <c r="M2141" s="44">
        <v>0</v>
      </c>
    </row>
    <row r="2142" spans="1:13" x14ac:dyDescent="0.25">
      <c r="A2142" s="45" t="s">
        <v>3076</v>
      </c>
      <c r="B2142" s="44" t="s">
        <v>5305</v>
      </c>
      <c r="C2142" s="47">
        <v>44250</v>
      </c>
      <c r="D2142" s="44">
        <v>202112</v>
      </c>
      <c r="E2142" s="44">
        <v>848</v>
      </c>
      <c r="F2142" s="44">
        <v>848</v>
      </c>
      <c r="G2142" s="44">
        <v>848</v>
      </c>
      <c r="H2142" s="44">
        <v>848</v>
      </c>
      <c r="I2142" s="44">
        <v>-22</v>
      </c>
      <c r="J2142" s="44">
        <v>-2.5299999999999998</v>
      </c>
      <c r="K2142" s="44">
        <v>0</v>
      </c>
      <c r="L2142" s="44">
        <v>848</v>
      </c>
      <c r="M2142" s="44">
        <v>0</v>
      </c>
    </row>
    <row r="2143" spans="1:13" x14ac:dyDescent="0.25">
      <c r="A2143" s="45" t="s">
        <v>954</v>
      </c>
      <c r="B2143" s="44" t="s">
        <v>5306</v>
      </c>
      <c r="C2143" s="47">
        <v>44250</v>
      </c>
      <c r="D2143" s="44">
        <v>202103</v>
      </c>
      <c r="E2143" s="44">
        <v>168</v>
      </c>
      <c r="F2143" s="44">
        <v>169.5</v>
      </c>
      <c r="G2143" s="44">
        <v>166.5</v>
      </c>
      <c r="H2143" s="44">
        <v>169.5</v>
      </c>
      <c r="I2143" s="44">
        <v>0.5</v>
      </c>
      <c r="J2143" s="44">
        <v>0.3</v>
      </c>
      <c r="K2143" s="44">
        <v>241</v>
      </c>
      <c r="L2143" s="44">
        <v>169.5</v>
      </c>
      <c r="M2143" s="44">
        <v>871</v>
      </c>
    </row>
    <row r="2144" spans="1:13" x14ac:dyDescent="0.25">
      <c r="A2144" s="45" t="s">
        <v>3077</v>
      </c>
      <c r="B2144" s="44" t="s">
        <v>5307</v>
      </c>
      <c r="C2144" s="47">
        <v>44250</v>
      </c>
      <c r="D2144" s="44">
        <v>202103</v>
      </c>
      <c r="E2144" s="44">
        <v>168</v>
      </c>
      <c r="F2144" s="44">
        <v>169.5</v>
      </c>
      <c r="G2144" s="44">
        <v>166.5</v>
      </c>
      <c r="H2144" s="44">
        <v>169.5</v>
      </c>
      <c r="I2144" s="44">
        <v>0.5</v>
      </c>
      <c r="J2144" s="44">
        <v>0.3</v>
      </c>
      <c r="K2144" s="44">
        <v>241</v>
      </c>
      <c r="L2144" s="44">
        <v>169.5</v>
      </c>
      <c r="M2144" s="44">
        <v>871</v>
      </c>
    </row>
    <row r="2145" spans="1:13" x14ac:dyDescent="0.25">
      <c r="A2145" s="45" t="s">
        <v>3078</v>
      </c>
      <c r="B2145" s="44" t="s">
        <v>5308</v>
      </c>
      <c r="C2145" s="47">
        <v>44250</v>
      </c>
      <c r="D2145" s="44">
        <v>202104</v>
      </c>
      <c r="E2145" s="44">
        <v>169.5</v>
      </c>
      <c r="F2145" s="44">
        <v>169.5</v>
      </c>
      <c r="G2145" s="44">
        <v>169.5</v>
      </c>
      <c r="H2145" s="44">
        <v>169.5</v>
      </c>
      <c r="I2145" s="44">
        <v>0</v>
      </c>
      <c r="J2145" s="44">
        <v>0</v>
      </c>
      <c r="K2145" s="44">
        <v>174</v>
      </c>
      <c r="L2145" s="44">
        <v>169.5</v>
      </c>
      <c r="M2145" s="44">
        <v>346</v>
      </c>
    </row>
    <row r="2146" spans="1:13" x14ac:dyDescent="0.25">
      <c r="A2146" s="45" t="s">
        <v>3079</v>
      </c>
      <c r="B2146" s="44" t="s">
        <v>5309</v>
      </c>
      <c r="C2146" s="47">
        <v>44250</v>
      </c>
      <c r="D2146" s="44">
        <v>202104</v>
      </c>
      <c r="E2146" s="44">
        <v>169.5</v>
      </c>
      <c r="F2146" s="44">
        <v>169.5</v>
      </c>
      <c r="G2146" s="44">
        <v>169.5</v>
      </c>
      <c r="H2146" s="44">
        <v>169.5</v>
      </c>
      <c r="I2146" s="44">
        <v>0</v>
      </c>
      <c r="J2146" s="44">
        <v>0</v>
      </c>
      <c r="K2146" s="44">
        <v>174</v>
      </c>
      <c r="L2146" s="44">
        <v>169.5</v>
      </c>
      <c r="M2146" s="44">
        <v>346</v>
      </c>
    </row>
    <row r="2147" spans="1:13" x14ac:dyDescent="0.25">
      <c r="A2147" s="45" t="s">
        <v>3080</v>
      </c>
      <c r="C2147" s="47"/>
    </row>
    <row r="2148" spans="1:13" x14ac:dyDescent="0.25">
      <c r="A2148" s="45" t="s">
        <v>3081</v>
      </c>
      <c r="C2148" s="47"/>
    </row>
    <row r="2149" spans="1:13" x14ac:dyDescent="0.25">
      <c r="A2149" s="45" t="s">
        <v>3082</v>
      </c>
      <c r="B2149" s="44" t="s">
        <v>5310</v>
      </c>
      <c r="C2149" s="47">
        <v>44250</v>
      </c>
      <c r="D2149" s="44">
        <v>202103</v>
      </c>
      <c r="E2149" s="44">
        <v>168</v>
      </c>
      <c r="F2149" s="44">
        <v>169.5</v>
      </c>
      <c r="G2149" s="44">
        <v>166.5</v>
      </c>
      <c r="H2149" s="44">
        <v>169.5</v>
      </c>
      <c r="I2149" s="44">
        <v>0.5</v>
      </c>
      <c r="J2149" s="44">
        <v>0.3</v>
      </c>
      <c r="K2149" s="44">
        <v>241</v>
      </c>
      <c r="L2149" s="44">
        <v>169.5</v>
      </c>
      <c r="M2149" s="44">
        <v>871</v>
      </c>
    </row>
    <row r="2150" spans="1:13" x14ac:dyDescent="0.25">
      <c r="A2150" s="45" t="s">
        <v>3083</v>
      </c>
      <c r="B2150" s="44" t="s">
        <v>5311</v>
      </c>
      <c r="C2150" s="47">
        <v>44250</v>
      </c>
      <c r="D2150" s="44">
        <v>202106</v>
      </c>
      <c r="E2150" s="44">
        <v>169.5</v>
      </c>
      <c r="F2150" s="44">
        <v>169.5</v>
      </c>
      <c r="G2150" s="44">
        <v>169.5</v>
      </c>
      <c r="H2150" s="44">
        <v>169.5</v>
      </c>
      <c r="I2150" s="44">
        <v>0.5</v>
      </c>
      <c r="J2150" s="44">
        <v>0.3</v>
      </c>
      <c r="K2150" s="44">
        <v>0</v>
      </c>
      <c r="L2150" s="44">
        <v>169.5</v>
      </c>
      <c r="M2150" s="44">
        <v>0</v>
      </c>
    </row>
    <row r="2151" spans="1:13" x14ac:dyDescent="0.25">
      <c r="A2151" s="45" t="s">
        <v>3084</v>
      </c>
      <c r="B2151" s="44" t="s">
        <v>5312</v>
      </c>
      <c r="C2151" s="47">
        <v>44250</v>
      </c>
      <c r="D2151" s="44">
        <v>202109</v>
      </c>
      <c r="E2151" s="44">
        <v>168.5</v>
      </c>
      <c r="F2151" s="44">
        <v>168.5</v>
      </c>
      <c r="G2151" s="44">
        <v>168.5</v>
      </c>
      <c r="H2151" s="44">
        <v>168.5</v>
      </c>
      <c r="I2151" s="44">
        <v>0.5</v>
      </c>
      <c r="J2151" s="44">
        <v>0.3</v>
      </c>
      <c r="K2151" s="44">
        <v>0</v>
      </c>
      <c r="L2151" s="44">
        <v>168.5</v>
      </c>
      <c r="M2151" s="44">
        <v>0</v>
      </c>
    </row>
    <row r="2152" spans="1:13" x14ac:dyDescent="0.25">
      <c r="A2152" s="45" t="s">
        <v>3085</v>
      </c>
      <c r="B2152" s="44" t="s">
        <v>5313</v>
      </c>
      <c r="C2152" s="47">
        <v>44250</v>
      </c>
      <c r="D2152" s="44">
        <v>202112</v>
      </c>
      <c r="E2152" s="44">
        <v>170</v>
      </c>
      <c r="F2152" s="44">
        <v>170</v>
      </c>
      <c r="G2152" s="44">
        <v>170</v>
      </c>
      <c r="H2152" s="44">
        <v>170</v>
      </c>
      <c r="I2152" s="44">
        <v>0.5</v>
      </c>
      <c r="J2152" s="44">
        <v>0.28999999999999998</v>
      </c>
      <c r="K2152" s="44">
        <v>0</v>
      </c>
      <c r="L2152" s="44">
        <v>170</v>
      </c>
      <c r="M2152" s="44">
        <v>0</v>
      </c>
    </row>
    <row r="2153" spans="1:13" x14ac:dyDescent="0.25">
      <c r="A2153" s="45" t="s">
        <v>1071</v>
      </c>
      <c r="B2153" s="44" t="s">
        <v>5314</v>
      </c>
      <c r="C2153" s="47">
        <v>44250</v>
      </c>
      <c r="D2153" s="44">
        <v>202103</v>
      </c>
      <c r="E2153" s="44">
        <v>68.2</v>
      </c>
      <c r="F2153" s="44">
        <v>69.8</v>
      </c>
      <c r="G2153" s="44">
        <v>67.5</v>
      </c>
      <c r="H2153" s="44">
        <v>69</v>
      </c>
      <c r="I2153" s="44">
        <v>0</v>
      </c>
      <c r="J2153" s="44">
        <v>0</v>
      </c>
      <c r="K2153" s="44">
        <v>71</v>
      </c>
      <c r="L2153" s="44">
        <v>69</v>
      </c>
      <c r="M2153" s="44">
        <v>125</v>
      </c>
    </row>
    <row r="2154" spans="1:13" x14ac:dyDescent="0.25">
      <c r="A2154" s="45" t="s">
        <v>3086</v>
      </c>
      <c r="B2154" s="44" t="s">
        <v>5315</v>
      </c>
      <c r="C2154" s="47">
        <v>44250</v>
      </c>
      <c r="D2154" s="44">
        <v>202103</v>
      </c>
      <c r="E2154" s="44">
        <v>68.2</v>
      </c>
      <c r="F2154" s="44">
        <v>69.8</v>
      </c>
      <c r="G2154" s="44">
        <v>67.5</v>
      </c>
      <c r="H2154" s="44">
        <v>69</v>
      </c>
      <c r="I2154" s="44">
        <v>0</v>
      </c>
      <c r="J2154" s="44">
        <v>0</v>
      </c>
      <c r="K2154" s="44">
        <v>71</v>
      </c>
      <c r="L2154" s="44">
        <v>69</v>
      </c>
      <c r="M2154" s="44">
        <v>125</v>
      </c>
    </row>
    <row r="2155" spans="1:13" x14ac:dyDescent="0.25">
      <c r="A2155" s="45" t="s">
        <v>3087</v>
      </c>
      <c r="B2155" s="44" t="s">
        <v>5316</v>
      </c>
      <c r="C2155" s="47">
        <v>44250</v>
      </c>
      <c r="D2155" s="44">
        <v>202104</v>
      </c>
      <c r="E2155" s="44">
        <v>69</v>
      </c>
      <c r="F2155" s="44">
        <v>69</v>
      </c>
      <c r="G2155" s="44">
        <v>69</v>
      </c>
      <c r="H2155" s="44">
        <v>69</v>
      </c>
      <c r="I2155" s="44">
        <v>0</v>
      </c>
      <c r="J2155" s="44">
        <v>0</v>
      </c>
      <c r="K2155" s="44">
        <v>0</v>
      </c>
      <c r="L2155" s="44">
        <v>69</v>
      </c>
      <c r="M2155" s="44">
        <v>3</v>
      </c>
    </row>
    <row r="2156" spans="1:13" x14ac:dyDescent="0.25">
      <c r="A2156" s="45" t="s">
        <v>3088</v>
      </c>
      <c r="B2156" s="44" t="s">
        <v>5317</v>
      </c>
      <c r="C2156" s="47">
        <v>44250</v>
      </c>
      <c r="D2156" s="44">
        <v>202104</v>
      </c>
      <c r="E2156" s="44">
        <v>69</v>
      </c>
      <c r="F2156" s="44">
        <v>69</v>
      </c>
      <c r="G2156" s="44">
        <v>69</v>
      </c>
      <c r="H2156" s="44">
        <v>69</v>
      </c>
      <c r="I2156" s="44">
        <v>0</v>
      </c>
      <c r="J2156" s="44">
        <v>0</v>
      </c>
      <c r="K2156" s="44">
        <v>0</v>
      </c>
      <c r="L2156" s="44">
        <v>69</v>
      </c>
      <c r="M2156" s="44">
        <v>3</v>
      </c>
    </row>
    <row r="2157" spans="1:13" x14ac:dyDescent="0.25">
      <c r="A2157" s="45" t="s">
        <v>3089</v>
      </c>
      <c r="C2157" s="47"/>
    </row>
    <row r="2158" spans="1:13" x14ac:dyDescent="0.25">
      <c r="A2158" s="45" t="s">
        <v>3090</v>
      </c>
      <c r="C2158" s="47"/>
    </row>
    <row r="2159" spans="1:13" x14ac:dyDescent="0.25">
      <c r="A2159" s="45" t="s">
        <v>3091</v>
      </c>
      <c r="B2159" s="44" t="s">
        <v>5318</v>
      </c>
      <c r="C2159" s="47">
        <v>44250</v>
      </c>
      <c r="D2159" s="44">
        <v>202103</v>
      </c>
      <c r="E2159" s="44">
        <v>68.2</v>
      </c>
      <c r="F2159" s="44">
        <v>69.8</v>
      </c>
      <c r="G2159" s="44">
        <v>67.5</v>
      </c>
      <c r="H2159" s="44">
        <v>69</v>
      </c>
      <c r="I2159" s="44">
        <v>0</v>
      </c>
      <c r="J2159" s="44">
        <v>0</v>
      </c>
      <c r="K2159" s="44">
        <v>71</v>
      </c>
      <c r="L2159" s="44">
        <v>69</v>
      </c>
      <c r="M2159" s="44">
        <v>125</v>
      </c>
    </row>
    <row r="2160" spans="1:13" x14ac:dyDescent="0.25">
      <c r="A2160" s="45" t="s">
        <v>3092</v>
      </c>
      <c r="B2160" s="44" t="s">
        <v>5319</v>
      </c>
      <c r="C2160" s="47">
        <v>44250</v>
      </c>
      <c r="D2160" s="44">
        <v>202106</v>
      </c>
      <c r="E2160" s="44">
        <v>69</v>
      </c>
      <c r="F2160" s="44">
        <v>69</v>
      </c>
      <c r="G2160" s="44">
        <v>69</v>
      </c>
      <c r="H2160" s="44">
        <v>69</v>
      </c>
      <c r="I2160" s="44">
        <v>0</v>
      </c>
      <c r="J2160" s="44">
        <v>0</v>
      </c>
      <c r="K2160" s="44">
        <v>0</v>
      </c>
      <c r="L2160" s="44">
        <v>69</v>
      </c>
      <c r="M2160" s="44">
        <v>0</v>
      </c>
    </row>
    <row r="2161" spans="1:13" x14ac:dyDescent="0.25">
      <c r="A2161" s="45" t="s">
        <v>3093</v>
      </c>
      <c r="B2161" s="44" t="s">
        <v>5320</v>
      </c>
      <c r="C2161" s="47">
        <v>44250</v>
      </c>
      <c r="D2161" s="44">
        <v>202109</v>
      </c>
      <c r="E2161" s="44">
        <v>68.599999999999994</v>
      </c>
      <c r="F2161" s="44">
        <v>68.599999999999994</v>
      </c>
      <c r="G2161" s="44">
        <v>68.599999999999994</v>
      </c>
      <c r="H2161" s="44">
        <v>68.599999999999994</v>
      </c>
      <c r="I2161" s="44">
        <v>0</v>
      </c>
      <c r="J2161" s="44">
        <v>0</v>
      </c>
      <c r="K2161" s="44">
        <v>0</v>
      </c>
      <c r="L2161" s="44">
        <v>68.599999999999994</v>
      </c>
      <c r="M2161" s="44">
        <v>0</v>
      </c>
    </row>
    <row r="2162" spans="1:13" x14ac:dyDescent="0.25">
      <c r="A2162" s="45" t="s">
        <v>3094</v>
      </c>
      <c r="B2162" s="44" t="s">
        <v>5321</v>
      </c>
      <c r="C2162" s="47">
        <v>44250</v>
      </c>
      <c r="D2162" s="44">
        <v>202112</v>
      </c>
      <c r="E2162" s="44">
        <v>68.900000000000006</v>
      </c>
      <c r="F2162" s="44">
        <v>68.900000000000006</v>
      </c>
      <c r="G2162" s="44">
        <v>68.900000000000006</v>
      </c>
      <c r="H2162" s="44">
        <v>68.900000000000006</v>
      </c>
      <c r="I2162" s="44">
        <v>0</v>
      </c>
      <c r="J2162" s="44">
        <v>0</v>
      </c>
      <c r="K2162" s="44">
        <v>0</v>
      </c>
      <c r="L2162" s="44">
        <v>68.900000000000006</v>
      </c>
      <c r="M2162" s="44">
        <v>0</v>
      </c>
    </row>
    <row r="2163" spans="1:13" x14ac:dyDescent="0.25">
      <c r="A2163" s="45" t="s">
        <v>1073</v>
      </c>
      <c r="B2163" s="44" t="s">
        <v>5322</v>
      </c>
      <c r="C2163" s="47">
        <v>44250</v>
      </c>
      <c r="D2163" s="44">
        <v>202103</v>
      </c>
      <c r="E2163" s="44">
        <v>43.5</v>
      </c>
      <c r="F2163" s="44">
        <v>44.45</v>
      </c>
      <c r="G2163" s="44">
        <v>43.3</v>
      </c>
      <c r="H2163" s="44">
        <v>43.5</v>
      </c>
      <c r="I2163" s="44">
        <v>-0.1</v>
      </c>
      <c r="J2163" s="44">
        <v>-0.23</v>
      </c>
      <c r="K2163" s="44">
        <v>296</v>
      </c>
      <c r="L2163" s="44">
        <v>43.5</v>
      </c>
      <c r="M2163" s="44">
        <v>734</v>
      </c>
    </row>
    <row r="2164" spans="1:13" x14ac:dyDescent="0.25">
      <c r="A2164" s="45" t="s">
        <v>3095</v>
      </c>
      <c r="B2164" s="44" t="s">
        <v>5323</v>
      </c>
      <c r="C2164" s="47">
        <v>44250</v>
      </c>
      <c r="D2164" s="44">
        <v>202103</v>
      </c>
      <c r="E2164" s="44">
        <v>43.5</v>
      </c>
      <c r="F2164" s="44">
        <v>44.45</v>
      </c>
      <c r="G2164" s="44">
        <v>43.3</v>
      </c>
      <c r="H2164" s="44">
        <v>43.5</v>
      </c>
      <c r="I2164" s="44">
        <v>-0.1</v>
      </c>
      <c r="J2164" s="44">
        <v>-0.23</v>
      </c>
      <c r="K2164" s="44">
        <v>296</v>
      </c>
      <c r="L2164" s="44">
        <v>43.5</v>
      </c>
      <c r="M2164" s="44">
        <v>734</v>
      </c>
    </row>
    <row r="2165" spans="1:13" x14ac:dyDescent="0.25">
      <c r="A2165" s="45" t="s">
        <v>3096</v>
      </c>
      <c r="B2165" s="44" t="s">
        <v>5324</v>
      </c>
      <c r="C2165" s="47">
        <v>44250</v>
      </c>
      <c r="D2165" s="44">
        <v>202104</v>
      </c>
      <c r="E2165" s="44">
        <v>43.6</v>
      </c>
      <c r="F2165" s="44">
        <v>43.6</v>
      </c>
      <c r="G2165" s="44">
        <v>43.6</v>
      </c>
      <c r="H2165" s="44">
        <v>43.6</v>
      </c>
      <c r="I2165" s="44">
        <v>-0.1</v>
      </c>
      <c r="J2165" s="44">
        <v>-0.23</v>
      </c>
      <c r="K2165" s="44">
        <v>0</v>
      </c>
      <c r="L2165" s="44">
        <v>43.6</v>
      </c>
      <c r="M2165" s="44">
        <v>7</v>
      </c>
    </row>
    <row r="2166" spans="1:13" x14ac:dyDescent="0.25">
      <c r="A2166" s="45" t="s">
        <v>3097</v>
      </c>
      <c r="B2166" s="44" t="s">
        <v>5325</v>
      </c>
      <c r="C2166" s="47">
        <v>44250</v>
      </c>
      <c r="D2166" s="44">
        <v>202104</v>
      </c>
      <c r="E2166" s="44">
        <v>43.6</v>
      </c>
      <c r="F2166" s="44">
        <v>43.6</v>
      </c>
      <c r="G2166" s="44">
        <v>43.6</v>
      </c>
      <c r="H2166" s="44">
        <v>43.6</v>
      </c>
      <c r="I2166" s="44">
        <v>-0.1</v>
      </c>
      <c r="J2166" s="44">
        <v>-0.23</v>
      </c>
      <c r="K2166" s="44">
        <v>0</v>
      </c>
      <c r="L2166" s="44">
        <v>43.6</v>
      </c>
      <c r="M2166" s="44">
        <v>7</v>
      </c>
    </row>
    <row r="2167" spans="1:13" x14ac:dyDescent="0.25">
      <c r="A2167" s="45" t="s">
        <v>3098</v>
      </c>
      <c r="C2167" s="47"/>
    </row>
    <row r="2168" spans="1:13" x14ac:dyDescent="0.25">
      <c r="A2168" s="45" t="s">
        <v>3099</v>
      </c>
      <c r="C2168" s="47"/>
    </row>
    <row r="2169" spans="1:13" x14ac:dyDescent="0.25">
      <c r="A2169" s="45" t="s">
        <v>3100</v>
      </c>
      <c r="B2169" s="44" t="s">
        <v>5326</v>
      </c>
      <c r="C2169" s="47">
        <v>44250</v>
      </c>
      <c r="D2169" s="44">
        <v>202103</v>
      </c>
      <c r="E2169" s="44">
        <v>43.5</v>
      </c>
      <c r="F2169" s="44">
        <v>44.45</v>
      </c>
      <c r="G2169" s="44">
        <v>43.3</v>
      </c>
      <c r="H2169" s="44">
        <v>43.5</v>
      </c>
      <c r="I2169" s="44">
        <v>-0.1</v>
      </c>
      <c r="J2169" s="44">
        <v>-0.23</v>
      </c>
      <c r="K2169" s="44">
        <v>296</v>
      </c>
      <c r="L2169" s="44">
        <v>43.5</v>
      </c>
      <c r="M2169" s="44">
        <v>734</v>
      </c>
    </row>
    <row r="2170" spans="1:13" x14ac:dyDescent="0.25">
      <c r="A2170" s="45" t="s">
        <v>3101</v>
      </c>
      <c r="B2170" s="44" t="s">
        <v>5327</v>
      </c>
      <c r="C2170" s="47">
        <v>44250</v>
      </c>
      <c r="D2170" s="44">
        <v>202106</v>
      </c>
      <c r="E2170" s="44">
        <v>43.4</v>
      </c>
      <c r="F2170" s="44">
        <v>43.4</v>
      </c>
      <c r="G2170" s="44">
        <v>43.4</v>
      </c>
      <c r="H2170" s="44">
        <v>43.4</v>
      </c>
      <c r="I2170" s="44">
        <v>-0.1</v>
      </c>
      <c r="J2170" s="44">
        <v>-0.23</v>
      </c>
      <c r="K2170" s="44">
        <v>0</v>
      </c>
      <c r="L2170" s="44">
        <v>43.4</v>
      </c>
      <c r="M2170" s="44">
        <v>0</v>
      </c>
    </row>
    <row r="2171" spans="1:13" x14ac:dyDescent="0.25">
      <c r="A2171" s="45" t="s">
        <v>3102</v>
      </c>
      <c r="B2171" s="44" t="s">
        <v>5328</v>
      </c>
      <c r="C2171" s="47">
        <v>44250</v>
      </c>
      <c r="D2171" s="44">
        <v>202109</v>
      </c>
      <c r="E2171" s="44">
        <v>43.6</v>
      </c>
      <c r="F2171" s="44">
        <v>43.6</v>
      </c>
      <c r="G2171" s="44">
        <v>43.6</v>
      </c>
      <c r="H2171" s="44">
        <v>43.6</v>
      </c>
      <c r="I2171" s="44">
        <v>-0.1</v>
      </c>
      <c r="J2171" s="44">
        <v>-0.23</v>
      </c>
      <c r="K2171" s="44">
        <v>0</v>
      </c>
      <c r="L2171" s="44">
        <v>43.6</v>
      </c>
      <c r="M2171" s="44">
        <v>3</v>
      </c>
    </row>
    <row r="2172" spans="1:13" x14ac:dyDescent="0.25">
      <c r="A2172" s="45" t="s">
        <v>3103</v>
      </c>
      <c r="B2172" s="44" t="s">
        <v>5329</v>
      </c>
      <c r="C2172" s="47">
        <v>44250</v>
      </c>
      <c r="D2172" s="44">
        <v>202112</v>
      </c>
      <c r="E2172" s="44">
        <v>43.3</v>
      </c>
      <c r="F2172" s="44">
        <v>43.3</v>
      </c>
      <c r="G2172" s="44">
        <v>43.3</v>
      </c>
      <c r="H2172" s="44">
        <v>43.3</v>
      </c>
      <c r="I2172" s="44">
        <v>-0.1</v>
      </c>
      <c r="J2172" s="44">
        <v>-0.23</v>
      </c>
      <c r="K2172" s="44">
        <v>0</v>
      </c>
      <c r="L2172" s="44">
        <v>43.3</v>
      </c>
      <c r="M2172" s="44">
        <v>0</v>
      </c>
    </row>
    <row r="2173" spans="1:13" x14ac:dyDescent="0.25">
      <c r="A2173" s="45" t="s">
        <v>1104</v>
      </c>
      <c r="B2173" s="44" t="s">
        <v>5330</v>
      </c>
      <c r="C2173" s="47">
        <v>44250</v>
      </c>
      <c r="D2173" s="44">
        <v>202103</v>
      </c>
      <c r="E2173" s="44">
        <v>211</v>
      </c>
      <c r="F2173" s="44">
        <v>213.5</v>
      </c>
      <c r="G2173" s="44">
        <v>206</v>
      </c>
      <c r="H2173" s="44">
        <v>206</v>
      </c>
      <c r="I2173" s="44">
        <v>-2</v>
      </c>
      <c r="J2173" s="44">
        <v>-0.96</v>
      </c>
      <c r="K2173" s="44">
        <v>30</v>
      </c>
      <c r="L2173" s="44">
        <v>206</v>
      </c>
      <c r="M2173" s="44">
        <v>125</v>
      </c>
    </row>
    <row r="2174" spans="1:13" x14ac:dyDescent="0.25">
      <c r="A2174" s="45" t="s">
        <v>3104</v>
      </c>
      <c r="B2174" s="44" t="s">
        <v>5331</v>
      </c>
      <c r="C2174" s="47">
        <v>44250</v>
      </c>
      <c r="D2174" s="44">
        <v>202103</v>
      </c>
      <c r="E2174" s="44">
        <v>211</v>
      </c>
      <c r="F2174" s="44">
        <v>213.5</v>
      </c>
      <c r="G2174" s="44">
        <v>206</v>
      </c>
      <c r="H2174" s="44">
        <v>206</v>
      </c>
      <c r="I2174" s="44">
        <v>-2</v>
      </c>
      <c r="J2174" s="44">
        <v>-0.96</v>
      </c>
      <c r="K2174" s="44">
        <v>30</v>
      </c>
      <c r="L2174" s="44">
        <v>206</v>
      </c>
      <c r="M2174" s="44">
        <v>125</v>
      </c>
    </row>
    <row r="2175" spans="1:13" x14ac:dyDescent="0.25">
      <c r="A2175" s="45" t="s">
        <v>3105</v>
      </c>
      <c r="B2175" s="44" t="s">
        <v>5332</v>
      </c>
      <c r="C2175" s="47">
        <v>44250</v>
      </c>
      <c r="D2175" s="44">
        <v>202104</v>
      </c>
      <c r="E2175" s="44">
        <v>212.5</v>
      </c>
      <c r="F2175" s="44">
        <v>212.5</v>
      </c>
      <c r="G2175" s="44">
        <v>212.5</v>
      </c>
      <c r="H2175" s="44">
        <v>212.5</v>
      </c>
      <c r="I2175" s="44">
        <v>4</v>
      </c>
      <c r="J2175" s="44">
        <v>1.92</v>
      </c>
      <c r="K2175" s="44">
        <v>11</v>
      </c>
      <c r="L2175" s="44">
        <v>206.5</v>
      </c>
      <c r="M2175" s="44">
        <v>57</v>
      </c>
    </row>
    <row r="2176" spans="1:13" x14ac:dyDescent="0.25">
      <c r="A2176" s="45" t="s">
        <v>3106</v>
      </c>
      <c r="B2176" s="44" t="s">
        <v>5333</v>
      </c>
      <c r="C2176" s="47">
        <v>44250</v>
      </c>
      <c r="D2176" s="44">
        <v>202104</v>
      </c>
      <c r="E2176" s="44">
        <v>212.5</v>
      </c>
      <c r="F2176" s="44">
        <v>212.5</v>
      </c>
      <c r="G2176" s="44">
        <v>212.5</v>
      </c>
      <c r="H2176" s="44">
        <v>212.5</v>
      </c>
      <c r="I2176" s="44">
        <v>4</v>
      </c>
      <c r="J2176" s="44">
        <v>1.92</v>
      </c>
      <c r="K2176" s="44">
        <v>11</v>
      </c>
      <c r="L2176" s="44">
        <v>206.5</v>
      </c>
      <c r="M2176" s="44">
        <v>57</v>
      </c>
    </row>
    <row r="2177" spans="1:13" x14ac:dyDescent="0.25">
      <c r="A2177" s="45" t="s">
        <v>3107</v>
      </c>
      <c r="C2177" s="47"/>
    </row>
    <row r="2178" spans="1:13" x14ac:dyDescent="0.25">
      <c r="A2178" s="45" t="s">
        <v>3108</v>
      </c>
      <c r="C2178" s="47"/>
    </row>
    <row r="2179" spans="1:13" x14ac:dyDescent="0.25">
      <c r="A2179" s="45" t="s">
        <v>3109</v>
      </c>
      <c r="B2179" s="44" t="s">
        <v>5334</v>
      </c>
      <c r="C2179" s="47">
        <v>44250</v>
      </c>
      <c r="D2179" s="44">
        <v>202103</v>
      </c>
      <c r="E2179" s="44">
        <v>211</v>
      </c>
      <c r="F2179" s="44">
        <v>213.5</v>
      </c>
      <c r="G2179" s="44">
        <v>206</v>
      </c>
      <c r="H2179" s="44">
        <v>206</v>
      </c>
      <c r="I2179" s="44">
        <v>-2</v>
      </c>
      <c r="J2179" s="44">
        <v>-0.96</v>
      </c>
      <c r="K2179" s="44">
        <v>30</v>
      </c>
      <c r="L2179" s="44">
        <v>206</v>
      </c>
      <c r="M2179" s="44">
        <v>125</v>
      </c>
    </row>
    <row r="2180" spans="1:13" x14ac:dyDescent="0.25">
      <c r="A2180" s="45" t="s">
        <v>3110</v>
      </c>
      <c r="B2180" s="44" t="s">
        <v>5335</v>
      </c>
      <c r="C2180" s="47">
        <v>44250</v>
      </c>
      <c r="D2180" s="44">
        <v>202106</v>
      </c>
      <c r="E2180" s="44">
        <v>207</v>
      </c>
      <c r="F2180" s="44">
        <v>207</v>
      </c>
      <c r="G2180" s="44">
        <v>207</v>
      </c>
      <c r="H2180" s="44">
        <v>207</v>
      </c>
      <c r="I2180" s="44">
        <v>-2</v>
      </c>
      <c r="J2180" s="44">
        <v>-0.96</v>
      </c>
      <c r="K2180" s="44">
        <v>0</v>
      </c>
      <c r="L2180" s="44">
        <v>207</v>
      </c>
      <c r="M2180" s="44">
        <v>1</v>
      </c>
    </row>
    <row r="2181" spans="1:13" x14ac:dyDescent="0.25">
      <c r="A2181" s="45" t="s">
        <v>3111</v>
      </c>
      <c r="B2181" s="44" t="s">
        <v>5336</v>
      </c>
      <c r="C2181" s="47">
        <v>44250</v>
      </c>
      <c r="D2181" s="44">
        <v>202109</v>
      </c>
      <c r="E2181" s="44">
        <v>208.5</v>
      </c>
      <c r="F2181" s="44">
        <v>208.5</v>
      </c>
      <c r="G2181" s="44">
        <v>208.5</v>
      </c>
      <c r="H2181" s="44">
        <v>208.5</v>
      </c>
      <c r="I2181" s="44">
        <v>-2</v>
      </c>
      <c r="J2181" s="44">
        <v>-0.95</v>
      </c>
      <c r="K2181" s="44">
        <v>0</v>
      </c>
      <c r="L2181" s="44">
        <v>208.5</v>
      </c>
      <c r="M2181" s="44">
        <v>0</v>
      </c>
    </row>
    <row r="2182" spans="1:13" x14ac:dyDescent="0.25">
      <c r="A2182" s="45" t="s">
        <v>3112</v>
      </c>
      <c r="B2182" s="44" t="s">
        <v>5337</v>
      </c>
      <c r="C2182" s="47">
        <v>44250</v>
      </c>
      <c r="D2182" s="44">
        <v>202112</v>
      </c>
      <c r="E2182" s="44">
        <v>208</v>
      </c>
      <c r="F2182" s="44">
        <v>208</v>
      </c>
      <c r="G2182" s="44">
        <v>208</v>
      </c>
      <c r="H2182" s="44">
        <v>208</v>
      </c>
      <c r="I2182" s="44">
        <v>-2</v>
      </c>
      <c r="J2182" s="44">
        <v>-0.95</v>
      </c>
      <c r="K2182" s="44">
        <v>0</v>
      </c>
      <c r="L2182" s="44">
        <v>208</v>
      </c>
      <c r="M2182" s="44">
        <v>0</v>
      </c>
    </row>
    <row r="2183" spans="1:13" x14ac:dyDescent="0.25">
      <c r="A2183" s="45" t="s">
        <v>1055</v>
      </c>
      <c r="B2183" s="44" t="s">
        <v>5338</v>
      </c>
      <c r="C2183" s="47">
        <v>44250</v>
      </c>
      <c r="D2183" s="44">
        <v>202103</v>
      </c>
      <c r="E2183" s="44">
        <v>1720</v>
      </c>
      <c r="F2183" s="44">
        <v>1730</v>
      </c>
      <c r="G2183" s="44">
        <v>1645</v>
      </c>
      <c r="H2183" s="44">
        <v>1730</v>
      </c>
      <c r="I2183" s="44">
        <v>-20</v>
      </c>
      <c r="J2183" s="44">
        <v>-1.1399999999999999</v>
      </c>
      <c r="K2183" s="44">
        <v>136</v>
      </c>
      <c r="L2183" s="44">
        <v>1705</v>
      </c>
      <c r="M2183" s="44">
        <v>271</v>
      </c>
    </row>
    <row r="2184" spans="1:13" x14ac:dyDescent="0.25">
      <c r="A2184" s="45" t="s">
        <v>3113</v>
      </c>
      <c r="B2184" s="44" t="s">
        <v>5339</v>
      </c>
      <c r="C2184" s="47">
        <v>44250</v>
      </c>
      <c r="D2184" s="44">
        <v>202103</v>
      </c>
      <c r="E2184" s="44">
        <v>1720</v>
      </c>
      <c r="F2184" s="44">
        <v>1730</v>
      </c>
      <c r="G2184" s="44">
        <v>1645</v>
      </c>
      <c r="H2184" s="44">
        <v>1730</v>
      </c>
      <c r="I2184" s="44">
        <v>-20</v>
      </c>
      <c r="J2184" s="44">
        <v>-1.1399999999999999</v>
      </c>
      <c r="K2184" s="44">
        <v>136</v>
      </c>
      <c r="L2184" s="44">
        <v>1705</v>
      </c>
      <c r="M2184" s="44">
        <v>271</v>
      </c>
    </row>
    <row r="2185" spans="1:13" x14ac:dyDescent="0.25">
      <c r="A2185" s="45" t="s">
        <v>3114</v>
      </c>
      <c r="B2185" s="44" t="s">
        <v>5340</v>
      </c>
      <c r="C2185" s="47">
        <v>44250</v>
      </c>
      <c r="D2185" s="44">
        <v>202104</v>
      </c>
      <c r="E2185" s="44">
        <v>1710</v>
      </c>
      <c r="F2185" s="44">
        <v>1710</v>
      </c>
      <c r="G2185" s="44">
        <v>1690</v>
      </c>
      <c r="H2185" s="44">
        <v>1690</v>
      </c>
      <c r="I2185" s="44">
        <v>-65</v>
      </c>
      <c r="J2185" s="44">
        <v>-3.7</v>
      </c>
      <c r="K2185" s="44">
        <v>4</v>
      </c>
      <c r="L2185" s="44">
        <v>1710</v>
      </c>
      <c r="M2185" s="44">
        <v>8</v>
      </c>
    </row>
    <row r="2186" spans="1:13" x14ac:dyDescent="0.25">
      <c r="A2186" s="45" t="s">
        <v>3115</v>
      </c>
      <c r="B2186" s="44" t="s">
        <v>5341</v>
      </c>
      <c r="C2186" s="47">
        <v>44250</v>
      </c>
      <c r="D2186" s="44">
        <v>202104</v>
      </c>
      <c r="E2186" s="44">
        <v>1710</v>
      </c>
      <c r="F2186" s="44">
        <v>1710</v>
      </c>
      <c r="G2186" s="44">
        <v>1690</v>
      </c>
      <c r="H2186" s="44">
        <v>1690</v>
      </c>
      <c r="I2186" s="44">
        <v>-65</v>
      </c>
      <c r="J2186" s="44">
        <v>-3.7</v>
      </c>
      <c r="K2186" s="44">
        <v>4</v>
      </c>
      <c r="L2186" s="44">
        <v>1710</v>
      </c>
      <c r="M2186" s="44">
        <v>8</v>
      </c>
    </row>
    <row r="2187" spans="1:13" x14ac:dyDescent="0.25">
      <c r="A2187" s="45" t="s">
        <v>3116</v>
      </c>
      <c r="C2187" s="47"/>
    </row>
    <row r="2188" spans="1:13" x14ac:dyDescent="0.25">
      <c r="A2188" s="45" t="s">
        <v>3117</v>
      </c>
      <c r="C2188" s="47"/>
    </row>
    <row r="2189" spans="1:13" x14ac:dyDescent="0.25">
      <c r="A2189" s="45" t="s">
        <v>3118</v>
      </c>
      <c r="B2189" s="44" t="s">
        <v>5342</v>
      </c>
      <c r="C2189" s="47">
        <v>44250</v>
      </c>
      <c r="D2189" s="44">
        <v>202103</v>
      </c>
      <c r="E2189" s="44">
        <v>1720</v>
      </c>
      <c r="F2189" s="44">
        <v>1730</v>
      </c>
      <c r="G2189" s="44">
        <v>1645</v>
      </c>
      <c r="H2189" s="44">
        <v>1730</v>
      </c>
      <c r="I2189" s="44">
        <v>-20</v>
      </c>
      <c r="J2189" s="44">
        <v>-1.1399999999999999</v>
      </c>
      <c r="K2189" s="44">
        <v>136</v>
      </c>
      <c r="L2189" s="44">
        <v>1705</v>
      </c>
      <c r="M2189" s="44">
        <v>271</v>
      </c>
    </row>
    <row r="2190" spans="1:13" x14ac:dyDescent="0.25">
      <c r="A2190" s="45" t="s">
        <v>3119</v>
      </c>
      <c r="B2190" s="44" t="s">
        <v>5343</v>
      </c>
      <c r="C2190" s="47">
        <v>44250</v>
      </c>
      <c r="D2190" s="44">
        <v>202106</v>
      </c>
      <c r="E2190" s="44">
        <v>1745</v>
      </c>
      <c r="F2190" s="44">
        <v>1745</v>
      </c>
      <c r="G2190" s="44">
        <v>1745</v>
      </c>
      <c r="H2190" s="44">
        <v>1745</v>
      </c>
      <c r="I2190" s="44">
        <v>-45</v>
      </c>
      <c r="J2190" s="44">
        <v>-2.5099999999999998</v>
      </c>
      <c r="K2190" s="44">
        <v>0</v>
      </c>
      <c r="L2190" s="44">
        <v>1745</v>
      </c>
      <c r="M2190" s="44">
        <v>0</v>
      </c>
    </row>
    <row r="2191" spans="1:13" x14ac:dyDescent="0.25">
      <c r="A2191" s="45" t="s">
        <v>3120</v>
      </c>
      <c r="B2191" s="44" t="s">
        <v>5344</v>
      </c>
      <c r="C2191" s="47">
        <v>44250</v>
      </c>
      <c r="D2191" s="44">
        <v>202109</v>
      </c>
      <c r="E2191" s="44">
        <v>1745</v>
      </c>
      <c r="F2191" s="44">
        <v>1745</v>
      </c>
      <c r="G2191" s="44">
        <v>1745</v>
      </c>
      <c r="H2191" s="44">
        <v>1745</v>
      </c>
      <c r="I2191" s="44">
        <v>-45</v>
      </c>
      <c r="J2191" s="44">
        <v>-2.5099999999999998</v>
      </c>
      <c r="K2191" s="44">
        <v>0</v>
      </c>
      <c r="L2191" s="44">
        <v>1745</v>
      </c>
      <c r="M2191" s="44">
        <v>0</v>
      </c>
    </row>
    <row r="2192" spans="1:13" x14ac:dyDescent="0.25">
      <c r="A2192" s="45" t="s">
        <v>3121</v>
      </c>
      <c r="B2192" s="44" t="s">
        <v>5345</v>
      </c>
      <c r="C2192" s="47">
        <v>44250</v>
      </c>
      <c r="D2192" s="44">
        <v>202112</v>
      </c>
      <c r="E2192" s="44">
        <v>1745</v>
      </c>
      <c r="F2192" s="44">
        <v>1745</v>
      </c>
      <c r="G2192" s="44">
        <v>1745</v>
      </c>
      <c r="H2192" s="44">
        <v>1745</v>
      </c>
      <c r="I2192" s="44">
        <v>-45</v>
      </c>
      <c r="J2192" s="44">
        <v>-2.5099999999999998</v>
      </c>
      <c r="K2192" s="44">
        <v>0</v>
      </c>
      <c r="L2192" s="44">
        <v>1745</v>
      </c>
      <c r="M2192" s="44">
        <v>0</v>
      </c>
    </row>
    <row r="2193" spans="1:13" x14ac:dyDescent="0.25">
      <c r="A2193" s="45" t="s">
        <v>1087</v>
      </c>
      <c r="B2193" s="44" t="s">
        <v>5346</v>
      </c>
      <c r="C2193" s="47">
        <v>44250</v>
      </c>
      <c r="D2193" s="44">
        <v>202103</v>
      </c>
      <c r="E2193" s="44">
        <v>159</v>
      </c>
      <c r="F2193" s="44">
        <v>159</v>
      </c>
      <c r="G2193" s="44">
        <v>156</v>
      </c>
      <c r="H2193" s="44">
        <v>157</v>
      </c>
      <c r="I2193" s="44">
        <v>1.5</v>
      </c>
      <c r="J2193" s="44">
        <v>0.96</v>
      </c>
      <c r="K2193" s="44">
        <v>3</v>
      </c>
      <c r="L2193" s="44">
        <v>157</v>
      </c>
      <c r="M2193" s="44">
        <v>32</v>
      </c>
    </row>
    <row r="2194" spans="1:13" x14ac:dyDescent="0.25">
      <c r="A2194" s="45" t="s">
        <v>3122</v>
      </c>
      <c r="B2194" s="44" t="s">
        <v>5347</v>
      </c>
      <c r="C2194" s="47">
        <v>44250</v>
      </c>
      <c r="D2194" s="44">
        <v>202103</v>
      </c>
      <c r="E2194" s="44">
        <v>159</v>
      </c>
      <c r="F2194" s="44">
        <v>159</v>
      </c>
      <c r="G2194" s="44">
        <v>156</v>
      </c>
      <c r="H2194" s="44">
        <v>157</v>
      </c>
      <c r="I2194" s="44">
        <v>1.5</v>
      </c>
      <c r="J2194" s="44">
        <v>0.96</v>
      </c>
      <c r="K2194" s="44">
        <v>3</v>
      </c>
      <c r="L2194" s="44">
        <v>157</v>
      </c>
      <c r="M2194" s="44">
        <v>32</v>
      </c>
    </row>
    <row r="2195" spans="1:13" x14ac:dyDescent="0.25">
      <c r="A2195" s="45" t="s">
        <v>3123</v>
      </c>
      <c r="B2195" s="44" t="s">
        <v>5348</v>
      </c>
      <c r="C2195" s="47">
        <v>44250</v>
      </c>
      <c r="D2195" s="44">
        <v>202104</v>
      </c>
      <c r="E2195" s="44">
        <v>157</v>
      </c>
      <c r="F2195" s="44">
        <v>157</v>
      </c>
      <c r="G2195" s="44">
        <v>157</v>
      </c>
      <c r="H2195" s="44">
        <v>157</v>
      </c>
      <c r="I2195" s="44">
        <v>2</v>
      </c>
      <c r="J2195" s="44">
        <v>1.29</v>
      </c>
      <c r="K2195" s="44">
        <v>1</v>
      </c>
      <c r="L2195" s="44">
        <v>157</v>
      </c>
      <c r="M2195" s="44">
        <v>1</v>
      </c>
    </row>
    <row r="2196" spans="1:13" x14ac:dyDescent="0.25">
      <c r="A2196" s="45" t="s">
        <v>3124</v>
      </c>
      <c r="B2196" s="44" t="s">
        <v>5349</v>
      </c>
      <c r="C2196" s="47">
        <v>44250</v>
      </c>
      <c r="D2196" s="44">
        <v>202104</v>
      </c>
      <c r="E2196" s="44">
        <v>157</v>
      </c>
      <c r="F2196" s="44">
        <v>157</v>
      </c>
      <c r="G2196" s="44">
        <v>157</v>
      </c>
      <c r="H2196" s="44">
        <v>157</v>
      </c>
      <c r="I2196" s="44">
        <v>2</v>
      </c>
      <c r="J2196" s="44">
        <v>1.29</v>
      </c>
      <c r="K2196" s="44">
        <v>1</v>
      </c>
      <c r="L2196" s="44">
        <v>157</v>
      </c>
      <c r="M2196" s="44">
        <v>1</v>
      </c>
    </row>
    <row r="2197" spans="1:13" x14ac:dyDescent="0.25">
      <c r="A2197" s="45" t="s">
        <v>3125</v>
      </c>
      <c r="C2197" s="47"/>
    </row>
    <row r="2198" spans="1:13" x14ac:dyDescent="0.25">
      <c r="A2198" s="45" t="s">
        <v>3126</v>
      </c>
      <c r="C2198" s="47"/>
    </row>
    <row r="2199" spans="1:13" x14ac:dyDescent="0.25">
      <c r="A2199" s="45" t="s">
        <v>3127</v>
      </c>
      <c r="B2199" s="44" t="s">
        <v>5350</v>
      </c>
      <c r="C2199" s="47">
        <v>44250</v>
      </c>
      <c r="D2199" s="44">
        <v>202103</v>
      </c>
      <c r="E2199" s="44">
        <v>159</v>
      </c>
      <c r="F2199" s="44">
        <v>159</v>
      </c>
      <c r="G2199" s="44">
        <v>156</v>
      </c>
      <c r="H2199" s="44">
        <v>157</v>
      </c>
      <c r="I2199" s="44">
        <v>1.5</v>
      </c>
      <c r="J2199" s="44">
        <v>0.96</v>
      </c>
      <c r="K2199" s="44">
        <v>3</v>
      </c>
      <c r="L2199" s="44">
        <v>157</v>
      </c>
      <c r="M2199" s="44">
        <v>32</v>
      </c>
    </row>
    <row r="2200" spans="1:13" x14ac:dyDescent="0.25">
      <c r="A2200" s="45" t="s">
        <v>3128</v>
      </c>
      <c r="B2200" s="44" t="s">
        <v>5351</v>
      </c>
      <c r="C2200" s="47">
        <v>44250</v>
      </c>
      <c r="D2200" s="44">
        <v>202106</v>
      </c>
      <c r="E2200" s="44">
        <v>157</v>
      </c>
      <c r="F2200" s="44">
        <v>157</v>
      </c>
      <c r="G2200" s="44">
        <v>157</v>
      </c>
      <c r="H2200" s="44">
        <v>157</v>
      </c>
      <c r="I2200" s="44">
        <v>1.5</v>
      </c>
      <c r="J2200" s="44">
        <v>0.96</v>
      </c>
      <c r="K2200" s="44">
        <v>0</v>
      </c>
      <c r="L2200" s="44">
        <v>157</v>
      </c>
      <c r="M2200" s="44">
        <v>0</v>
      </c>
    </row>
    <row r="2201" spans="1:13" x14ac:dyDescent="0.25">
      <c r="A2201" s="45" t="s">
        <v>3129</v>
      </c>
      <c r="B2201" s="44" t="s">
        <v>5352</v>
      </c>
      <c r="C2201" s="47">
        <v>44250</v>
      </c>
      <c r="D2201" s="44">
        <v>202109</v>
      </c>
      <c r="E2201" s="44">
        <v>156</v>
      </c>
      <c r="F2201" s="44">
        <v>156</v>
      </c>
      <c r="G2201" s="44">
        <v>156</v>
      </c>
      <c r="H2201" s="44">
        <v>156</v>
      </c>
      <c r="I2201" s="44">
        <v>1.5</v>
      </c>
      <c r="J2201" s="44">
        <v>0.97</v>
      </c>
      <c r="K2201" s="44">
        <v>0</v>
      </c>
      <c r="L2201" s="44">
        <v>156</v>
      </c>
      <c r="M2201" s="44">
        <v>0</v>
      </c>
    </row>
    <row r="2202" spans="1:13" x14ac:dyDescent="0.25">
      <c r="A2202" s="45" t="s">
        <v>3130</v>
      </c>
      <c r="B2202" s="44" t="s">
        <v>5353</v>
      </c>
      <c r="C2202" s="47">
        <v>44250</v>
      </c>
      <c r="D2202" s="44">
        <v>202112</v>
      </c>
      <c r="E2202" s="44">
        <v>157</v>
      </c>
      <c r="F2202" s="44">
        <v>157</v>
      </c>
      <c r="G2202" s="44">
        <v>157</v>
      </c>
      <c r="H2202" s="44">
        <v>157</v>
      </c>
      <c r="I2202" s="44">
        <v>1.5</v>
      </c>
      <c r="J2202" s="44">
        <v>0.96</v>
      </c>
      <c r="K2202" s="44">
        <v>0</v>
      </c>
      <c r="L2202" s="44">
        <v>157</v>
      </c>
      <c r="M2202" s="44">
        <v>0</v>
      </c>
    </row>
    <row r="2203" spans="1:13" x14ac:dyDescent="0.25">
      <c r="A2203" s="45" t="s">
        <v>1062</v>
      </c>
      <c r="B2203" s="44" t="s">
        <v>5354</v>
      </c>
      <c r="C2203" s="47">
        <v>44250</v>
      </c>
      <c r="D2203" s="44">
        <v>202103</v>
      </c>
      <c r="E2203" s="44">
        <v>94.3</v>
      </c>
      <c r="F2203" s="44">
        <v>97.2</v>
      </c>
      <c r="G2203" s="44">
        <v>92.2</v>
      </c>
      <c r="H2203" s="44">
        <v>96.8</v>
      </c>
      <c r="I2203" s="44">
        <v>4.2</v>
      </c>
      <c r="J2203" s="44">
        <v>4.54</v>
      </c>
      <c r="K2203" s="44">
        <v>693</v>
      </c>
      <c r="L2203" s="44">
        <v>96.8</v>
      </c>
      <c r="M2203" s="44">
        <v>70</v>
      </c>
    </row>
    <row r="2204" spans="1:13" x14ac:dyDescent="0.25">
      <c r="A2204" s="45" t="s">
        <v>3131</v>
      </c>
      <c r="B2204" s="44" t="s">
        <v>5355</v>
      </c>
      <c r="C2204" s="47">
        <v>44250</v>
      </c>
      <c r="D2204" s="44">
        <v>202103</v>
      </c>
      <c r="E2204" s="44">
        <v>94.3</v>
      </c>
      <c r="F2204" s="44">
        <v>97.2</v>
      </c>
      <c r="G2204" s="44">
        <v>92.2</v>
      </c>
      <c r="H2204" s="44">
        <v>96.8</v>
      </c>
      <c r="I2204" s="44">
        <v>4.2</v>
      </c>
      <c r="J2204" s="44">
        <v>4.54</v>
      </c>
      <c r="K2204" s="44">
        <v>693</v>
      </c>
      <c r="L2204" s="44">
        <v>96.8</v>
      </c>
      <c r="M2204" s="44">
        <v>70</v>
      </c>
    </row>
    <row r="2205" spans="1:13" x14ac:dyDescent="0.25">
      <c r="A2205" s="45" t="s">
        <v>3132</v>
      </c>
      <c r="B2205" s="44" t="s">
        <v>5356</v>
      </c>
      <c r="C2205" s="47">
        <v>44250</v>
      </c>
      <c r="D2205" s="44">
        <v>202104</v>
      </c>
      <c r="E2205" s="44">
        <v>97</v>
      </c>
      <c r="F2205" s="44">
        <v>97</v>
      </c>
      <c r="G2205" s="44">
        <v>97</v>
      </c>
      <c r="H2205" s="44">
        <v>97</v>
      </c>
      <c r="I2205" s="44">
        <v>4.2</v>
      </c>
      <c r="J2205" s="44">
        <v>4.53</v>
      </c>
      <c r="K2205" s="44">
        <v>0</v>
      </c>
      <c r="L2205" s="44">
        <v>97</v>
      </c>
      <c r="M2205" s="44">
        <v>1</v>
      </c>
    </row>
    <row r="2206" spans="1:13" x14ac:dyDescent="0.25">
      <c r="A2206" s="45" t="s">
        <v>3133</v>
      </c>
      <c r="B2206" s="44" t="s">
        <v>5357</v>
      </c>
      <c r="C2206" s="47">
        <v>44250</v>
      </c>
      <c r="D2206" s="44">
        <v>202104</v>
      </c>
      <c r="E2206" s="44">
        <v>97</v>
      </c>
      <c r="F2206" s="44">
        <v>97</v>
      </c>
      <c r="G2206" s="44">
        <v>97</v>
      </c>
      <c r="H2206" s="44">
        <v>97</v>
      </c>
      <c r="I2206" s="44">
        <v>4.2</v>
      </c>
      <c r="J2206" s="44">
        <v>4.53</v>
      </c>
      <c r="K2206" s="44">
        <v>0</v>
      </c>
      <c r="L2206" s="44">
        <v>97</v>
      </c>
      <c r="M2206" s="44">
        <v>1</v>
      </c>
    </row>
    <row r="2207" spans="1:13" x14ac:dyDescent="0.25">
      <c r="A2207" s="45" t="s">
        <v>3134</v>
      </c>
      <c r="C2207" s="47"/>
    </row>
    <row r="2208" spans="1:13" x14ac:dyDescent="0.25">
      <c r="A2208" s="45" t="s">
        <v>3135</v>
      </c>
      <c r="C2208" s="47"/>
    </row>
    <row r="2209" spans="1:13" x14ac:dyDescent="0.25">
      <c r="A2209" s="45" t="s">
        <v>3136</v>
      </c>
      <c r="C2209" s="47"/>
    </row>
    <row r="2210" spans="1:13" x14ac:dyDescent="0.25">
      <c r="A2210" s="45" t="s">
        <v>3137</v>
      </c>
      <c r="B2210" s="44" t="s">
        <v>5358</v>
      </c>
      <c r="C2210" s="47">
        <v>44250</v>
      </c>
      <c r="D2210" s="44">
        <v>202103</v>
      </c>
      <c r="E2210" s="44">
        <v>94.3</v>
      </c>
      <c r="F2210" s="44">
        <v>97.2</v>
      </c>
      <c r="G2210" s="44">
        <v>92.2</v>
      </c>
      <c r="H2210" s="44">
        <v>96.8</v>
      </c>
      <c r="I2210" s="44">
        <v>4.2</v>
      </c>
      <c r="J2210" s="44">
        <v>4.54</v>
      </c>
      <c r="K2210" s="44">
        <v>693</v>
      </c>
      <c r="L2210" s="44">
        <v>96.8</v>
      </c>
      <c r="M2210" s="44">
        <v>70</v>
      </c>
    </row>
    <row r="2211" spans="1:13" x14ac:dyDescent="0.25">
      <c r="A2211" s="45" t="s">
        <v>3138</v>
      </c>
      <c r="B2211" s="44" t="s">
        <v>5359</v>
      </c>
      <c r="C2211" s="47">
        <v>44250</v>
      </c>
      <c r="D2211" s="44">
        <v>202106</v>
      </c>
      <c r="E2211" s="44">
        <v>96.8</v>
      </c>
      <c r="F2211" s="44">
        <v>96.8</v>
      </c>
      <c r="G2211" s="44">
        <v>96.8</v>
      </c>
      <c r="H2211" s="44">
        <v>96.8</v>
      </c>
      <c r="I2211" s="44">
        <v>4.2</v>
      </c>
      <c r="J2211" s="44">
        <v>4.54</v>
      </c>
      <c r="K2211" s="44">
        <v>0</v>
      </c>
      <c r="L2211" s="44">
        <v>96.8</v>
      </c>
      <c r="M2211" s="44">
        <v>2</v>
      </c>
    </row>
    <row r="2212" spans="1:13" x14ac:dyDescent="0.25">
      <c r="A2212" s="45" t="s">
        <v>3139</v>
      </c>
      <c r="B2212" s="44" t="s">
        <v>5360</v>
      </c>
      <c r="C2212" s="47">
        <v>44250</v>
      </c>
      <c r="D2212" s="44">
        <v>202109</v>
      </c>
      <c r="E2212" s="44">
        <v>97.2</v>
      </c>
      <c r="F2212" s="44">
        <v>97.2</v>
      </c>
      <c r="G2212" s="44">
        <v>97.2</v>
      </c>
      <c r="H2212" s="44">
        <v>97.2</v>
      </c>
      <c r="I2212" s="44">
        <v>4.2</v>
      </c>
      <c r="J2212" s="44">
        <v>4.5199999999999996</v>
      </c>
      <c r="K2212" s="44">
        <v>0</v>
      </c>
      <c r="L2212" s="44">
        <v>97.2</v>
      </c>
      <c r="M2212" s="44">
        <v>0</v>
      </c>
    </row>
    <row r="2213" spans="1:13" x14ac:dyDescent="0.25">
      <c r="A2213" s="45" t="s">
        <v>3140</v>
      </c>
      <c r="B2213" s="44" t="s">
        <v>5361</v>
      </c>
      <c r="C2213" s="47">
        <v>44250</v>
      </c>
      <c r="D2213" s="44">
        <v>202112</v>
      </c>
      <c r="E2213" s="44">
        <v>97.1</v>
      </c>
      <c r="F2213" s="44">
        <v>97.1</v>
      </c>
      <c r="G2213" s="44">
        <v>97.1</v>
      </c>
      <c r="H2213" s="44">
        <v>97.1</v>
      </c>
      <c r="I2213" s="44">
        <v>4.2</v>
      </c>
      <c r="J2213" s="44">
        <v>4.5199999999999996</v>
      </c>
      <c r="K2213" s="44">
        <v>0</v>
      </c>
      <c r="L2213" s="44">
        <v>97.1</v>
      </c>
      <c r="M2213" s="44">
        <v>0</v>
      </c>
    </row>
    <row r="2214" spans="1:13" x14ac:dyDescent="0.25">
      <c r="A2214" s="45" t="s">
        <v>1103</v>
      </c>
      <c r="B2214" s="44" t="s">
        <v>5362</v>
      </c>
      <c r="C2214" s="47">
        <v>44250</v>
      </c>
      <c r="D2214" s="44">
        <v>202103</v>
      </c>
      <c r="E2214" s="44">
        <v>61.8</v>
      </c>
      <c r="F2214" s="44">
        <v>62.9</v>
      </c>
      <c r="G2214" s="44">
        <v>60.4</v>
      </c>
      <c r="H2214" s="44">
        <v>60.8</v>
      </c>
      <c r="I2214" s="44">
        <v>-1</v>
      </c>
      <c r="J2214" s="44">
        <v>-1.62</v>
      </c>
      <c r="K2214" s="44">
        <v>235</v>
      </c>
      <c r="L2214" s="44">
        <v>60.8</v>
      </c>
      <c r="M2214" s="44">
        <v>1068</v>
      </c>
    </row>
    <row r="2215" spans="1:13" x14ac:dyDescent="0.25">
      <c r="A2215" s="45" t="s">
        <v>3141</v>
      </c>
      <c r="B2215" s="44" t="s">
        <v>5363</v>
      </c>
      <c r="C2215" s="47">
        <v>44250</v>
      </c>
      <c r="D2215" s="44">
        <v>202103</v>
      </c>
      <c r="E2215" s="44">
        <v>61.8</v>
      </c>
      <c r="F2215" s="44">
        <v>62.9</v>
      </c>
      <c r="G2215" s="44">
        <v>60.4</v>
      </c>
      <c r="H2215" s="44">
        <v>60.8</v>
      </c>
      <c r="I2215" s="44">
        <v>-1</v>
      </c>
      <c r="J2215" s="44">
        <v>-1.62</v>
      </c>
      <c r="K2215" s="44">
        <v>235</v>
      </c>
      <c r="L2215" s="44">
        <v>60.8</v>
      </c>
      <c r="M2215" s="44">
        <v>1068</v>
      </c>
    </row>
    <row r="2216" spans="1:13" x14ac:dyDescent="0.25">
      <c r="A2216" s="45" t="s">
        <v>3142</v>
      </c>
      <c r="B2216" s="44" t="s">
        <v>5364</v>
      </c>
      <c r="C2216" s="47">
        <v>44250</v>
      </c>
      <c r="D2216" s="44">
        <v>202104</v>
      </c>
      <c r="E2216" s="44">
        <v>61.3</v>
      </c>
      <c r="F2216" s="44">
        <v>62.9</v>
      </c>
      <c r="G2216" s="44">
        <v>60.6</v>
      </c>
      <c r="H2216" s="44">
        <v>60.6</v>
      </c>
      <c r="I2216" s="44">
        <v>-1.1000000000000001</v>
      </c>
      <c r="J2216" s="44">
        <v>-1.78</v>
      </c>
      <c r="K2216" s="44">
        <v>13</v>
      </c>
      <c r="L2216" s="44">
        <v>60.6</v>
      </c>
      <c r="M2216" s="44">
        <v>13</v>
      </c>
    </row>
    <row r="2217" spans="1:13" x14ac:dyDescent="0.25">
      <c r="A2217" s="45" t="s">
        <v>3143</v>
      </c>
      <c r="B2217" s="44" t="s">
        <v>5365</v>
      </c>
      <c r="C2217" s="47">
        <v>44250</v>
      </c>
      <c r="D2217" s="44">
        <v>202104</v>
      </c>
      <c r="E2217" s="44">
        <v>61.3</v>
      </c>
      <c r="F2217" s="44">
        <v>62.9</v>
      </c>
      <c r="G2217" s="44">
        <v>60.6</v>
      </c>
      <c r="H2217" s="44">
        <v>60.6</v>
      </c>
      <c r="I2217" s="44">
        <v>-1.1000000000000001</v>
      </c>
      <c r="J2217" s="44">
        <v>-1.78</v>
      </c>
      <c r="K2217" s="44">
        <v>13</v>
      </c>
      <c r="L2217" s="44">
        <v>60.6</v>
      </c>
      <c r="M2217" s="44">
        <v>13</v>
      </c>
    </row>
    <row r="2218" spans="1:13" x14ac:dyDescent="0.25">
      <c r="A2218" s="45" t="s">
        <v>3144</v>
      </c>
      <c r="C2218" s="47"/>
    </row>
    <row r="2219" spans="1:13" x14ac:dyDescent="0.25">
      <c r="A2219" s="45" t="s">
        <v>3145</v>
      </c>
      <c r="C2219" s="47"/>
    </row>
    <row r="2220" spans="1:13" x14ac:dyDescent="0.25">
      <c r="A2220" s="45" t="s">
        <v>3146</v>
      </c>
      <c r="B2220" s="44" t="s">
        <v>5366</v>
      </c>
      <c r="C2220" s="47">
        <v>44250</v>
      </c>
      <c r="D2220" s="44">
        <v>202103</v>
      </c>
      <c r="E2220" s="44">
        <v>61.8</v>
      </c>
      <c r="F2220" s="44">
        <v>62.9</v>
      </c>
      <c r="G2220" s="44">
        <v>60.4</v>
      </c>
      <c r="H2220" s="44">
        <v>60.8</v>
      </c>
      <c r="I2220" s="44">
        <v>-1</v>
      </c>
      <c r="J2220" s="44">
        <v>-1.62</v>
      </c>
      <c r="K2220" s="44">
        <v>235</v>
      </c>
      <c r="L2220" s="44">
        <v>60.8</v>
      </c>
      <c r="M2220" s="44">
        <v>1068</v>
      </c>
    </row>
    <row r="2221" spans="1:13" x14ac:dyDescent="0.25">
      <c r="A2221" s="45" t="s">
        <v>3147</v>
      </c>
      <c r="B2221" s="44" t="s">
        <v>5367</v>
      </c>
      <c r="C2221" s="47">
        <v>44250</v>
      </c>
      <c r="D2221" s="44">
        <v>202106</v>
      </c>
      <c r="E2221" s="44">
        <v>60.1</v>
      </c>
      <c r="F2221" s="44">
        <v>60.1</v>
      </c>
      <c r="G2221" s="44">
        <v>60.1</v>
      </c>
      <c r="H2221" s="44">
        <v>60.1</v>
      </c>
      <c r="I2221" s="44">
        <v>-1</v>
      </c>
      <c r="J2221" s="44">
        <v>-1.64</v>
      </c>
      <c r="K2221" s="44">
        <v>0</v>
      </c>
      <c r="L2221" s="44">
        <v>60.1</v>
      </c>
      <c r="M2221" s="44">
        <v>1</v>
      </c>
    </row>
    <row r="2222" spans="1:13" x14ac:dyDescent="0.25">
      <c r="A2222" s="45" t="s">
        <v>3148</v>
      </c>
      <c r="B2222" s="44" t="s">
        <v>5368</v>
      </c>
      <c r="C2222" s="47">
        <v>44250</v>
      </c>
      <c r="D2222" s="44">
        <v>202109</v>
      </c>
      <c r="E2222" s="44">
        <v>60.2</v>
      </c>
      <c r="F2222" s="44">
        <v>60.2</v>
      </c>
      <c r="G2222" s="44">
        <v>60.2</v>
      </c>
      <c r="H2222" s="44">
        <v>60.2</v>
      </c>
      <c r="I2222" s="44">
        <v>-1</v>
      </c>
      <c r="J2222" s="44">
        <v>-1.63</v>
      </c>
      <c r="K2222" s="44">
        <v>0</v>
      </c>
      <c r="L2222" s="44">
        <v>60.2</v>
      </c>
      <c r="M2222" s="44">
        <v>0</v>
      </c>
    </row>
    <row r="2223" spans="1:13" x14ac:dyDescent="0.25">
      <c r="A2223" s="45" t="s">
        <v>3149</v>
      </c>
      <c r="B2223" s="44" t="s">
        <v>5369</v>
      </c>
      <c r="C2223" s="47">
        <v>44250</v>
      </c>
      <c r="D2223" s="44">
        <v>202112</v>
      </c>
      <c r="E2223" s="44">
        <v>60.1</v>
      </c>
      <c r="F2223" s="44">
        <v>60.1</v>
      </c>
      <c r="G2223" s="44">
        <v>60.1</v>
      </c>
      <c r="H2223" s="44">
        <v>60.1</v>
      </c>
      <c r="I2223" s="44">
        <v>-1</v>
      </c>
      <c r="J2223" s="44">
        <v>-1.64</v>
      </c>
      <c r="K2223" s="44">
        <v>0</v>
      </c>
      <c r="L2223" s="44">
        <v>60.1</v>
      </c>
      <c r="M2223" s="44">
        <v>0</v>
      </c>
    </row>
    <row r="2224" spans="1:13" x14ac:dyDescent="0.25">
      <c r="A2224" s="45" t="s">
        <v>1100</v>
      </c>
      <c r="B2224" s="44" t="s">
        <v>5370</v>
      </c>
      <c r="C2224" s="47">
        <v>44250</v>
      </c>
      <c r="D2224" s="44">
        <v>202103</v>
      </c>
      <c r="E2224" s="44">
        <v>171</v>
      </c>
      <c r="F2224" s="44">
        <v>171</v>
      </c>
      <c r="G2224" s="44">
        <v>166</v>
      </c>
      <c r="H2224" s="44">
        <v>168.5</v>
      </c>
      <c r="I2224" s="44">
        <v>-3.5</v>
      </c>
      <c r="J2224" s="44">
        <v>-2.0299999999999998</v>
      </c>
      <c r="K2224" s="44">
        <v>192</v>
      </c>
      <c r="L2224" s="44">
        <v>168.5</v>
      </c>
      <c r="M2224" s="44">
        <v>554</v>
      </c>
    </row>
    <row r="2225" spans="1:13" x14ac:dyDescent="0.25">
      <c r="A2225" s="45" t="s">
        <v>3150</v>
      </c>
      <c r="B2225" s="44" t="s">
        <v>5371</v>
      </c>
      <c r="C2225" s="47">
        <v>44250</v>
      </c>
      <c r="D2225" s="44">
        <v>202103</v>
      </c>
      <c r="E2225" s="44">
        <v>171</v>
      </c>
      <c r="F2225" s="44">
        <v>171</v>
      </c>
      <c r="G2225" s="44">
        <v>166</v>
      </c>
      <c r="H2225" s="44">
        <v>168.5</v>
      </c>
      <c r="I2225" s="44">
        <v>-3.5</v>
      </c>
      <c r="J2225" s="44">
        <v>-2.0299999999999998</v>
      </c>
      <c r="K2225" s="44">
        <v>192</v>
      </c>
      <c r="L2225" s="44">
        <v>168.5</v>
      </c>
      <c r="M2225" s="44">
        <v>554</v>
      </c>
    </row>
    <row r="2226" spans="1:13" x14ac:dyDescent="0.25">
      <c r="A2226" s="45" t="s">
        <v>3151</v>
      </c>
      <c r="B2226" s="44" t="s">
        <v>5372</v>
      </c>
      <c r="C2226" s="47">
        <v>44250</v>
      </c>
      <c r="D2226" s="44">
        <v>202104</v>
      </c>
      <c r="E2226" s="44">
        <v>167.5</v>
      </c>
      <c r="F2226" s="44">
        <v>168</v>
      </c>
      <c r="G2226" s="44">
        <v>167</v>
      </c>
      <c r="H2226" s="44">
        <v>168</v>
      </c>
      <c r="I2226" s="44">
        <v>-3.5</v>
      </c>
      <c r="J2226" s="44">
        <v>-2.04</v>
      </c>
      <c r="K2226" s="44">
        <v>3</v>
      </c>
      <c r="L2226" s="44">
        <v>168</v>
      </c>
      <c r="M2226" s="44">
        <v>2</v>
      </c>
    </row>
    <row r="2227" spans="1:13" x14ac:dyDescent="0.25">
      <c r="A2227" s="45" t="s">
        <v>3152</v>
      </c>
      <c r="B2227" s="44" t="s">
        <v>5373</v>
      </c>
      <c r="C2227" s="47">
        <v>44250</v>
      </c>
      <c r="D2227" s="44">
        <v>202104</v>
      </c>
      <c r="E2227" s="44">
        <v>167.5</v>
      </c>
      <c r="F2227" s="44">
        <v>168</v>
      </c>
      <c r="G2227" s="44">
        <v>167</v>
      </c>
      <c r="H2227" s="44">
        <v>168</v>
      </c>
      <c r="I2227" s="44">
        <v>-3.5</v>
      </c>
      <c r="J2227" s="44">
        <v>-2.04</v>
      </c>
      <c r="K2227" s="44">
        <v>3</v>
      </c>
      <c r="L2227" s="44">
        <v>168</v>
      </c>
      <c r="M2227" s="44">
        <v>2</v>
      </c>
    </row>
    <row r="2228" spans="1:13" x14ac:dyDescent="0.25">
      <c r="A2228" s="45" t="s">
        <v>3153</v>
      </c>
      <c r="C2228" s="47"/>
    </row>
    <row r="2229" spans="1:13" x14ac:dyDescent="0.25">
      <c r="A2229" s="45" t="s">
        <v>3154</v>
      </c>
      <c r="C2229" s="47"/>
    </row>
    <row r="2230" spans="1:13" x14ac:dyDescent="0.25">
      <c r="A2230" s="45" t="s">
        <v>3155</v>
      </c>
      <c r="B2230" s="44" t="s">
        <v>5374</v>
      </c>
      <c r="C2230" s="47">
        <v>44250</v>
      </c>
      <c r="D2230" s="44">
        <v>202103</v>
      </c>
      <c r="E2230" s="44">
        <v>171</v>
      </c>
      <c r="F2230" s="44">
        <v>171</v>
      </c>
      <c r="G2230" s="44">
        <v>166</v>
      </c>
      <c r="H2230" s="44">
        <v>168.5</v>
      </c>
      <c r="I2230" s="44">
        <v>-3.5</v>
      </c>
      <c r="J2230" s="44">
        <v>-2.0299999999999998</v>
      </c>
      <c r="K2230" s="44">
        <v>192</v>
      </c>
      <c r="L2230" s="44">
        <v>168.5</v>
      </c>
      <c r="M2230" s="44">
        <v>554</v>
      </c>
    </row>
    <row r="2231" spans="1:13" x14ac:dyDescent="0.25">
      <c r="A2231" s="45" t="s">
        <v>3156</v>
      </c>
      <c r="B2231" s="44" t="s">
        <v>5375</v>
      </c>
      <c r="C2231" s="47">
        <v>44250</v>
      </c>
      <c r="D2231" s="44">
        <v>202106</v>
      </c>
      <c r="E2231" s="44">
        <v>167.5</v>
      </c>
      <c r="F2231" s="44">
        <v>167.5</v>
      </c>
      <c r="G2231" s="44">
        <v>167.5</v>
      </c>
      <c r="H2231" s="44">
        <v>167.5</v>
      </c>
      <c r="I2231" s="44">
        <v>-3.5</v>
      </c>
      <c r="J2231" s="44">
        <v>-2.0499999999999998</v>
      </c>
      <c r="K2231" s="44">
        <v>0</v>
      </c>
      <c r="L2231" s="44">
        <v>167.5</v>
      </c>
      <c r="M2231" s="44">
        <v>2</v>
      </c>
    </row>
    <row r="2232" spans="1:13" x14ac:dyDescent="0.25">
      <c r="A2232" s="45" t="s">
        <v>3157</v>
      </c>
      <c r="B2232" s="44" t="s">
        <v>5376</v>
      </c>
      <c r="C2232" s="47">
        <v>44250</v>
      </c>
      <c r="D2232" s="44">
        <v>202109</v>
      </c>
      <c r="E2232" s="44">
        <v>167</v>
      </c>
      <c r="F2232" s="44">
        <v>167</v>
      </c>
      <c r="G2232" s="44">
        <v>167</v>
      </c>
      <c r="H2232" s="44">
        <v>167</v>
      </c>
      <c r="I2232" s="44">
        <v>-3.5</v>
      </c>
      <c r="J2232" s="44">
        <v>-2.0499999999999998</v>
      </c>
      <c r="K2232" s="44">
        <v>0</v>
      </c>
      <c r="L2232" s="44">
        <v>167</v>
      </c>
      <c r="M2232" s="44">
        <v>0</v>
      </c>
    </row>
    <row r="2233" spans="1:13" x14ac:dyDescent="0.25">
      <c r="A2233" s="45" t="s">
        <v>3158</v>
      </c>
      <c r="B2233" s="44" t="s">
        <v>5377</v>
      </c>
      <c r="C2233" s="47">
        <v>44250</v>
      </c>
      <c r="D2233" s="44">
        <v>202112</v>
      </c>
      <c r="E2233" s="44">
        <v>168</v>
      </c>
      <c r="F2233" s="44">
        <v>168</v>
      </c>
      <c r="G2233" s="44">
        <v>168</v>
      </c>
      <c r="H2233" s="44">
        <v>168</v>
      </c>
      <c r="I2233" s="44">
        <v>-3.5</v>
      </c>
      <c r="J2233" s="44">
        <v>-2.04</v>
      </c>
      <c r="K2233" s="44">
        <v>0</v>
      </c>
      <c r="L2233" s="44">
        <v>168</v>
      </c>
      <c r="M2233" s="44">
        <v>0</v>
      </c>
    </row>
    <row r="2234" spans="1:13" x14ac:dyDescent="0.25">
      <c r="A2234" s="45" t="s">
        <v>1043</v>
      </c>
      <c r="B2234" s="44" t="s">
        <v>5378</v>
      </c>
      <c r="C2234" s="47">
        <v>44250</v>
      </c>
      <c r="D2234" s="44">
        <v>202103</v>
      </c>
      <c r="E2234" s="44">
        <v>30.25</v>
      </c>
      <c r="F2234" s="44">
        <v>31.5</v>
      </c>
      <c r="G2234" s="44">
        <v>30.25</v>
      </c>
      <c r="H2234" s="44">
        <v>31.25</v>
      </c>
      <c r="I2234" s="44">
        <v>1</v>
      </c>
      <c r="J2234" s="44">
        <v>3.31</v>
      </c>
      <c r="K2234" s="44">
        <v>61</v>
      </c>
      <c r="L2234" s="44">
        <v>31.25</v>
      </c>
      <c r="M2234" s="44">
        <v>133</v>
      </c>
    </row>
    <row r="2235" spans="1:13" x14ac:dyDescent="0.25">
      <c r="A2235" s="45" t="s">
        <v>3159</v>
      </c>
      <c r="B2235" s="44" t="s">
        <v>5379</v>
      </c>
      <c r="C2235" s="47">
        <v>44250</v>
      </c>
      <c r="D2235" s="44">
        <v>202103</v>
      </c>
      <c r="E2235" s="44">
        <v>30.25</v>
      </c>
      <c r="F2235" s="44">
        <v>31.5</v>
      </c>
      <c r="G2235" s="44">
        <v>30.25</v>
      </c>
      <c r="H2235" s="44">
        <v>31.25</v>
      </c>
      <c r="I2235" s="44">
        <v>1</v>
      </c>
      <c r="J2235" s="44">
        <v>3.31</v>
      </c>
      <c r="K2235" s="44">
        <v>61</v>
      </c>
      <c r="L2235" s="44">
        <v>31.25</v>
      </c>
      <c r="M2235" s="44">
        <v>133</v>
      </c>
    </row>
    <row r="2236" spans="1:13" x14ac:dyDescent="0.25">
      <c r="A2236" s="45" t="s">
        <v>3160</v>
      </c>
      <c r="B2236" s="44" t="s">
        <v>5380</v>
      </c>
      <c r="C2236" s="47">
        <v>44250</v>
      </c>
      <c r="D2236" s="44">
        <v>202104</v>
      </c>
      <c r="E2236" s="44">
        <v>31.05</v>
      </c>
      <c r="F2236" s="44">
        <v>31.05</v>
      </c>
      <c r="G2236" s="44">
        <v>31.05</v>
      </c>
      <c r="H2236" s="44">
        <v>31.05</v>
      </c>
      <c r="I2236" s="44">
        <v>0.65</v>
      </c>
      <c r="J2236" s="44">
        <v>2.14</v>
      </c>
      <c r="K2236" s="44">
        <v>2</v>
      </c>
      <c r="L2236" s="44">
        <v>31.05</v>
      </c>
      <c r="M2236" s="44">
        <v>9</v>
      </c>
    </row>
    <row r="2237" spans="1:13" x14ac:dyDescent="0.25">
      <c r="A2237" s="45" t="s">
        <v>3161</v>
      </c>
      <c r="B2237" s="44" t="s">
        <v>5381</v>
      </c>
      <c r="C2237" s="47">
        <v>44250</v>
      </c>
      <c r="D2237" s="44">
        <v>202104</v>
      </c>
      <c r="E2237" s="44">
        <v>31.05</v>
      </c>
      <c r="F2237" s="44">
        <v>31.05</v>
      </c>
      <c r="G2237" s="44">
        <v>31.05</v>
      </c>
      <c r="H2237" s="44">
        <v>31.05</v>
      </c>
      <c r="I2237" s="44">
        <v>0.65</v>
      </c>
      <c r="J2237" s="44">
        <v>2.14</v>
      </c>
      <c r="K2237" s="44">
        <v>2</v>
      </c>
      <c r="L2237" s="44">
        <v>31.05</v>
      </c>
      <c r="M2237" s="44">
        <v>9</v>
      </c>
    </row>
    <row r="2238" spans="1:13" x14ac:dyDescent="0.25">
      <c r="A2238" s="45" t="s">
        <v>3162</v>
      </c>
      <c r="C2238" s="47"/>
    </row>
    <row r="2239" spans="1:13" x14ac:dyDescent="0.25">
      <c r="A2239" s="45" t="s">
        <v>3163</v>
      </c>
      <c r="C2239" s="47"/>
    </row>
    <row r="2240" spans="1:13" x14ac:dyDescent="0.25">
      <c r="A2240" s="45" t="s">
        <v>3164</v>
      </c>
      <c r="B2240" s="44" t="s">
        <v>5382</v>
      </c>
      <c r="C2240" s="47">
        <v>44250</v>
      </c>
      <c r="D2240" s="44">
        <v>202103</v>
      </c>
      <c r="E2240" s="44">
        <v>30.25</v>
      </c>
      <c r="F2240" s="44">
        <v>31.5</v>
      </c>
      <c r="G2240" s="44">
        <v>30.25</v>
      </c>
      <c r="H2240" s="44">
        <v>31.25</v>
      </c>
      <c r="I2240" s="44">
        <v>1</v>
      </c>
      <c r="J2240" s="44">
        <v>3.31</v>
      </c>
      <c r="K2240" s="44">
        <v>61</v>
      </c>
      <c r="L2240" s="44">
        <v>31.25</v>
      </c>
      <c r="M2240" s="44">
        <v>133</v>
      </c>
    </row>
    <row r="2241" spans="1:13" x14ac:dyDescent="0.25">
      <c r="A2241" s="45" t="s">
        <v>3165</v>
      </c>
      <c r="B2241" s="44" t="s">
        <v>5383</v>
      </c>
      <c r="C2241" s="47">
        <v>44250</v>
      </c>
      <c r="D2241" s="44">
        <v>202106</v>
      </c>
      <c r="E2241" s="44">
        <v>31.1</v>
      </c>
      <c r="F2241" s="44">
        <v>31.1</v>
      </c>
      <c r="G2241" s="44">
        <v>31.1</v>
      </c>
      <c r="H2241" s="44">
        <v>31.1</v>
      </c>
      <c r="I2241" s="44">
        <v>1</v>
      </c>
      <c r="J2241" s="44">
        <v>3.32</v>
      </c>
      <c r="K2241" s="44">
        <v>0</v>
      </c>
      <c r="L2241" s="44">
        <v>31.1</v>
      </c>
      <c r="M2241" s="44">
        <v>4</v>
      </c>
    </row>
    <row r="2242" spans="1:13" x14ac:dyDescent="0.25">
      <c r="A2242" s="45" t="s">
        <v>3166</v>
      </c>
      <c r="B2242" s="44" t="s">
        <v>5384</v>
      </c>
      <c r="C2242" s="47">
        <v>44250</v>
      </c>
      <c r="D2242" s="44">
        <v>202109</v>
      </c>
      <c r="E2242" s="44">
        <v>31</v>
      </c>
      <c r="F2242" s="44">
        <v>31</v>
      </c>
      <c r="G2242" s="44">
        <v>31</v>
      </c>
      <c r="H2242" s="44">
        <v>31</v>
      </c>
      <c r="I2242" s="44">
        <v>1</v>
      </c>
      <c r="J2242" s="44">
        <v>3.33</v>
      </c>
      <c r="K2242" s="44">
        <v>0</v>
      </c>
      <c r="L2242" s="44">
        <v>31</v>
      </c>
      <c r="M2242" s="44">
        <v>3</v>
      </c>
    </row>
    <row r="2243" spans="1:13" x14ac:dyDescent="0.25">
      <c r="A2243" s="45" t="s">
        <v>3167</v>
      </c>
      <c r="B2243" s="44" t="s">
        <v>5385</v>
      </c>
      <c r="C2243" s="47">
        <v>44250</v>
      </c>
      <c r="D2243" s="44">
        <v>202112</v>
      </c>
      <c r="E2243" s="44">
        <v>31.35</v>
      </c>
      <c r="F2243" s="44">
        <v>31.35</v>
      </c>
      <c r="G2243" s="44">
        <v>31.35</v>
      </c>
      <c r="H2243" s="44">
        <v>31.35</v>
      </c>
      <c r="I2243" s="44">
        <v>1</v>
      </c>
      <c r="J2243" s="44">
        <v>3.29</v>
      </c>
      <c r="K2243" s="44">
        <v>0</v>
      </c>
      <c r="L2243" s="44">
        <v>31.35</v>
      </c>
      <c r="M2243" s="44">
        <v>0</v>
      </c>
    </row>
    <row r="2244" spans="1:13" x14ac:dyDescent="0.25">
      <c r="A2244" s="45" t="s">
        <v>1025</v>
      </c>
      <c r="B2244" s="44" t="s">
        <v>5386</v>
      </c>
      <c r="C2244" s="47">
        <v>44250</v>
      </c>
      <c r="D2244" s="44">
        <v>202103</v>
      </c>
      <c r="E2244" s="44">
        <v>222.5</v>
      </c>
      <c r="F2244" s="44">
        <v>223.5</v>
      </c>
      <c r="G2244" s="44">
        <v>218.5</v>
      </c>
      <c r="H2244" s="44">
        <v>220</v>
      </c>
      <c r="I2244" s="44">
        <v>-4</v>
      </c>
      <c r="J2244" s="44">
        <v>-1.79</v>
      </c>
      <c r="K2244" s="44">
        <v>39</v>
      </c>
      <c r="L2244" s="44">
        <v>220</v>
      </c>
      <c r="M2244" s="44">
        <v>291</v>
      </c>
    </row>
    <row r="2245" spans="1:13" x14ac:dyDescent="0.25">
      <c r="A2245" s="45" t="s">
        <v>3168</v>
      </c>
      <c r="B2245" s="44" t="s">
        <v>5387</v>
      </c>
      <c r="C2245" s="47">
        <v>44250</v>
      </c>
      <c r="D2245" s="44">
        <v>202103</v>
      </c>
      <c r="E2245" s="44">
        <v>222.5</v>
      </c>
      <c r="F2245" s="44">
        <v>223.5</v>
      </c>
      <c r="G2245" s="44">
        <v>218.5</v>
      </c>
      <c r="H2245" s="44">
        <v>220</v>
      </c>
      <c r="I2245" s="44">
        <v>-4</v>
      </c>
      <c r="J2245" s="44">
        <v>-1.79</v>
      </c>
      <c r="K2245" s="44">
        <v>39</v>
      </c>
      <c r="L2245" s="44">
        <v>220</v>
      </c>
      <c r="M2245" s="44">
        <v>291</v>
      </c>
    </row>
    <row r="2246" spans="1:13" x14ac:dyDescent="0.25">
      <c r="A2246" s="45" t="s">
        <v>3169</v>
      </c>
      <c r="B2246" s="44" t="s">
        <v>5388</v>
      </c>
      <c r="C2246" s="47">
        <v>44250</v>
      </c>
      <c r="D2246" s="44">
        <v>202104</v>
      </c>
      <c r="E2246" s="44">
        <v>220.5</v>
      </c>
      <c r="F2246" s="44">
        <v>222</v>
      </c>
      <c r="G2246" s="44">
        <v>218.5</v>
      </c>
      <c r="H2246" s="44">
        <v>218.5</v>
      </c>
      <c r="I2246" s="44">
        <v>-6</v>
      </c>
      <c r="J2246" s="44">
        <v>-2.67</v>
      </c>
      <c r="K2246" s="44">
        <v>6</v>
      </c>
      <c r="L2246" s="44">
        <v>218.5</v>
      </c>
      <c r="M2246" s="44">
        <v>9</v>
      </c>
    </row>
    <row r="2247" spans="1:13" x14ac:dyDescent="0.25">
      <c r="A2247" s="45" t="s">
        <v>3170</v>
      </c>
      <c r="B2247" s="44" t="s">
        <v>5389</v>
      </c>
      <c r="C2247" s="47">
        <v>44250</v>
      </c>
      <c r="D2247" s="44">
        <v>202104</v>
      </c>
      <c r="E2247" s="44">
        <v>220.5</v>
      </c>
      <c r="F2247" s="44">
        <v>222</v>
      </c>
      <c r="G2247" s="44">
        <v>218.5</v>
      </c>
      <c r="H2247" s="44">
        <v>218.5</v>
      </c>
      <c r="I2247" s="44">
        <v>-6</v>
      </c>
      <c r="J2247" s="44">
        <v>-2.67</v>
      </c>
      <c r="K2247" s="44">
        <v>6</v>
      </c>
      <c r="L2247" s="44">
        <v>218.5</v>
      </c>
      <c r="M2247" s="44">
        <v>9</v>
      </c>
    </row>
    <row r="2248" spans="1:13" x14ac:dyDescent="0.25">
      <c r="A2248" s="45" t="s">
        <v>3171</v>
      </c>
      <c r="C2248" s="47"/>
    </row>
    <row r="2249" spans="1:13" x14ac:dyDescent="0.25">
      <c r="A2249" s="45" t="s">
        <v>3172</v>
      </c>
      <c r="C2249" s="47"/>
    </row>
    <row r="2250" spans="1:13" x14ac:dyDescent="0.25">
      <c r="A2250" s="45" t="s">
        <v>3173</v>
      </c>
      <c r="B2250" s="44" t="s">
        <v>5390</v>
      </c>
      <c r="C2250" s="47">
        <v>44250</v>
      </c>
      <c r="D2250" s="44">
        <v>202103</v>
      </c>
      <c r="E2250" s="44">
        <v>222.5</v>
      </c>
      <c r="F2250" s="44">
        <v>223.5</v>
      </c>
      <c r="G2250" s="44">
        <v>218.5</v>
      </c>
      <c r="H2250" s="44">
        <v>220</v>
      </c>
      <c r="I2250" s="44">
        <v>-4</v>
      </c>
      <c r="J2250" s="44">
        <v>-1.79</v>
      </c>
      <c r="K2250" s="44">
        <v>39</v>
      </c>
      <c r="L2250" s="44">
        <v>220</v>
      </c>
      <c r="M2250" s="44">
        <v>291</v>
      </c>
    </row>
    <row r="2251" spans="1:13" x14ac:dyDescent="0.25">
      <c r="A2251" s="45" t="s">
        <v>3174</v>
      </c>
      <c r="B2251" s="44" t="s">
        <v>5391</v>
      </c>
      <c r="C2251" s="47">
        <v>44250</v>
      </c>
      <c r="D2251" s="44">
        <v>202106</v>
      </c>
      <c r="E2251" s="44">
        <v>219.5</v>
      </c>
      <c r="F2251" s="44">
        <v>219.5</v>
      </c>
      <c r="G2251" s="44">
        <v>219.5</v>
      </c>
      <c r="H2251" s="44">
        <v>219.5</v>
      </c>
      <c r="I2251" s="44">
        <v>-4</v>
      </c>
      <c r="J2251" s="44">
        <v>-1.79</v>
      </c>
      <c r="K2251" s="44">
        <v>0</v>
      </c>
      <c r="L2251" s="44">
        <v>219.5</v>
      </c>
      <c r="M2251" s="44">
        <v>0</v>
      </c>
    </row>
    <row r="2252" spans="1:13" x14ac:dyDescent="0.25">
      <c r="A2252" s="45" t="s">
        <v>3175</v>
      </c>
      <c r="B2252" s="44" t="s">
        <v>5392</v>
      </c>
      <c r="C2252" s="47">
        <v>44250</v>
      </c>
      <c r="D2252" s="44">
        <v>202109</v>
      </c>
      <c r="E2252" s="44">
        <v>220</v>
      </c>
      <c r="F2252" s="44">
        <v>220</v>
      </c>
      <c r="G2252" s="44">
        <v>220</v>
      </c>
      <c r="H2252" s="44">
        <v>220</v>
      </c>
      <c r="I2252" s="44">
        <v>-4</v>
      </c>
      <c r="J2252" s="44">
        <v>-1.79</v>
      </c>
      <c r="K2252" s="44">
        <v>0</v>
      </c>
      <c r="L2252" s="44">
        <v>220</v>
      </c>
      <c r="M2252" s="44">
        <v>0</v>
      </c>
    </row>
    <row r="2253" spans="1:13" x14ac:dyDescent="0.25">
      <c r="A2253" s="45" t="s">
        <v>3176</v>
      </c>
      <c r="B2253" s="44" t="s">
        <v>5393</v>
      </c>
      <c r="C2253" s="47">
        <v>44250</v>
      </c>
      <c r="D2253" s="44">
        <v>202112</v>
      </c>
      <c r="E2253" s="44">
        <v>220</v>
      </c>
      <c r="F2253" s="44">
        <v>220</v>
      </c>
      <c r="G2253" s="44">
        <v>220</v>
      </c>
      <c r="H2253" s="44">
        <v>220</v>
      </c>
      <c r="I2253" s="44">
        <v>-4</v>
      </c>
      <c r="J2253" s="44">
        <v>-1.79</v>
      </c>
      <c r="K2253" s="44">
        <v>0</v>
      </c>
      <c r="L2253" s="44">
        <v>220</v>
      </c>
      <c r="M2253" s="44">
        <v>0</v>
      </c>
    </row>
    <row r="2254" spans="1:13" x14ac:dyDescent="0.25">
      <c r="A2254" s="45" t="s">
        <v>965</v>
      </c>
      <c r="B2254" s="44" t="s">
        <v>5394</v>
      </c>
      <c r="C2254" s="47">
        <v>44250</v>
      </c>
      <c r="D2254" s="44">
        <v>202103</v>
      </c>
      <c r="E2254" s="44">
        <v>946</v>
      </c>
      <c r="F2254" s="44">
        <v>969</v>
      </c>
      <c r="G2254" s="44">
        <v>934</v>
      </c>
      <c r="H2254" s="44">
        <v>967</v>
      </c>
      <c r="I2254" s="44">
        <v>13</v>
      </c>
      <c r="J2254" s="44">
        <v>1.36</v>
      </c>
      <c r="K2254" s="44">
        <v>1205</v>
      </c>
      <c r="L2254" s="44">
        <v>965</v>
      </c>
      <c r="M2254" s="44">
        <v>2265</v>
      </c>
    </row>
    <row r="2255" spans="1:13" x14ac:dyDescent="0.25">
      <c r="A2255" s="45" t="s">
        <v>3177</v>
      </c>
      <c r="B2255" s="44" t="s">
        <v>5395</v>
      </c>
      <c r="C2255" s="47">
        <v>44250</v>
      </c>
      <c r="D2255" s="44">
        <v>202103</v>
      </c>
      <c r="E2255" s="44">
        <v>946</v>
      </c>
      <c r="F2255" s="44">
        <v>969</v>
      </c>
      <c r="G2255" s="44">
        <v>934</v>
      </c>
      <c r="H2255" s="44">
        <v>967</v>
      </c>
      <c r="I2255" s="44">
        <v>13</v>
      </c>
      <c r="J2255" s="44">
        <v>1.36</v>
      </c>
      <c r="K2255" s="44">
        <v>1205</v>
      </c>
      <c r="L2255" s="44">
        <v>965</v>
      </c>
      <c r="M2255" s="44">
        <v>2265</v>
      </c>
    </row>
    <row r="2256" spans="1:13" x14ac:dyDescent="0.25">
      <c r="A2256" s="45" t="s">
        <v>3178</v>
      </c>
      <c r="B2256" s="44" t="s">
        <v>5396</v>
      </c>
      <c r="C2256" s="47">
        <v>44250</v>
      </c>
      <c r="D2256" s="44">
        <v>202104</v>
      </c>
      <c r="E2256" s="44">
        <v>940</v>
      </c>
      <c r="F2256" s="44">
        <v>967</v>
      </c>
      <c r="G2256" s="44">
        <v>935</v>
      </c>
      <c r="H2256" s="44">
        <v>965</v>
      </c>
      <c r="I2256" s="44">
        <v>13</v>
      </c>
      <c r="J2256" s="44">
        <v>1.37</v>
      </c>
      <c r="K2256" s="44">
        <v>98</v>
      </c>
      <c r="L2256" s="44">
        <v>966</v>
      </c>
      <c r="M2256" s="44">
        <v>109</v>
      </c>
    </row>
    <row r="2257" spans="1:13" x14ac:dyDescent="0.25">
      <c r="A2257" s="45" t="s">
        <v>3179</v>
      </c>
      <c r="B2257" s="44" t="s">
        <v>5397</v>
      </c>
      <c r="C2257" s="47">
        <v>44250</v>
      </c>
      <c r="D2257" s="44">
        <v>202104</v>
      </c>
      <c r="E2257" s="44">
        <v>940</v>
      </c>
      <c r="F2257" s="44">
        <v>967</v>
      </c>
      <c r="G2257" s="44">
        <v>935</v>
      </c>
      <c r="H2257" s="44">
        <v>965</v>
      </c>
      <c r="I2257" s="44">
        <v>13</v>
      </c>
      <c r="J2257" s="44">
        <v>1.37</v>
      </c>
      <c r="K2257" s="44">
        <v>98</v>
      </c>
      <c r="L2257" s="44">
        <v>966</v>
      </c>
      <c r="M2257" s="44">
        <v>109</v>
      </c>
    </row>
    <row r="2258" spans="1:13" x14ac:dyDescent="0.25">
      <c r="A2258" s="45" t="s">
        <v>3180</v>
      </c>
      <c r="C2258" s="47"/>
    </row>
    <row r="2259" spans="1:13" x14ac:dyDescent="0.25">
      <c r="A2259" s="45" t="s">
        <v>3181</v>
      </c>
      <c r="C2259" s="47"/>
    </row>
    <row r="2260" spans="1:13" x14ac:dyDescent="0.25">
      <c r="A2260" s="45" t="s">
        <v>3182</v>
      </c>
      <c r="B2260" s="44" t="s">
        <v>5398</v>
      </c>
      <c r="C2260" s="47">
        <v>44250</v>
      </c>
      <c r="D2260" s="44">
        <v>202103</v>
      </c>
      <c r="E2260" s="44">
        <v>946</v>
      </c>
      <c r="F2260" s="44">
        <v>969</v>
      </c>
      <c r="G2260" s="44">
        <v>934</v>
      </c>
      <c r="H2260" s="44">
        <v>967</v>
      </c>
      <c r="I2260" s="44">
        <v>13</v>
      </c>
      <c r="J2260" s="44">
        <v>1.36</v>
      </c>
      <c r="K2260" s="44">
        <v>1205</v>
      </c>
      <c r="L2260" s="44">
        <v>965</v>
      </c>
      <c r="M2260" s="44">
        <v>2265</v>
      </c>
    </row>
    <row r="2261" spans="1:13" x14ac:dyDescent="0.25">
      <c r="A2261" s="45" t="s">
        <v>3183</v>
      </c>
      <c r="B2261" s="44" t="s">
        <v>5399</v>
      </c>
      <c r="C2261" s="47">
        <v>44250</v>
      </c>
      <c r="D2261" s="44">
        <v>202106</v>
      </c>
      <c r="E2261" s="44">
        <v>943</v>
      </c>
      <c r="F2261" s="44">
        <v>959</v>
      </c>
      <c r="G2261" s="44">
        <v>943</v>
      </c>
      <c r="H2261" s="44">
        <v>959</v>
      </c>
      <c r="I2261" s="44">
        <v>7</v>
      </c>
      <c r="J2261" s="44">
        <v>0.74</v>
      </c>
      <c r="K2261" s="44">
        <v>12</v>
      </c>
      <c r="L2261" s="44">
        <v>959</v>
      </c>
      <c r="M2261" s="44">
        <v>22</v>
      </c>
    </row>
    <row r="2262" spans="1:13" x14ac:dyDescent="0.25">
      <c r="A2262" s="45" t="s">
        <v>3184</v>
      </c>
      <c r="B2262" s="44" t="s">
        <v>5400</v>
      </c>
      <c r="C2262" s="47">
        <v>44250</v>
      </c>
      <c r="D2262" s="44">
        <v>202109</v>
      </c>
      <c r="E2262" s="44">
        <v>965</v>
      </c>
      <c r="F2262" s="44">
        <v>965</v>
      </c>
      <c r="G2262" s="44">
        <v>965</v>
      </c>
      <c r="H2262" s="44">
        <v>965</v>
      </c>
      <c r="I2262" s="44">
        <v>11</v>
      </c>
      <c r="J2262" s="44">
        <v>1.1499999999999999</v>
      </c>
      <c r="K2262" s="44">
        <v>0</v>
      </c>
      <c r="L2262" s="44">
        <v>965</v>
      </c>
      <c r="M2262" s="44">
        <v>1</v>
      </c>
    </row>
    <row r="2263" spans="1:13" x14ac:dyDescent="0.25">
      <c r="A2263" s="45" t="s">
        <v>3185</v>
      </c>
      <c r="B2263" s="44" t="s">
        <v>5401</v>
      </c>
      <c r="C2263" s="47">
        <v>44250</v>
      </c>
      <c r="D2263" s="44">
        <v>202112</v>
      </c>
      <c r="E2263" s="44">
        <v>950</v>
      </c>
      <c r="F2263" s="44">
        <v>950</v>
      </c>
      <c r="G2263" s="44">
        <v>950</v>
      </c>
      <c r="H2263" s="44">
        <v>950</v>
      </c>
      <c r="I2263" s="44">
        <v>11</v>
      </c>
      <c r="J2263" s="44">
        <v>1.17</v>
      </c>
      <c r="K2263" s="44">
        <v>0</v>
      </c>
      <c r="L2263" s="44">
        <v>950</v>
      </c>
      <c r="M2263" s="44">
        <v>0</v>
      </c>
    </row>
    <row r="2264" spans="1:13" x14ac:dyDescent="0.25">
      <c r="A2264" s="45" t="s">
        <v>1093</v>
      </c>
      <c r="B2264" s="44" t="s">
        <v>5402</v>
      </c>
      <c r="C2264" s="47">
        <v>44250</v>
      </c>
      <c r="D2264" s="44">
        <v>202103</v>
      </c>
      <c r="E2264" s="44">
        <v>849</v>
      </c>
      <c r="F2264" s="44">
        <v>849</v>
      </c>
      <c r="G2264" s="44">
        <v>849</v>
      </c>
      <c r="H2264" s="44">
        <v>849</v>
      </c>
      <c r="I2264" s="44">
        <v>7</v>
      </c>
      <c r="J2264" s="44">
        <v>0.83</v>
      </c>
      <c r="K2264" s="44">
        <v>0</v>
      </c>
      <c r="L2264" s="44">
        <v>849</v>
      </c>
      <c r="M2264" s="44">
        <v>6</v>
      </c>
    </row>
    <row r="2265" spans="1:13" x14ac:dyDescent="0.25">
      <c r="A2265" s="45" t="s">
        <v>3186</v>
      </c>
      <c r="B2265" s="44" t="s">
        <v>5403</v>
      </c>
      <c r="C2265" s="47">
        <v>44250</v>
      </c>
      <c r="D2265" s="44">
        <v>202103</v>
      </c>
      <c r="E2265" s="44">
        <v>849</v>
      </c>
      <c r="F2265" s="44">
        <v>849</v>
      </c>
      <c r="G2265" s="44">
        <v>849</v>
      </c>
      <c r="H2265" s="44">
        <v>849</v>
      </c>
      <c r="I2265" s="44">
        <v>7</v>
      </c>
      <c r="J2265" s="44">
        <v>0.83</v>
      </c>
      <c r="K2265" s="44">
        <v>0</v>
      </c>
      <c r="L2265" s="44">
        <v>849</v>
      </c>
      <c r="M2265" s="44">
        <v>6</v>
      </c>
    </row>
    <row r="2266" spans="1:13" x14ac:dyDescent="0.25">
      <c r="A2266" s="45" t="s">
        <v>3187</v>
      </c>
      <c r="B2266" s="44" t="s">
        <v>5404</v>
      </c>
      <c r="C2266" s="47">
        <v>44250</v>
      </c>
      <c r="D2266" s="44">
        <v>202104</v>
      </c>
      <c r="E2266" s="44">
        <v>850</v>
      </c>
      <c r="F2266" s="44">
        <v>850</v>
      </c>
      <c r="G2266" s="44">
        <v>850</v>
      </c>
      <c r="H2266" s="44">
        <v>850</v>
      </c>
      <c r="I2266" s="44">
        <v>6</v>
      </c>
      <c r="J2266" s="44">
        <v>0.71</v>
      </c>
      <c r="K2266" s="44">
        <v>0</v>
      </c>
      <c r="L2266" s="44">
        <v>850</v>
      </c>
      <c r="M2266" s="44">
        <v>0</v>
      </c>
    </row>
    <row r="2267" spans="1:13" x14ac:dyDescent="0.25">
      <c r="A2267" s="45" t="s">
        <v>3188</v>
      </c>
      <c r="B2267" s="44" t="s">
        <v>5405</v>
      </c>
      <c r="C2267" s="47">
        <v>44250</v>
      </c>
      <c r="D2267" s="44">
        <v>202104</v>
      </c>
      <c r="E2267" s="44">
        <v>850</v>
      </c>
      <c r="F2267" s="44">
        <v>850</v>
      </c>
      <c r="G2267" s="44">
        <v>850</v>
      </c>
      <c r="H2267" s="44">
        <v>850</v>
      </c>
      <c r="I2267" s="44">
        <v>6</v>
      </c>
      <c r="J2267" s="44">
        <v>0.71</v>
      </c>
      <c r="K2267" s="44">
        <v>0</v>
      </c>
      <c r="L2267" s="44">
        <v>850</v>
      </c>
      <c r="M2267" s="44">
        <v>0</v>
      </c>
    </row>
    <row r="2268" spans="1:13" x14ac:dyDescent="0.25">
      <c r="A2268" s="45" t="s">
        <v>3189</v>
      </c>
      <c r="C2268" s="47"/>
    </row>
    <row r="2269" spans="1:13" x14ac:dyDescent="0.25">
      <c r="A2269" s="45" t="s">
        <v>3190</v>
      </c>
      <c r="B2269" s="44" t="s">
        <v>5406</v>
      </c>
      <c r="C2269" s="47">
        <v>44250</v>
      </c>
      <c r="D2269" s="44">
        <v>202103</v>
      </c>
      <c r="E2269" s="44">
        <v>849</v>
      </c>
      <c r="F2269" s="44">
        <v>849</v>
      </c>
      <c r="G2269" s="44">
        <v>849</v>
      </c>
      <c r="H2269" s="44">
        <v>849</v>
      </c>
      <c r="I2269" s="44">
        <v>7</v>
      </c>
      <c r="J2269" s="44">
        <v>0.83</v>
      </c>
      <c r="K2269" s="44">
        <v>0</v>
      </c>
      <c r="L2269" s="44">
        <v>849</v>
      </c>
      <c r="M2269" s="44">
        <v>6</v>
      </c>
    </row>
    <row r="2270" spans="1:13" x14ac:dyDescent="0.25">
      <c r="A2270" s="45" t="s">
        <v>3191</v>
      </c>
      <c r="B2270" s="44" t="s">
        <v>5407</v>
      </c>
      <c r="C2270" s="47">
        <v>44250</v>
      </c>
      <c r="D2270" s="44">
        <v>202106</v>
      </c>
      <c r="E2270" s="44">
        <v>850</v>
      </c>
      <c r="F2270" s="44">
        <v>850</v>
      </c>
      <c r="G2270" s="44">
        <v>850</v>
      </c>
      <c r="H2270" s="44">
        <v>850</v>
      </c>
      <c r="I2270" s="44">
        <v>7</v>
      </c>
      <c r="J2270" s="44">
        <v>0.83</v>
      </c>
      <c r="K2270" s="44">
        <v>0</v>
      </c>
      <c r="L2270" s="44">
        <v>850</v>
      </c>
      <c r="M2270" s="44">
        <v>0</v>
      </c>
    </row>
    <row r="2271" spans="1:13" x14ac:dyDescent="0.25">
      <c r="A2271" s="45" t="s">
        <v>3192</v>
      </c>
      <c r="B2271" s="44" t="s">
        <v>5408</v>
      </c>
      <c r="C2271" s="47">
        <v>44250</v>
      </c>
      <c r="D2271" s="44">
        <v>202109</v>
      </c>
      <c r="E2271" s="44">
        <v>850</v>
      </c>
      <c r="F2271" s="44">
        <v>850</v>
      </c>
      <c r="G2271" s="44">
        <v>850</v>
      </c>
      <c r="H2271" s="44">
        <v>850</v>
      </c>
      <c r="I2271" s="44">
        <v>7</v>
      </c>
      <c r="J2271" s="44">
        <v>0.83</v>
      </c>
      <c r="K2271" s="44">
        <v>0</v>
      </c>
      <c r="L2271" s="44">
        <v>850</v>
      </c>
      <c r="M2271" s="44">
        <v>0</v>
      </c>
    </row>
    <row r="2272" spans="1:13" x14ac:dyDescent="0.25">
      <c r="A2272" s="45" t="s">
        <v>3193</v>
      </c>
      <c r="B2272" s="44" t="s">
        <v>5409</v>
      </c>
      <c r="C2272" s="47">
        <v>44250</v>
      </c>
      <c r="D2272" s="44">
        <v>202112</v>
      </c>
      <c r="E2272" s="44">
        <v>850</v>
      </c>
      <c r="F2272" s="44">
        <v>850</v>
      </c>
      <c r="G2272" s="44">
        <v>850</v>
      </c>
      <c r="H2272" s="44">
        <v>850</v>
      </c>
      <c r="I2272" s="44">
        <v>7</v>
      </c>
      <c r="J2272" s="44">
        <v>0.83</v>
      </c>
      <c r="K2272" s="44">
        <v>0</v>
      </c>
      <c r="L2272" s="44">
        <v>850</v>
      </c>
      <c r="M2272" s="44">
        <v>0</v>
      </c>
    </row>
    <row r="2273" spans="1:13" x14ac:dyDescent="0.25">
      <c r="A2273" s="45" t="s">
        <v>1094</v>
      </c>
      <c r="B2273" s="44" t="s">
        <v>5410</v>
      </c>
      <c r="C2273" s="47">
        <v>44250</v>
      </c>
      <c r="D2273" s="44">
        <v>202103</v>
      </c>
      <c r="E2273" s="44">
        <v>844</v>
      </c>
      <c r="F2273" s="44">
        <v>855</v>
      </c>
      <c r="G2273" s="44">
        <v>843</v>
      </c>
      <c r="H2273" s="44">
        <v>849</v>
      </c>
      <c r="I2273" s="44">
        <v>7</v>
      </c>
      <c r="J2273" s="44">
        <v>0.83</v>
      </c>
      <c r="K2273" s="44">
        <v>11</v>
      </c>
      <c r="L2273" s="44">
        <v>849</v>
      </c>
      <c r="M2273" s="44">
        <v>126</v>
      </c>
    </row>
    <row r="2274" spans="1:13" x14ac:dyDescent="0.25">
      <c r="A2274" s="45" t="s">
        <v>3194</v>
      </c>
      <c r="B2274" s="44" t="s">
        <v>5411</v>
      </c>
      <c r="C2274" s="47">
        <v>44250</v>
      </c>
      <c r="D2274" s="44">
        <v>202103</v>
      </c>
      <c r="E2274" s="44">
        <v>844</v>
      </c>
      <c r="F2274" s="44">
        <v>855</v>
      </c>
      <c r="G2274" s="44">
        <v>843</v>
      </c>
      <c r="H2274" s="44">
        <v>849</v>
      </c>
      <c r="I2274" s="44">
        <v>7</v>
      </c>
      <c r="J2274" s="44">
        <v>0.83</v>
      </c>
      <c r="K2274" s="44">
        <v>11</v>
      </c>
      <c r="L2274" s="44">
        <v>849</v>
      </c>
      <c r="M2274" s="44">
        <v>126</v>
      </c>
    </row>
    <row r="2275" spans="1:13" x14ac:dyDescent="0.25">
      <c r="A2275" s="45" t="s">
        <v>3195</v>
      </c>
      <c r="B2275" s="44" t="s">
        <v>5412</v>
      </c>
      <c r="C2275" s="47">
        <v>44250</v>
      </c>
      <c r="D2275" s="44">
        <v>202104</v>
      </c>
      <c r="E2275" s="44">
        <v>850</v>
      </c>
      <c r="F2275" s="44">
        <v>851</v>
      </c>
      <c r="G2275" s="44">
        <v>843</v>
      </c>
      <c r="H2275" s="44">
        <v>843</v>
      </c>
      <c r="I2275" s="44">
        <v>-1</v>
      </c>
      <c r="J2275" s="44">
        <v>-0.12</v>
      </c>
      <c r="K2275" s="44">
        <v>5</v>
      </c>
      <c r="L2275" s="44">
        <v>850</v>
      </c>
      <c r="M2275" s="44">
        <v>5</v>
      </c>
    </row>
    <row r="2276" spans="1:13" x14ac:dyDescent="0.25">
      <c r="A2276" s="45" t="s">
        <v>3196</v>
      </c>
      <c r="B2276" s="44" t="s">
        <v>5413</v>
      </c>
      <c r="C2276" s="47">
        <v>44250</v>
      </c>
      <c r="D2276" s="44">
        <v>202104</v>
      </c>
      <c r="E2276" s="44">
        <v>850</v>
      </c>
      <c r="F2276" s="44">
        <v>851</v>
      </c>
      <c r="G2276" s="44">
        <v>843</v>
      </c>
      <c r="H2276" s="44">
        <v>843</v>
      </c>
      <c r="I2276" s="44">
        <v>-1</v>
      </c>
      <c r="J2276" s="44">
        <v>-0.12</v>
      </c>
      <c r="K2276" s="44">
        <v>5</v>
      </c>
      <c r="L2276" s="44">
        <v>850</v>
      </c>
      <c r="M2276" s="44">
        <v>5</v>
      </c>
    </row>
    <row r="2277" spans="1:13" x14ac:dyDescent="0.25">
      <c r="A2277" s="45" t="s">
        <v>3197</v>
      </c>
      <c r="C2277" s="47"/>
    </row>
    <row r="2278" spans="1:13" x14ac:dyDescent="0.25">
      <c r="A2278" s="45" t="s">
        <v>3198</v>
      </c>
      <c r="C2278" s="47"/>
    </row>
    <row r="2279" spans="1:13" x14ac:dyDescent="0.25">
      <c r="A2279" s="45" t="s">
        <v>3199</v>
      </c>
      <c r="B2279" s="44" t="s">
        <v>5414</v>
      </c>
      <c r="C2279" s="47">
        <v>44250</v>
      </c>
      <c r="D2279" s="44">
        <v>202103</v>
      </c>
      <c r="E2279" s="44">
        <v>844</v>
      </c>
      <c r="F2279" s="44">
        <v>855</v>
      </c>
      <c r="G2279" s="44">
        <v>843</v>
      </c>
      <c r="H2279" s="44">
        <v>849</v>
      </c>
      <c r="I2279" s="44">
        <v>7</v>
      </c>
      <c r="J2279" s="44">
        <v>0.83</v>
      </c>
      <c r="K2279" s="44">
        <v>11</v>
      </c>
      <c r="L2279" s="44">
        <v>849</v>
      </c>
      <c r="M2279" s="44">
        <v>126</v>
      </c>
    </row>
    <row r="2280" spans="1:13" x14ac:dyDescent="0.25">
      <c r="A2280" s="45" t="s">
        <v>3200</v>
      </c>
      <c r="B2280" s="44" t="s">
        <v>5415</v>
      </c>
      <c r="C2280" s="47">
        <v>44250</v>
      </c>
      <c r="D2280" s="44">
        <v>202106</v>
      </c>
      <c r="E2280" s="44">
        <v>850</v>
      </c>
      <c r="F2280" s="44">
        <v>850</v>
      </c>
      <c r="G2280" s="44">
        <v>850</v>
      </c>
      <c r="H2280" s="44">
        <v>850</v>
      </c>
      <c r="I2280" s="44">
        <v>7</v>
      </c>
      <c r="J2280" s="44">
        <v>0.83</v>
      </c>
      <c r="K2280" s="44">
        <v>0</v>
      </c>
      <c r="L2280" s="44">
        <v>850</v>
      </c>
      <c r="M2280" s="44">
        <v>0</v>
      </c>
    </row>
    <row r="2281" spans="1:13" x14ac:dyDescent="0.25">
      <c r="A2281" s="45" t="s">
        <v>3201</v>
      </c>
      <c r="B2281" s="44" t="s">
        <v>5416</v>
      </c>
      <c r="C2281" s="47">
        <v>44250</v>
      </c>
      <c r="D2281" s="44">
        <v>202109</v>
      </c>
      <c r="E2281" s="44">
        <v>850</v>
      </c>
      <c r="F2281" s="44">
        <v>850</v>
      </c>
      <c r="G2281" s="44">
        <v>850</v>
      </c>
      <c r="H2281" s="44">
        <v>850</v>
      </c>
      <c r="I2281" s="44">
        <v>7</v>
      </c>
      <c r="J2281" s="44">
        <v>0.83</v>
      </c>
      <c r="K2281" s="44">
        <v>0</v>
      </c>
      <c r="L2281" s="44">
        <v>850</v>
      </c>
      <c r="M2281" s="44">
        <v>0</v>
      </c>
    </row>
    <row r="2282" spans="1:13" x14ac:dyDescent="0.25">
      <c r="A2282" s="45" t="s">
        <v>3202</v>
      </c>
      <c r="B2282" s="44" t="s">
        <v>5417</v>
      </c>
      <c r="C2282" s="47">
        <v>44250</v>
      </c>
      <c r="D2282" s="44">
        <v>202112</v>
      </c>
      <c r="E2282" s="44">
        <v>850</v>
      </c>
      <c r="F2282" s="44">
        <v>850</v>
      </c>
      <c r="G2282" s="44">
        <v>850</v>
      </c>
      <c r="H2282" s="44">
        <v>850</v>
      </c>
      <c r="I2282" s="44">
        <v>7</v>
      </c>
      <c r="J2282" s="44">
        <v>0.83</v>
      </c>
      <c r="K2282" s="44">
        <v>0</v>
      </c>
      <c r="L2282" s="44">
        <v>850</v>
      </c>
      <c r="M2282" s="44">
        <v>0</v>
      </c>
    </row>
    <row r="2283" spans="1:13" x14ac:dyDescent="0.25">
      <c r="A2283" s="45" t="s">
        <v>1022</v>
      </c>
      <c r="B2283" s="44" t="s">
        <v>5418</v>
      </c>
      <c r="C2283" s="47">
        <v>44250</v>
      </c>
      <c r="D2283" s="44">
        <v>202103</v>
      </c>
      <c r="E2283" s="44">
        <v>853</v>
      </c>
      <c r="F2283" s="44">
        <v>863</v>
      </c>
      <c r="G2283" s="44">
        <v>840</v>
      </c>
      <c r="H2283" s="44">
        <v>862</v>
      </c>
      <c r="I2283" s="44">
        <v>-4</v>
      </c>
      <c r="J2283" s="44">
        <v>-0.46</v>
      </c>
      <c r="K2283" s="44">
        <v>11</v>
      </c>
      <c r="L2283" s="44">
        <v>850</v>
      </c>
      <c r="M2283" s="44">
        <v>66</v>
      </c>
    </row>
    <row r="2284" spans="1:13" x14ac:dyDescent="0.25">
      <c r="A2284" s="45" t="s">
        <v>3203</v>
      </c>
      <c r="B2284" s="44" t="s">
        <v>5419</v>
      </c>
      <c r="C2284" s="47">
        <v>44250</v>
      </c>
      <c r="D2284" s="44">
        <v>202103</v>
      </c>
      <c r="E2284" s="44">
        <v>853</v>
      </c>
      <c r="F2284" s="44">
        <v>863</v>
      </c>
      <c r="G2284" s="44">
        <v>840</v>
      </c>
      <c r="H2284" s="44">
        <v>862</v>
      </c>
      <c r="I2284" s="44">
        <v>-4</v>
      </c>
      <c r="J2284" s="44">
        <v>-0.46</v>
      </c>
      <c r="K2284" s="44">
        <v>11</v>
      </c>
      <c r="L2284" s="44">
        <v>850</v>
      </c>
      <c r="M2284" s="44">
        <v>66</v>
      </c>
    </row>
    <row r="2285" spans="1:13" x14ac:dyDescent="0.25">
      <c r="A2285" s="45" t="s">
        <v>3204</v>
      </c>
      <c r="B2285" s="44" t="s">
        <v>5420</v>
      </c>
      <c r="C2285" s="47">
        <v>44250</v>
      </c>
      <c r="D2285" s="44">
        <v>202104</v>
      </c>
      <c r="E2285" s="44">
        <v>843</v>
      </c>
      <c r="F2285" s="44">
        <v>843</v>
      </c>
      <c r="G2285" s="44">
        <v>843</v>
      </c>
      <c r="H2285" s="44">
        <v>843</v>
      </c>
      <c r="I2285" s="44">
        <v>-24</v>
      </c>
      <c r="J2285" s="44">
        <v>-2.77</v>
      </c>
      <c r="K2285" s="44">
        <v>0</v>
      </c>
      <c r="L2285" s="44">
        <v>843</v>
      </c>
      <c r="M2285" s="44">
        <v>0</v>
      </c>
    </row>
    <row r="2286" spans="1:13" x14ac:dyDescent="0.25">
      <c r="A2286" s="45" t="s">
        <v>3205</v>
      </c>
      <c r="B2286" s="44" t="s">
        <v>5421</v>
      </c>
      <c r="C2286" s="47">
        <v>44250</v>
      </c>
      <c r="D2286" s="44">
        <v>202104</v>
      </c>
      <c r="E2286" s="44">
        <v>843</v>
      </c>
      <c r="F2286" s="44">
        <v>843</v>
      </c>
      <c r="G2286" s="44">
        <v>843</v>
      </c>
      <c r="H2286" s="44">
        <v>843</v>
      </c>
      <c r="I2286" s="44">
        <v>-24</v>
      </c>
      <c r="J2286" s="44">
        <v>-2.77</v>
      </c>
      <c r="K2286" s="44">
        <v>0</v>
      </c>
      <c r="L2286" s="44">
        <v>843</v>
      </c>
      <c r="M2286" s="44">
        <v>0</v>
      </c>
    </row>
    <row r="2287" spans="1:13" x14ac:dyDescent="0.25">
      <c r="A2287" s="45" t="s">
        <v>3206</v>
      </c>
      <c r="C2287" s="47"/>
    </row>
    <row r="2288" spans="1:13" x14ac:dyDescent="0.25">
      <c r="A2288" s="45" t="s">
        <v>3207</v>
      </c>
      <c r="C2288" s="47"/>
    </row>
    <row r="2289" spans="1:13" x14ac:dyDescent="0.25">
      <c r="A2289" s="45" t="s">
        <v>3208</v>
      </c>
      <c r="B2289" s="44" t="s">
        <v>5422</v>
      </c>
      <c r="C2289" s="47">
        <v>44250</v>
      </c>
      <c r="D2289" s="44">
        <v>202103</v>
      </c>
      <c r="E2289" s="44">
        <v>853</v>
      </c>
      <c r="F2289" s="44">
        <v>863</v>
      </c>
      <c r="G2289" s="44">
        <v>840</v>
      </c>
      <c r="H2289" s="44">
        <v>862</v>
      </c>
      <c r="I2289" s="44">
        <v>-4</v>
      </c>
      <c r="J2289" s="44">
        <v>-0.46</v>
      </c>
      <c r="K2289" s="44">
        <v>11</v>
      </c>
      <c r="L2289" s="44">
        <v>850</v>
      </c>
      <c r="M2289" s="44">
        <v>66</v>
      </c>
    </row>
    <row r="2290" spans="1:13" x14ac:dyDescent="0.25">
      <c r="A2290" s="45" t="s">
        <v>3209</v>
      </c>
      <c r="B2290" s="44" t="s">
        <v>5423</v>
      </c>
      <c r="C2290" s="47">
        <v>44250</v>
      </c>
      <c r="D2290" s="44">
        <v>202106</v>
      </c>
      <c r="E2290" s="44">
        <v>851</v>
      </c>
      <c r="F2290" s="44">
        <v>851</v>
      </c>
      <c r="G2290" s="44">
        <v>851</v>
      </c>
      <c r="H2290" s="44">
        <v>851</v>
      </c>
      <c r="I2290" s="44">
        <v>-16</v>
      </c>
      <c r="J2290" s="44">
        <v>-1.85</v>
      </c>
      <c r="K2290" s="44">
        <v>0</v>
      </c>
      <c r="L2290" s="44">
        <v>851</v>
      </c>
      <c r="M2290" s="44">
        <v>0</v>
      </c>
    </row>
    <row r="2291" spans="1:13" x14ac:dyDescent="0.25">
      <c r="A2291" s="45" t="s">
        <v>3210</v>
      </c>
      <c r="B2291" s="44" t="s">
        <v>5424</v>
      </c>
      <c r="C2291" s="47">
        <v>44250</v>
      </c>
      <c r="D2291" s="44">
        <v>202109</v>
      </c>
      <c r="E2291" s="44">
        <v>850</v>
      </c>
      <c r="F2291" s="44">
        <v>850</v>
      </c>
      <c r="G2291" s="44">
        <v>850</v>
      </c>
      <c r="H2291" s="44">
        <v>850</v>
      </c>
      <c r="I2291" s="44">
        <v>-16</v>
      </c>
      <c r="J2291" s="44">
        <v>-1.85</v>
      </c>
      <c r="K2291" s="44">
        <v>0</v>
      </c>
      <c r="L2291" s="44">
        <v>850</v>
      </c>
      <c r="M2291" s="44">
        <v>0</v>
      </c>
    </row>
    <row r="2292" spans="1:13" x14ac:dyDescent="0.25">
      <c r="A2292" s="45" t="s">
        <v>3211</v>
      </c>
      <c r="B2292" s="44" t="s">
        <v>5425</v>
      </c>
      <c r="C2292" s="47">
        <v>44250</v>
      </c>
      <c r="D2292" s="44">
        <v>202112</v>
      </c>
      <c r="E2292" s="44">
        <v>852</v>
      </c>
      <c r="F2292" s="44">
        <v>852</v>
      </c>
      <c r="G2292" s="44">
        <v>852</v>
      </c>
      <c r="H2292" s="44">
        <v>852</v>
      </c>
      <c r="I2292" s="44">
        <v>-16</v>
      </c>
      <c r="J2292" s="44">
        <v>-1.84</v>
      </c>
      <c r="K2292" s="44">
        <v>0</v>
      </c>
      <c r="L2292" s="44">
        <v>852</v>
      </c>
      <c r="M2292" s="44">
        <v>0</v>
      </c>
    </row>
    <row r="2293" spans="1:13" x14ac:dyDescent="0.25">
      <c r="A2293" s="45" t="s">
        <v>1023</v>
      </c>
      <c r="B2293" s="44" t="s">
        <v>5426</v>
      </c>
      <c r="C2293" s="47">
        <v>44250</v>
      </c>
      <c r="D2293" s="44">
        <v>202103</v>
      </c>
      <c r="E2293" s="44">
        <v>846</v>
      </c>
      <c r="F2293" s="44">
        <v>872</v>
      </c>
      <c r="G2293" s="44">
        <v>841</v>
      </c>
      <c r="H2293" s="44">
        <v>850</v>
      </c>
      <c r="I2293" s="44">
        <v>-16</v>
      </c>
      <c r="J2293" s="44">
        <v>-1.85</v>
      </c>
      <c r="K2293" s="44">
        <v>79</v>
      </c>
      <c r="L2293" s="44">
        <v>850</v>
      </c>
      <c r="M2293" s="44">
        <v>502</v>
      </c>
    </row>
    <row r="2294" spans="1:13" x14ac:dyDescent="0.25">
      <c r="A2294" s="45" t="s">
        <v>3212</v>
      </c>
      <c r="B2294" s="44" t="s">
        <v>5427</v>
      </c>
      <c r="C2294" s="47">
        <v>44250</v>
      </c>
      <c r="D2294" s="44">
        <v>202103</v>
      </c>
      <c r="E2294" s="44">
        <v>846</v>
      </c>
      <c r="F2294" s="44">
        <v>872</v>
      </c>
      <c r="G2294" s="44">
        <v>841</v>
      </c>
      <c r="H2294" s="44">
        <v>850</v>
      </c>
      <c r="I2294" s="44">
        <v>-16</v>
      </c>
      <c r="J2294" s="44">
        <v>-1.85</v>
      </c>
      <c r="K2294" s="44">
        <v>79</v>
      </c>
      <c r="L2294" s="44">
        <v>850</v>
      </c>
      <c r="M2294" s="44">
        <v>502</v>
      </c>
    </row>
    <row r="2295" spans="1:13" x14ac:dyDescent="0.25">
      <c r="A2295" s="45" t="s">
        <v>3213</v>
      </c>
      <c r="B2295" s="44" t="s">
        <v>5428</v>
      </c>
      <c r="C2295" s="47">
        <v>44250</v>
      </c>
      <c r="D2295" s="44">
        <v>202104</v>
      </c>
      <c r="E2295" s="44">
        <v>843</v>
      </c>
      <c r="F2295" s="44">
        <v>843</v>
      </c>
      <c r="G2295" s="44">
        <v>843</v>
      </c>
      <c r="H2295" s="44">
        <v>843</v>
      </c>
      <c r="I2295" s="44">
        <v>-24</v>
      </c>
      <c r="J2295" s="44">
        <v>-2.77</v>
      </c>
      <c r="K2295" s="44">
        <v>2</v>
      </c>
      <c r="L2295" s="44">
        <v>843</v>
      </c>
      <c r="M2295" s="44">
        <v>2</v>
      </c>
    </row>
    <row r="2296" spans="1:13" x14ac:dyDescent="0.25">
      <c r="A2296" s="45" t="s">
        <v>3214</v>
      </c>
      <c r="B2296" s="44" t="s">
        <v>5429</v>
      </c>
      <c r="C2296" s="47">
        <v>44250</v>
      </c>
      <c r="D2296" s="44">
        <v>202104</v>
      </c>
      <c r="E2296" s="44">
        <v>843</v>
      </c>
      <c r="F2296" s="44">
        <v>843</v>
      </c>
      <c r="G2296" s="44">
        <v>843</v>
      </c>
      <c r="H2296" s="44">
        <v>843</v>
      </c>
      <c r="I2296" s="44">
        <v>-24</v>
      </c>
      <c r="J2296" s="44">
        <v>-2.77</v>
      </c>
      <c r="K2296" s="44">
        <v>2</v>
      </c>
      <c r="L2296" s="44">
        <v>843</v>
      </c>
      <c r="M2296" s="44">
        <v>2</v>
      </c>
    </row>
    <row r="2297" spans="1:13" x14ac:dyDescent="0.25">
      <c r="A2297" s="45" t="s">
        <v>3215</v>
      </c>
      <c r="C2297" s="47"/>
    </row>
    <row r="2298" spans="1:13" x14ac:dyDescent="0.25">
      <c r="A2298" s="45" t="s">
        <v>3216</v>
      </c>
      <c r="C2298" s="47"/>
    </row>
    <row r="2299" spans="1:13" x14ac:dyDescent="0.25">
      <c r="A2299" s="45" t="s">
        <v>3217</v>
      </c>
      <c r="B2299" s="44" t="s">
        <v>5430</v>
      </c>
      <c r="C2299" s="47">
        <v>44250</v>
      </c>
      <c r="D2299" s="44">
        <v>202103</v>
      </c>
      <c r="E2299" s="44">
        <v>846</v>
      </c>
      <c r="F2299" s="44">
        <v>872</v>
      </c>
      <c r="G2299" s="44">
        <v>841</v>
      </c>
      <c r="H2299" s="44">
        <v>850</v>
      </c>
      <c r="I2299" s="44">
        <v>-16</v>
      </c>
      <c r="J2299" s="44">
        <v>-1.85</v>
      </c>
      <c r="K2299" s="44">
        <v>79</v>
      </c>
      <c r="L2299" s="44">
        <v>850</v>
      </c>
      <c r="M2299" s="44">
        <v>502</v>
      </c>
    </row>
    <row r="2300" spans="1:13" x14ac:dyDescent="0.25">
      <c r="A2300" s="45" t="s">
        <v>3218</v>
      </c>
      <c r="B2300" s="44" t="s">
        <v>5431</v>
      </c>
      <c r="C2300" s="47">
        <v>44250</v>
      </c>
      <c r="D2300" s="44">
        <v>202106</v>
      </c>
      <c r="E2300" s="44">
        <v>851</v>
      </c>
      <c r="F2300" s="44">
        <v>851</v>
      </c>
      <c r="G2300" s="44">
        <v>851</v>
      </c>
      <c r="H2300" s="44">
        <v>851</v>
      </c>
      <c r="I2300" s="44">
        <v>-16</v>
      </c>
      <c r="J2300" s="44">
        <v>-1.85</v>
      </c>
      <c r="K2300" s="44">
        <v>0</v>
      </c>
      <c r="L2300" s="44">
        <v>851</v>
      </c>
      <c r="M2300" s="44">
        <v>0</v>
      </c>
    </row>
    <row r="2301" spans="1:13" x14ac:dyDescent="0.25">
      <c r="A2301" s="45" t="s">
        <v>3219</v>
      </c>
      <c r="B2301" s="44" t="s">
        <v>5432</v>
      </c>
      <c r="C2301" s="47">
        <v>44250</v>
      </c>
      <c r="D2301" s="44">
        <v>202109</v>
      </c>
      <c r="E2301" s="44">
        <v>850</v>
      </c>
      <c r="F2301" s="44">
        <v>850</v>
      </c>
      <c r="G2301" s="44">
        <v>850</v>
      </c>
      <c r="H2301" s="44">
        <v>850</v>
      </c>
      <c r="I2301" s="44">
        <v>-16</v>
      </c>
      <c r="J2301" s="44">
        <v>-1.85</v>
      </c>
      <c r="K2301" s="44">
        <v>0</v>
      </c>
      <c r="L2301" s="44">
        <v>850</v>
      </c>
      <c r="M2301" s="44">
        <v>0</v>
      </c>
    </row>
    <row r="2302" spans="1:13" x14ac:dyDescent="0.25">
      <c r="A2302" s="45" t="s">
        <v>3220</v>
      </c>
      <c r="B2302" s="44" t="s">
        <v>5433</v>
      </c>
      <c r="C2302" s="47">
        <v>44250</v>
      </c>
      <c r="D2302" s="44">
        <v>202112</v>
      </c>
      <c r="E2302" s="44">
        <v>852</v>
      </c>
      <c r="F2302" s="44">
        <v>852</v>
      </c>
      <c r="G2302" s="44">
        <v>852</v>
      </c>
      <c r="H2302" s="44">
        <v>852</v>
      </c>
      <c r="I2302" s="44">
        <v>-16</v>
      </c>
      <c r="J2302" s="44">
        <v>-1.84</v>
      </c>
      <c r="K2302" s="44">
        <v>0</v>
      </c>
      <c r="L2302" s="44">
        <v>852</v>
      </c>
      <c r="M2302" s="44">
        <v>3</v>
      </c>
    </row>
    <row r="2303" spans="1:13" x14ac:dyDescent="0.25">
      <c r="A2303" s="45" t="s">
        <v>1057</v>
      </c>
      <c r="B2303" s="44" t="s">
        <v>5434</v>
      </c>
      <c r="C2303" s="47">
        <v>44250</v>
      </c>
      <c r="D2303" s="44">
        <v>202103</v>
      </c>
      <c r="E2303" s="44">
        <v>2100</v>
      </c>
      <c r="F2303" s="44">
        <v>2100</v>
      </c>
      <c r="G2303" s="44">
        <v>2100</v>
      </c>
      <c r="H2303" s="44">
        <v>2100</v>
      </c>
      <c r="I2303" s="44">
        <v>85</v>
      </c>
      <c r="J2303" s="44">
        <v>4.22</v>
      </c>
      <c r="K2303" s="44">
        <v>0</v>
      </c>
      <c r="L2303" s="44">
        <v>2100</v>
      </c>
      <c r="M2303" s="44">
        <v>0</v>
      </c>
    </row>
    <row r="2304" spans="1:13" x14ac:dyDescent="0.25">
      <c r="A2304" s="45" t="s">
        <v>3221</v>
      </c>
      <c r="B2304" s="44" t="s">
        <v>5435</v>
      </c>
      <c r="C2304" s="47">
        <v>44250</v>
      </c>
      <c r="D2304" s="44">
        <v>202103</v>
      </c>
      <c r="E2304" s="44">
        <v>2100</v>
      </c>
      <c r="F2304" s="44">
        <v>2100</v>
      </c>
      <c r="G2304" s="44">
        <v>2100</v>
      </c>
      <c r="H2304" s="44">
        <v>2100</v>
      </c>
      <c r="I2304" s="44">
        <v>85</v>
      </c>
      <c r="J2304" s="44">
        <v>4.22</v>
      </c>
      <c r="K2304" s="44">
        <v>0</v>
      </c>
      <c r="L2304" s="44">
        <v>2100</v>
      </c>
      <c r="M2304" s="44">
        <v>0</v>
      </c>
    </row>
    <row r="2305" spans="1:13" x14ac:dyDescent="0.25">
      <c r="A2305" s="45" t="s">
        <v>3222</v>
      </c>
      <c r="B2305" s="44" t="s">
        <v>5436</v>
      </c>
      <c r="C2305" s="47">
        <v>44250</v>
      </c>
      <c r="D2305" s="44">
        <v>202104</v>
      </c>
      <c r="E2305" s="44">
        <v>2090</v>
      </c>
      <c r="F2305" s="44">
        <v>2090</v>
      </c>
      <c r="G2305" s="44">
        <v>2090</v>
      </c>
      <c r="H2305" s="44">
        <v>2090</v>
      </c>
      <c r="I2305" s="44">
        <v>85</v>
      </c>
      <c r="J2305" s="44">
        <v>4.24</v>
      </c>
      <c r="K2305" s="44">
        <v>0</v>
      </c>
      <c r="L2305" s="44">
        <v>2090</v>
      </c>
      <c r="M2305" s="44">
        <v>0</v>
      </c>
    </row>
    <row r="2306" spans="1:13" x14ac:dyDescent="0.25">
      <c r="A2306" s="45" t="s">
        <v>3223</v>
      </c>
      <c r="B2306" s="44" t="s">
        <v>5437</v>
      </c>
      <c r="C2306" s="47">
        <v>44250</v>
      </c>
      <c r="D2306" s="44">
        <v>202104</v>
      </c>
      <c r="E2306" s="44">
        <v>2090</v>
      </c>
      <c r="F2306" s="44">
        <v>2090</v>
      </c>
      <c r="G2306" s="44">
        <v>2090</v>
      </c>
      <c r="H2306" s="44">
        <v>2090</v>
      </c>
      <c r="I2306" s="44">
        <v>85</v>
      </c>
      <c r="J2306" s="44">
        <v>4.24</v>
      </c>
      <c r="K2306" s="44">
        <v>0</v>
      </c>
      <c r="L2306" s="44">
        <v>2090</v>
      </c>
      <c r="M2306" s="44">
        <v>0</v>
      </c>
    </row>
    <row r="2307" spans="1:13" x14ac:dyDescent="0.25">
      <c r="A2307" s="45" t="s">
        <v>3224</v>
      </c>
      <c r="C2307" s="47"/>
    </row>
    <row r="2308" spans="1:13" x14ac:dyDescent="0.25">
      <c r="A2308" s="45" t="s">
        <v>3225</v>
      </c>
      <c r="B2308" s="44" t="s">
        <v>5438</v>
      </c>
      <c r="C2308" s="47">
        <v>44250</v>
      </c>
      <c r="D2308" s="44">
        <v>202103</v>
      </c>
      <c r="E2308" s="44">
        <v>2100</v>
      </c>
      <c r="F2308" s="44">
        <v>2100</v>
      </c>
      <c r="G2308" s="44">
        <v>2100</v>
      </c>
      <c r="H2308" s="44">
        <v>2100</v>
      </c>
      <c r="I2308" s="44">
        <v>85</v>
      </c>
      <c r="J2308" s="44">
        <v>4.22</v>
      </c>
      <c r="K2308" s="44">
        <v>0</v>
      </c>
      <c r="L2308" s="44">
        <v>2100</v>
      </c>
      <c r="M2308" s="44">
        <v>0</v>
      </c>
    </row>
    <row r="2309" spans="1:13" x14ac:dyDescent="0.25">
      <c r="A2309" s="45" t="s">
        <v>3226</v>
      </c>
      <c r="B2309" s="44" t="s">
        <v>5439</v>
      </c>
      <c r="C2309" s="47">
        <v>44250</v>
      </c>
      <c r="D2309" s="44">
        <v>202106</v>
      </c>
      <c r="E2309" s="44">
        <v>2095</v>
      </c>
      <c r="F2309" s="44">
        <v>2095</v>
      </c>
      <c r="G2309" s="44">
        <v>2095</v>
      </c>
      <c r="H2309" s="44">
        <v>2095</v>
      </c>
      <c r="I2309" s="44">
        <v>85</v>
      </c>
      <c r="J2309" s="44">
        <v>4.2300000000000004</v>
      </c>
      <c r="K2309" s="44">
        <v>0</v>
      </c>
      <c r="L2309" s="44">
        <v>2095</v>
      </c>
      <c r="M2309" s="44">
        <v>0</v>
      </c>
    </row>
    <row r="2310" spans="1:13" x14ac:dyDescent="0.25">
      <c r="A2310" s="45" t="s">
        <v>3227</v>
      </c>
      <c r="B2310" s="44" t="s">
        <v>5440</v>
      </c>
      <c r="C2310" s="47">
        <v>44250</v>
      </c>
      <c r="D2310" s="44">
        <v>202109</v>
      </c>
      <c r="E2310" s="44">
        <v>2095</v>
      </c>
      <c r="F2310" s="44">
        <v>2095</v>
      </c>
      <c r="G2310" s="44">
        <v>2095</v>
      </c>
      <c r="H2310" s="44">
        <v>2095</v>
      </c>
      <c r="I2310" s="44">
        <v>85</v>
      </c>
      <c r="J2310" s="44">
        <v>4.2300000000000004</v>
      </c>
      <c r="K2310" s="44">
        <v>0</v>
      </c>
      <c r="L2310" s="44">
        <v>2095</v>
      </c>
      <c r="M2310" s="44">
        <v>0</v>
      </c>
    </row>
    <row r="2311" spans="1:13" x14ac:dyDescent="0.25">
      <c r="A2311" s="45" t="s">
        <v>3228</v>
      </c>
      <c r="B2311" s="44" t="s">
        <v>5441</v>
      </c>
      <c r="C2311" s="47">
        <v>44250</v>
      </c>
      <c r="D2311" s="44">
        <v>202112</v>
      </c>
      <c r="E2311" s="44">
        <v>2095</v>
      </c>
      <c r="F2311" s="44">
        <v>2095</v>
      </c>
      <c r="G2311" s="44">
        <v>2095</v>
      </c>
      <c r="H2311" s="44">
        <v>2095</v>
      </c>
      <c r="I2311" s="44">
        <v>85</v>
      </c>
      <c r="J2311" s="44">
        <v>4.2300000000000004</v>
      </c>
      <c r="K2311" s="44">
        <v>0</v>
      </c>
      <c r="L2311" s="44">
        <v>2095</v>
      </c>
      <c r="M2311" s="44">
        <v>0</v>
      </c>
    </row>
    <row r="2312" spans="1:13" x14ac:dyDescent="0.25">
      <c r="A2312" s="45" t="s">
        <v>1058</v>
      </c>
      <c r="B2312" s="44" t="s">
        <v>5442</v>
      </c>
      <c r="C2312" s="47">
        <v>44250</v>
      </c>
      <c r="D2312" s="44">
        <v>202103</v>
      </c>
      <c r="E2312" s="44">
        <v>2000</v>
      </c>
      <c r="F2312" s="44">
        <v>2060</v>
      </c>
      <c r="G2312" s="44">
        <v>2000</v>
      </c>
      <c r="H2312" s="44">
        <v>2060</v>
      </c>
      <c r="I2312" s="44">
        <v>45</v>
      </c>
      <c r="J2312" s="44">
        <v>2.23</v>
      </c>
      <c r="K2312" s="44">
        <v>7</v>
      </c>
      <c r="L2312" s="44">
        <v>2100</v>
      </c>
      <c r="M2312" s="44">
        <v>7</v>
      </c>
    </row>
    <row r="2313" spans="1:13" x14ac:dyDescent="0.25">
      <c r="A2313" s="45" t="s">
        <v>3229</v>
      </c>
      <c r="B2313" s="44" t="s">
        <v>5443</v>
      </c>
      <c r="C2313" s="47">
        <v>44250</v>
      </c>
      <c r="D2313" s="44">
        <v>202103</v>
      </c>
      <c r="E2313" s="44">
        <v>2000</v>
      </c>
      <c r="F2313" s="44">
        <v>2060</v>
      </c>
      <c r="G2313" s="44">
        <v>2000</v>
      </c>
      <c r="H2313" s="44">
        <v>2060</v>
      </c>
      <c r="I2313" s="44">
        <v>45</v>
      </c>
      <c r="J2313" s="44">
        <v>2.23</v>
      </c>
      <c r="K2313" s="44">
        <v>7</v>
      </c>
      <c r="L2313" s="44">
        <v>2100</v>
      </c>
      <c r="M2313" s="44">
        <v>7</v>
      </c>
    </row>
    <row r="2314" spans="1:13" x14ac:dyDescent="0.25">
      <c r="A2314" s="45" t="s">
        <v>3230</v>
      </c>
      <c r="B2314" s="44" t="s">
        <v>5444</v>
      </c>
      <c r="C2314" s="47">
        <v>44250</v>
      </c>
      <c r="D2314" s="44">
        <v>202104</v>
      </c>
      <c r="E2314" s="44">
        <v>2090</v>
      </c>
      <c r="F2314" s="44">
        <v>2090</v>
      </c>
      <c r="G2314" s="44">
        <v>2090</v>
      </c>
      <c r="H2314" s="44">
        <v>2090</v>
      </c>
      <c r="I2314" s="44">
        <v>85</v>
      </c>
      <c r="J2314" s="44">
        <v>4.24</v>
      </c>
      <c r="K2314" s="44">
        <v>0</v>
      </c>
      <c r="L2314" s="44">
        <v>2090</v>
      </c>
      <c r="M2314" s="44">
        <v>0</v>
      </c>
    </row>
    <row r="2315" spans="1:13" x14ac:dyDescent="0.25">
      <c r="A2315" s="45" t="s">
        <v>3231</v>
      </c>
      <c r="B2315" s="44" t="s">
        <v>5445</v>
      </c>
      <c r="C2315" s="47">
        <v>44250</v>
      </c>
      <c r="D2315" s="44">
        <v>202104</v>
      </c>
      <c r="E2315" s="44">
        <v>2090</v>
      </c>
      <c r="F2315" s="44">
        <v>2090</v>
      </c>
      <c r="G2315" s="44">
        <v>2090</v>
      </c>
      <c r="H2315" s="44">
        <v>2090</v>
      </c>
      <c r="I2315" s="44">
        <v>85</v>
      </c>
      <c r="J2315" s="44">
        <v>4.24</v>
      </c>
      <c r="K2315" s="44">
        <v>0</v>
      </c>
      <c r="L2315" s="44">
        <v>2090</v>
      </c>
      <c r="M2315" s="44">
        <v>0</v>
      </c>
    </row>
    <row r="2316" spans="1:13" x14ac:dyDescent="0.25">
      <c r="A2316" s="45" t="s">
        <v>3232</v>
      </c>
      <c r="C2316" s="47"/>
    </row>
    <row r="2317" spans="1:13" x14ac:dyDescent="0.25">
      <c r="A2317" s="45" t="s">
        <v>3233</v>
      </c>
      <c r="B2317" s="44" t="s">
        <v>5446</v>
      </c>
      <c r="C2317" s="47">
        <v>44250</v>
      </c>
      <c r="D2317" s="44">
        <v>202103</v>
      </c>
      <c r="E2317" s="44">
        <v>2000</v>
      </c>
      <c r="F2317" s="44">
        <v>2060</v>
      </c>
      <c r="G2317" s="44">
        <v>2000</v>
      </c>
      <c r="H2317" s="44">
        <v>2060</v>
      </c>
      <c r="I2317" s="44">
        <v>45</v>
      </c>
      <c r="J2317" s="44">
        <v>2.23</v>
      </c>
      <c r="K2317" s="44">
        <v>7</v>
      </c>
      <c r="L2317" s="44">
        <v>2100</v>
      </c>
      <c r="M2317" s="44">
        <v>7</v>
      </c>
    </row>
    <row r="2318" spans="1:13" x14ac:dyDescent="0.25">
      <c r="A2318" s="45" t="s">
        <v>3234</v>
      </c>
      <c r="B2318" s="44" t="s">
        <v>5447</v>
      </c>
      <c r="C2318" s="47">
        <v>44250</v>
      </c>
      <c r="D2318" s="44">
        <v>202106</v>
      </c>
      <c r="E2318" s="44">
        <v>2095</v>
      </c>
      <c r="F2318" s="44">
        <v>2095</v>
      </c>
      <c r="G2318" s="44">
        <v>2095</v>
      </c>
      <c r="H2318" s="44">
        <v>2095</v>
      </c>
      <c r="I2318" s="44">
        <v>85</v>
      </c>
      <c r="J2318" s="44">
        <v>4.2300000000000004</v>
      </c>
      <c r="K2318" s="44">
        <v>0</v>
      </c>
      <c r="L2318" s="44">
        <v>2095</v>
      </c>
      <c r="M2318" s="44">
        <v>0</v>
      </c>
    </row>
    <row r="2319" spans="1:13" x14ac:dyDescent="0.25">
      <c r="A2319" s="45" t="s">
        <v>3235</v>
      </c>
      <c r="B2319" s="44" t="s">
        <v>5448</v>
      </c>
      <c r="C2319" s="47">
        <v>44250</v>
      </c>
      <c r="D2319" s="44">
        <v>202109</v>
      </c>
      <c r="E2319" s="44">
        <v>2095</v>
      </c>
      <c r="F2319" s="44">
        <v>2095</v>
      </c>
      <c r="G2319" s="44">
        <v>2095</v>
      </c>
      <c r="H2319" s="44">
        <v>2095</v>
      </c>
      <c r="I2319" s="44">
        <v>85</v>
      </c>
      <c r="J2319" s="44">
        <v>4.2300000000000004</v>
      </c>
      <c r="K2319" s="44">
        <v>0</v>
      </c>
      <c r="L2319" s="44">
        <v>2095</v>
      </c>
      <c r="M2319" s="44">
        <v>0</v>
      </c>
    </row>
    <row r="2320" spans="1:13" x14ac:dyDescent="0.25">
      <c r="A2320" s="45" t="s">
        <v>3236</v>
      </c>
      <c r="B2320" s="44" t="s">
        <v>5449</v>
      </c>
      <c r="C2320" s="47">
        <v>44250</v>
      </c>
      <c r="D2320" s="44">
        <v>202112</v>
      </c>
      <c r="E2320" s="44">
        <v>2095</v>
      </c>
      <c r="F2320" s="44">
        <v>2095</v>
      </c>
      <c r="G2320" s="44">
        <v>2095</v>
      </c>
      <c r="H2320" s="44">
        <v>2095</v>
      </c>
      <c r="I2320" s="44">
        <v>85</v>
      </c>
      <c r="J2320" s="44">
        <v>4.2300000000000004</v>
      </c>
      <c r="K2320" s="44">
        <v>0</v>
      </c>
      <c r="L2320" s="44">
        <v>2095</v>
      </c>
      <c r="M2320" s="44">
        <v>0</v>
      </c>
    </row>
    <row r="2321" spans="1:13" x14ac:dyDescent="0.25">
      <c r="A2321" s="45" t="s">
        <v>3237</v>
      </c>
      <c r="B2321" s="44" t="s">
        <v>5450</v>
      </c>
      <c r="C2321" s="47">
        <v>44250</v>
      </c>
      <c r="D2321" s="44">
        <v>202103</v>
      </c>
      <c r="E2321" s="44">
        <v>84.8</v>
      </c>
      <c r="F2321" s="44">
        <v>86.2</v>
      </c>
      <c r="G2321" s="44">
        <v>84.8</v>
      </c>
      <c r="H2321" s="44">
        <v>86</v>
      </c>
      <c r="I2321" s="44">
        <v>0.4</v>
      </c>
      <c r="J2321" s="44">
        <v>0.47</v>
      </c>
      <c r="K2321" s="44">
        <v>8</v>
      </c>
      <c r="L2321" s="44">
        <v>85.7</v>
      </c>
      <c r="M2321" s="44">
        <v>28</v>
      </c>
    </row>
    <row r="2322" spans="1:13" x14ac:dyDescent="0.25">
      <c r="A2322" s="45" t="s">
        <v>3238</v>
      </c>
      <c r="B2322" s="44" t="s">
        <v>5451</v>
      </c>
      <c r="C2322" s="47">
        <v>44250</v>
      </c>
      <c r="D2322" s="44">
        <v>202103</v>
      </c>
      <c r="E2322" s="44">
        <v>84.8</v>
      </c>
      <c r="F2322" s="44">
        <v>86.2</v>
      </c>
      <c r="G2322" s="44">
        <v>84.8</v>
      </c>
      <c r="H2322" s="44">
        <v>86</v>
      </c>
      <c r="I2322" s="44">
        <v>0.4</v>
      </c>
      <c r="J2322" s="44">
        <v>0.47</v>
      </c>
      <c r="K2322" s="44">
        <v>8</v>
      </c>
      <c r="L2322" s="44">
        <v>85.7</v>
      </c>
      <c r="M2322" s="44">
        <v>28</v>
      </c>
    </row>
    <row r="2323" spans="1:13" x14ac:dyDescent="0.25">
      <c r="A2323" s="45" t="s">
        <v>3239</v>
      </c>
      <c r="B2323" s="44" t="s">
        <v>5452</v>
      </c>
      <c r="C2323" s="47">
        <v>44250</v>
      </c>
      <c r="D2323" s="44">
        <v>202106</v>
      </c>
      <c r="E2323" s="44">
        <v>85.3</v>
      </c>
      <c r="F2323" s="44">
        <v>85.3</v>
      </c>
      <c r="G2323" s="44">
        <v>85.3</v>
      </c>
      <c r="H2323" s="44">
        <v>85.3</v>
      </c>
      <c r="I2323" s="44">
        <v>0.1</v>
      </c>
      <c r="J2323" s="44">
        <v>0.12</v>
      </c>
      <c r="K2323" s="44">
        <v>0</v>
      </c>
      <c r="L2323" s="44">
        <v>85.3</v>
      </c>
      <c r="M2323" s="44">
        <v>2</v>
      </c>
    </row>
    <row r="2324" spans="1:13" x14ac:dyDescent="0.25">
      <c r="A2324" s="45" t="s">
        <v>3240</v>
      </c>
      <c r="B2324" s="44" t="s">
        <v>5453</v>
      </c>
      <c r="C2324" s="47">
        <v>44250</v>
      </c>
      <c r="D2324" s="44">
        <v>202103</v>
      </c>
      <c r="E2324" s="44">
        <v>84.8</v>
      </c>
      <c r="F2324" s="44">
        <v>86.2</v>
      </c>
      <c r="G2324" s="44">
        <v>84.8</v>
      </c>
      <c r="H2324" s="44">
        <v>86</v>
      </c>
      <c r="I2324" s="44">
        <v>0.4</v>
      </c>
      <c r="J2324" s="44">
        <v>0.47</v>
      </c>
      <c r="K2324" s="44">
        <v>8</v>
      </c>
      <c r="L2324" s="44">
        <v>85.7</v>
      </c>
      <c r="M2324" s="44">
        <v>28</v>
      </c>
    </row>
    <row r="2325" spans="1:13" x14ac:dyDescent="0.25">
      <c r="A2325" s="45" t="s">
        <v>3241</v>
      </c>
      <c r="B2325" s="44" t="s">
        <v>5454</v>
      </c>
      <c r="C2325" s="47">
        <v>44250</v>
      </c>
      <c r="D2325" s="44">
        <v>202103</v>
      </c>
      <c r="E2325" s="44">
        <v>84.8</v>
      </c>
      <c r="F2325" s="44">
        <v>86.2</v>
      </c>
      <c r="G2325" s="44">
        <v>84.8</v>
      </c>
      <c r="H2325" s="44">
        <v>86</v>
      </c>
      <c r="I2325" s="44">
        <v>0.4</v>
      </c>
      <c r="J2325" s="44">
        <v>0.47</v>
      </c>
      <c r="K2325" s="44">
        <v>8</v>
      </c>
      <c r="L2325" s="44">
        <v>85.7</v>
      </c>
      <c r="M2325" s="44">
        <v>28</v>
      </c>
    </row>
    <row r="2326" spans="1:13" x14ac:dyDescent="0.25">
      <c r="A2326" s="45" t="s">
        <v>3242</v>
      </c>
      <c r="B2326" s="44" t="s">
        <v>5455</v>
      </c>
      <c r="C2326" s="47">
        <v>44250</v>
      </c>
      <c r="D2326" s="44">
        <v>202106</v>
      </c>
      <c r="E2326" s="44">
        <v>85.3</v>
      </c>
      <c r="F2326" s="44">
        <v>85.3</v>
      </c>
      <c r="G2326" s="44">
        <v>85.3</v>
      </c>
      <c r="H2326" s="44">
        <v>85.3</v>
      </c>
      <c r="I2326" s="44">
        <v>0.1</v>
      </c>
      <c r="J2326" s="44">
        <v>0.12</v>
      </c>
      <c r="K2326" s="44">
        <v>0</v>
      </c>
      <c r="L2326" s="44">
        <v>85.3</v>
      </c>
      <c r="M2326" s="44">
        <v>2</v>
      </c>
    </row>
    <row r="2327" spans="1:13" x14ac:dyDescent="0.25">
      <c r="A2327" s="45" t="s">
        <v>3243</v>
      </c>
      <c r="B2327" s="44" t="s">
        <v>5450</v>
      </c>
      <c r="C2327" s="47">
        <v>44250</v>
      </c>
      <c r="D2327" s="44">
        <v>202103</v>
      </c>
      <c r="E2327" s="44">
        <v>85.7</v>
      </c>
      <c r="F2327" s="44">
        <v>85.7</v>
      </c>
      <c r="G2327" s="44">
        <v>85.7</v>
      </c>
      <c r="H2327" s="44">
        <v>85.7</v>
      </c>
      <c r="I2327" s="44">
        <v>0.1</v>
      </c>
      <c r="J2327" s="44">
        <v>0.12</v>
      </c>
      <c r="K2327" s="44">
        <v>0</v>
      </c>
      <c r="L2327" s="44">
        <v>85.7</v>
      </c>
      <c r="M2327" s="44">
        <v>21</v>
      </c>
    </row>
    <row r="2328" spans="1:13" x14ac:dyDescent="0.25">
      <c r="A2328" s="45" t="s">
        <v>3244</v>
      </c>
      <c r="B2328" s="44" t="s">
        <v>5451</v>
      </c>
      <c r="C2328" s="47">
        <v>44250</v>
      </c>
      <c r="D2328" s="44">
        <v>202103</v>
      </c>
      <c r="E2328" s="44">
        <v>85.7</v>
      </c>
      <c r="F2328" s="44">
        <v>85.7</v>
      </c>
      <c r="G2328" s="44">
        <v>85.7</v>
      </c>
      <c r="H2328" s="44">
        <v>85.7</v>
      </c>
      <c r="I2328" s="44">
        <v>0.1</v>
      </c>
      <c r="J2328" s="44">
        <v>0.12</v>
      </c>
      <c r="K2328" s="44">
        <v>0</v>
      </c>
      <c r="L2328" s="44">
        <v>85.7</v>
      </c>
      <c r="M2328" s="44">
        <v>21</v>
      </c>
    </row>
    <row r="2329" spans="1:13" x14ac:dyDescent="0.25">
      <c r="A2329" s="45" t="s">
        <v>3245</v>
      </c>
      <c r="B2329" s="44" t="s">
        <v>5452</v>
      </c>
      <c r="C2329" s="47">
        <v>44250</v>
      </c>
      <c r="D2329" s="44">
        <v>202106</v>
      </c>
      <c r="E2329" s="44">
        <v>85.3</v>
      </c>
      <c r="F2329" s="44">
        <v>85.3</v>
      </c>
      <c r="G2329" s="44">
        <v>85.3</v>
      </c>
      <c r="H2329" s="44">
        <v>85.3</v>
      </c>
      <c r="I2329" s="44">
        <v>0.1</v>
      </c>
      <c r="J2329" s="44">
        <v>0.12</v>
      </c>
      <c r="K2329" s="44">
        <v>0</v>
      </c>
      <c r="L2329" s="44">
        <v>85.3</v>
      </c>
      <c r="M2329" s="44">
        <v>20</v>
      </c>
    </row>
    <row r="2330" spans="1:13" x14ac:dyDescent="0.25">
      <c r="A2330" s="45" t="s">
        <v>3246</v>
      </c>
      <c r="B2330" s="44" t="s">
        <v>5453</v>
      </c>
      <c r="C2330" s="47">
        <v>44250</v>
      </c>
      <c r="D2330" s="44">
        <v>202103</v>
      </c>
      <c r="E2330" s="44">
        <v>85.7</v>
      </c>
      <c r="F2330" s="44">
        <v>85.7</v>
      </c>
      <c r="G2330" s="44">
        <v>85.7</v>
      </c>
      <c r="H2330" s="44">
        <v>85.7</v>
      </c>
      <c r="I2330" s="44">
        <v>0.1</v>
      </c>
      <c r="J2330" s="44">
        <v>0.12</v>
      </c>
      <c r="K2330" s="44">
        <v>0</v>
      </c>
      <c r="L2330" s="44">
        <v>85.7</v>
      </c>
      <c r="M2330" s="44">
        <v>21</v>
      </c>
    </row>
    <row r="2331" spans="1:13" x14ac:dyDescent="0.25">
      <c r="A2331" s="45" t="s">
        <v>3247</v>
      </c>
      <c r="B2331" s="44" t="s">
        <v>5454</v>
      </c>
      <c r="C2331" s="47">
        <v>44250</v>
      </c>
      <c r="D2331" s="44">
        <v>202103</v>
      </c>
      <c r="E2331" s="44">
        <v>85.7</v>
      </c>
      <c r="F2331" s="44">
        <v>85.7</v>
      </c>
      <c r="G2331" s="44">
        <v>85.7</v>
      </c>
      <c r="H2331" s="44">
        <v>85.7</v>
      </c>
      <c r="I2331" s="44">
        <v>0.1</v>
      </c>
      <c r="J2331" s="44">
        <v>0.12</v>
      </c>
      <c r="K2331" s="44">
        <v>0</v>
      </c>
      <c r="L2331" s="44">
        <v>85.7</v>
      </c>
      <c r="M2331" s="44">
        <v>21</v>
      </c>
    </row>
    <row r="2332" spans="1:13" x14ac:dyDescent="0.25">
      <c r="A2332" s="45" t="s">
        <v>3248</v>
      </c>
      <c r="B2332" s="44" t="s">
        <v>5455</v>
      </c>
      <c r="C2332" s="47">
        <v>44250</v>
      </c>
      <c r="D2332" s="44">
        <v>202106</v>
      </c>
      <c r="E2332" s="44">
        <v>85.3</v>
      </c>
      <c r="F2332" s="44">
        <v>85.3</v>
      </c>
      <c r="G2332" s="44">
        <v>85.3</v>
      </c>
      <c r="H2332" s="44">
        <v>85.3</v>
      </c>
      <c r="I2332" s="44">
        <v>0.1</v>
      </c>
      <c r="J2332" s="44">
        <v>0.12</v>
      </c>
      <c r="K2332" s="44">
        <v>0</v>
      </c>
      <c r="L2332" s="44">
        <v>85.3</v>
      </c>
      <c r="M2332" s="44">
        <v>20</v>
      </c>
    </row>
    <row r="2333" spans="1:13" x14ac:dyDescent="0.25">
      <c r="A2333" s="45" t="s">
        <v>1046</v>
      </c>
      <c r="B2333" s="44" t="s">
        <v>5456</v>
      </c>
      <c r="C2333" s="47">
        <v>44250</v>
      </c>
      <c r="D2333" s="44">
        <v>202103</v>
      </c>
      <c r="E2333" s="44">
        <v>85.3</v>
      </c>
      <c r="F2333" s="44">
        <v>86.5</v>
      </c>
      <c r="G2333" s="44">
        <v>84.8</v>
      </c>
      <c r="H2333" s="44">
        <v>85.7</v>
      </c>
      <c r="I2333" s="44">
        <v>0.1</v>
      </c>
      <c r="J2333" s="44">
        <v>0.12</v>
      </c>
      <c r="K2333" s="44">
        <v>85</v>
      </c>
      <c r="L2333" s="44">
        <v>85.7</v>
      </c>
      <c r="M2333" s="44">
        <v>623</v>
      </c>
    </row>
    <row r="2334" spans="1:13" x14ac:dyDescent="0.25">
      <c r="A2334" s="45" t="s">
        <v>3249</v>
      </c>
      <c r="B2334" s="44" t="s">
        <v>5457</v>
      </c>
      <c r="C2334" s="47">
        <v>44250</v>
      </c>
      <c r="D2334" s="44">
        <v>202103</v>
      </c>
      <c r="E2334" s="44">
        <v>85.3</v>
      </c>
      <c r="F2334" s="44">
        <v>86.5</v>
      </c>
      <c r="G2334" s="44">
        <v>84.8</v>
      </c>
      <c r="H2334" s="44">
        <v>85.7</v>
      </c>
      <c r="I2334" s="44">
        <v>0.1</v>
      </c>
      <c r="J2334" s="44">
        <v>0.12</v>
      </c>
      <c r="K2334" s="44">
        <v>85</v>
      </c>
      <c r="L2334" s="44">
        <v>85.7</v>
      </c>
      <c r="M2334" s="44">
        <v>623</v>
      </c>
    </row>
    <row r="2335" spans="1:13" x14ac:dyDescent="0.25">
      <c r="A2335" s="45" t="s">
        <v>3250</v>
      </c>
      <c r="B2335" s="44" t="s">
        <v>5458</v>
      </c>
      <c r="C2335" s="47">
        <v>44250</v>
      </c>
      <c r="D2335" s="44">
        <v>202104</v>
      </c>
      <c r="E2335" s="44">
        <v>85.4</v>
      </c>
      <c r="F2335" s="44">
        <v>85.4</v>
      </c>
      <c r="G2335" s="44">
        <v>85.4</v>
      </c>
      <c r="H2335" s="44">
        <v>85.4</v>
      </c>
      <c r="I2335" s="44">
        <v>0.1</v>
      </c>
      <c r="J2335" s="44">
        <v>0.12</v>
      </c>
      <c r="K2335" s="44">
        <v>0</v>
      </c>
      <c r="L2335" s="44">
        <v>85.4</v>
      </c>
      <c r="M2335" s="44">
        <v>8</v>
      </c>
    </row>
    <row r="2336" spans="1:13" x14ac:dyDescent="0.25">
      <c r="A2336" s="45" t="s">
        <v>3251</v>
      </c>
      <c r="B2336" s="44" t="s">
        <v>5459</v>
      </c>
      <c r="C2336" s="47">
        <v>44250</v>
      </c>
      <c r="D2336" s="44">
        <v>202104</v>
      </c>
      <c r="E2336" s="44">
        <v>85.4</v>
      </c>
      <c r="F2336" s="44">
        <v>85.4</v>
      </c>
      <c r="G2336" s="44">
        <v>85.4</v>
      </c>
      <c r="H2336" s="44">
        <v>85.4</v>
      </c>
      <c r="I2336" s="44">
        <v>0.1</v>
      </c>
      <c r="J2336" s="44">
        <v>0.12</v>
      </c>
      <c r="K2336" s="44">
        <v>0</v>
      </c>
      <c r="L2336" s="44">
        <v>85.4</v>
      </c>
      <c r="M2336" s="44">
        <v>8</v>
      </c>
    </row>
    <row r="2337" spans="1:13" x14ac:dyDescent="0.25">
      <c r="A2337" s="45" t="s">
        <v>3252</v>
      </c>
      <c r="C2337" s="47"/>
    </row>
    <row r="2338" spans="1:13" x14ac:dyDescent="0.25">
      <c r="A2338" s="45" t="s">
        <v>3253</v>
      </c>
      <c r="C2338" s="47"/>
    </row>
    <row r="2339" spans="1:13" x14ac:dyDescent="0.25">
      <c r="A2339" s="45" t="s">
        <v>3254</v>
      </c>
      <c r="B2339" s="44" t="s">
        <v>5460</v>
      </c>
      <c r="C2339" s="47">
        <v>44250</v>
      </c>
      <c r="D2339" s="44">
        <v>202103</v>
      </c>
      <c r="E2339" s="44">
        <v>85.3</v>
      </c>
      <c r="F2339" s="44">
        <v>86.5</v>
      </c>
      <c r="G2339" s="44">
        <v>84.8</v>
      </c>
      <c r="H2339" s="44">
        <v>85.7</v>
      </c>
      <c r="I2339" s="44">
        <v>0.1</v>
      </c>
      <c r="J2339" s="44">
        <v>0.12</v>
      </c>
      <c r="K2339" s="44">
        <v>85</v>
      </c>
      <c r="L2339" s="44">
        <v>85.7</v>
      </c>
      <c r="M2339" s="44">
        <v>623</v>
      </c>
    </row>
    <row r="2340" spans="1:13" x14ac:dyDescent="0.25">
      <c r="A2340" s="45" t="s">
        <v>3255</v>
      </c>
      <c r="B2340" s="44" t="s">
        <v>5461</v>
      </c>
      <c r="C2340" s="47">
        <v>44250</v>
      </c>
      <c r="D2340" s="44">
        <v>202106</v>
      </c>
      <c r="E2340" s="44">
        <v>85.3</v>
      </c>
      <c r="F2340" s="44">
        <v>85.3</v>
      </c>
      <c r="G2340" s="44">
        <v>85.3</v>
      </c>
      <c r="H2340" s="44">
        <v>85.3</v>
      </c>
      <c r="I2340" s="44">
        <v>0.1</v>
      </c>
      <c r="J2340" s="44">
        <v>0.12</v>
      </c>
      <c r="K2340" s="44">
        <v>0</v>
      </c>
      <c r="L2340" s="44">
        <v>85.3</v>
      </c>
      <c r="M2340" s="44">
        <v>8</v>
      </c>
    </row>
    <row r="2341" spans="1:13" x14ac:dyDescent="0.25">
      <c r="A2341" s="45" t="s">
        <v>3256</v>
      </c>
      <c r="B2341" s="44" t="s">
        <v>5462</v>
      </c>
      <c r="C2341" s="47">
        <v>44250</v>
      </c>
      <c r="D2341" s="44">
        <v>202109</v>
      </c>
      <c r="E2341" s="44">
        <v>85.1</v>
      </c>
      <c r="F2341" s="44">
        <v>85.1</v>
      </c>
      <c r="G2341" s="44">
        <v>85.1</v>
      </c>
      <c r="H2341" s="44">
        <v>85.1</v>
      </c>
      <c r="I2341" s="44">
        <v>0.1</v>
      </c>
      <c r="J2341" s="44">
        <v>0.12</v>
      </c>
      <c r="K2341" s="44">
        <v>0</v>
      </c>
      <c r="L2341" s="44">
        <v>85.1</v>
      </c>
      <c r="M2341" s="44">
        <v>5</v>
      </c>
    </row>
    <row r="2342" spans="1:13" x14ac:dyDescent="0.25">
      <c r="A2342" s="45" t="s">
        <v>3257</v>
      </c>
      <c r="B2342" s="44" t="s">
        <v>5463</v>
      </c>
      <c r="C2342" s="47">
        <v>44250</v>
      </c>
      <c r="D2342" s="44">
        <v>202112</v>
      </c>
      <c r="E2342" s="44">
        <v>85.3</v>
      </c>
      <c r="F2342" s="44">
        <v>85.3</v>
      </c>
      <c r="G2342" s="44">
        <v>85.3</v>
      </c>
      <c r="H2342" s="44">
        <v>85.3</v>
      </c>
      <c r="I2342" s="44">
        <v>0.7</v>
      </c>
      <c r="J2342" s="44">
        <v>0.83</v>
      </c>
      <c r="K2342" s="44">
        <v>0</v>
      </c>
      <c r="L2342" s="44">
        <v>85.3</v>
      </c>
      <c r="M2342" s="44">
        <v>0</v>
      </c>
    </row>
    <row r="2343" spans="1:13" x14ac:dyDescent="0.25">
      <c r="A2343" s="45" t="s">
        <v>979</v>
      </c>
      <c r="B2343" s="44" t="s">
        <v>5464</v>
      </c>
      <c r="C2343" s="47">
        <v>44250</v>
      </c>
      <c r="D2343" s="44">
        <v>202103</v>
      </c>
      <c r="E2343" s="44">
        <v>35.75</v>
      </c>
      <c r="F2343" s="44">
        <v>35.75</v>
      </c>
      <c r="G2343" s="44">
        <v>35.299999999999997</v>
      </c>
      <c r="H2343" s="44">
        <v>35.35</v>
      </c>
      <c r="I2343" s="44">
        <v>0.05</v>
      </c>
      <c r="J2343" s="44">
        <v>0.14000000000000001</v>
      </c>
      <c r="K2343" s="44">
        <v>18</v>
      </c>
      <c r="L2343" s="44">
        <v>35.35</v>
      </c>
      <c r="M2343" s="44">
        <v>31</v>
      </c>
    </row>
    <row r="2344" spans="1:13" x14ac:dyDescent="0.25">
      <c r="A2344" s="45" t="s">
        <v>3258</v>
      </c>
      <c r="B2344" s="44" t="s">
        <v>5465</v>
      </c>
      <c r="C2344" s="47">
        <v>44250</v>
      </c>
      <c r="D2344" s="44">
        <v>202103</v>
      </c>
      <c r="E2344" s="44">
        <v>35.75</v>
      </c>
      <c r="F2344" s="44">
        <v>35.75</v>
      </c>
      <c r="G2344" s="44">
        <v>35.299999999999997</v>
      </c>
      <c r="H2344" s="44">
        <v>35.35</v>
      </c>
      <c r="I2344" s="44">
        <v>0.05</v>
      </c>
      <c r="J2344" s="44">
        <v>0.14000000000000001</v>
      </c>
      <c r="K2344" s="44">
        <v>18</v>
      </c>
      <c r="L2344" s="44">
        <v>35.35</v>
      </c>
      <c r="M2344" s="44">
        <v>31</v>
      </c>
    </row>
    <row r="2345" spans="1:13" x14ac:dyDescent="0.25">
      <c r="A2345" s="45" t="s">
        <v>3259</v>
      </c>
      <c r="B2345" s="44" t="s">
        <v>5466</v>
      </c>
      <c r="C2345" s="47">
        <v>44250</v>
      </c>
      <c r="D2345" s="44">
        <v>202104</v>
      </c>
      <c r="E2345" s="44">
        <v>35.35</v>
      </c>
      <c r="F2345" s="44">
        <v>35.35</v>
      </c>
      <c r="G2345" s="44">
        <v>35.35</v>
      </c>
      <c r="H2345" s="44">
        <v>35.35</v>
      </c>
      <c r="I2345" s="44">
        <v>-0.2</v>
      </c>
      <c r="J2345" s="44">
        <v>-0.56000000000000005</v>
      </c>
      <c r="K2345" s="44">
        <v>2</v>
      </c>
      <c r="L2345" s="44">
        <v>35.35</v>
      </c>
      <c r="M2345" s="44">
        <v>9</v>
      </c>
    </row>
    <row r="2346" spans="1:13" x14ac:dyDescent="0.25">
      <c r="A2346" s="45" t="s">
        <v>3260</v>
      </c>
      <c r="B2346" s="44" t="s">
        <v>5467</v>
      </c>
      <c r="C2346" s="47">
        <v>44250</v>
      </c>
      <c r="D2346" s="44">
        <v>202104</v>
      </c>
      <c r="E2346" s="44">
        <v>35.35</v>
      </c>
      <c r="F2346" s="44">
        <v>35.35</v>
      </c>
      <c r="G2346" s="44">
        <v>35.35</v>
      </c>
      <c r="H2346" s="44">
        <v>35.35</v>
      </c>
      <c r="I2346" s="44">
        <v>-0.2</v>
      </c>
      <c r="J2346" s="44">
        <v>-0.56000000000000005</v>
      </c>
      <c r="K2346" s="44">
        <v>2</v>
      </c>
      <c r="L2346" s="44">
        <v>35.35</v>
      </c>
      <c r="M2346" s="44">
        <v>9</v>
      </c>
    </row>
    <row r="2347" spans="1:13" x14ac:dyDescent="0.25">
      <c r="A2347" s="45" t="s">
        <v>3261</v>
      </c>
      <c r="C2347" s="47"/>
    </row>
    <row r="2348" spans="1:13" x14ac:dyDescent="0.25">
      <c r="A2348" s="45" t="s">
        <v>3262</v>
      </c>
      <c r="B2348" s="44" t="s">
        <v>5468</v>
      </c>
      <c r="C2348" s="47">
        <v>44250</v>
      </c>
      <c r="D2348" s="44">
        <v>202103</v>
      </c>
      <c r="E2348" s="44">
        <v>35.75</v>
      </c>
      <c r="F2348" s="44">
        <v>35.75</v>
      </c>
      <c r="G2348" s="44">
        <v>35.299999999999997</v>
      </c>
      <c r="H2348" s="44">
        <v>35.35</v>
      </c>
      <c r="I2348" s="44">
        <v>0.05</v>
      </c>
      <c r="J2348" s="44">
        <v>0.14000000000000001</v>
      </c>
      <c r="K2348" s="44">
        <v>18</v>
      </c>
      <c r="L2348" s="44">
        <v>35.35</v>
      </c>
      <c r="M2348" s="44">
        <v>31</v>
      </c>
    </row>
    <row r="2349" spans="1:13" x14ac:dyDescent="0.25">
      <c r="A2349" s="45" t="s">
        <v>3263</v>
      </c>
      <c r="B2349" s="44" t="s">
        <v>5469</v>
      </c>
      <c r="C2349" s="47">
        <v>44250</v>
      </c>
      <c r="D2349" s="44">
        <v>202106</v>
      </c>
      <c r="E2349" s="44">
        <v>35.35</v>
      </c>
      <c r="F2349" s="44">
        <v>35.35</v>
      </c>
      <c r="G2349" s="44">
        <v>35.35</v>
      </c>
      <c r="H2349" s="44">
        <v>35.35</v>
      </c>
      <c r="I2349" s="44">
        <v>0.05</v>
      </c>
      <c r="J2349" s="44">
        <v>0.14000000000000001</v>
      </c>
      <c r="K2349" s="44">
        <v>0</v>
      </c>
      <c r="L2349" s="44">
        <v>35.35</v>
      </c>
      <c r="M2349" s="44">
        <v>0</v>
      </c>
    </row>
    <row r="2350" spans="1:13" x14ac:dyDescent="0.25">
      <c r="A2350" s="45" t="s">
        <v>3264</v>
      </c>
      <c r="B2350" s="44" t="s">
        <v>5470</v>
      </c>
      <c r="C2350" s="47">
        <v>44250</v>
      </c>
      <c r="D2350" s="44">
        <v>202109</v>
      </c>
      <c r="E2350" s="44">
        <v>35.35</v>
      </c>
      <c r="F2350" s="44">
        <v>35.35</v>
      </c>
      <c r="G2350" s="44">
        <v>35.35</v>
      </c>
      <c r="H2350" s="44">
        <v>35.35</v>
      </c>
      <c r="I2350" s="44">
        <v>0.05</v>
      </c>
      <c r="J2350" s="44">
        <v>0.14000000000000001</v>
      </c>
      <c r="K2350" s="44">
        <v>0</v>
      </c>
      <c r="L2350" s="44">
        <v>35.35</v>
      </c>
      <c r="M2350" s="44">
        <v>0</v>
      </c>
    </row>
    <row r="2351" spans="1:13" x14ac:dyDescent="0.25">
      <c r="A2351" s="45" t="s">
        <v>3265</v>
      </c>
      <c r="B2351" s="44" t="s">
        <v>5471</v>
      </c>
      <c r="C2351" s="47">
        <v>44250</v>
      </c>
      <c r="D2351" s="44">
        <v>202112</v>
      </c>
      <c r="E2351" s="44">
        <v>35.450000000000003</v>
      </c>
      <c r="F2351" s="44">
        <v>35.450000000000003</v>
      </c>
      <c r="G2351" s="44">
        <v>35.450000000000003</v>
      </c>
      <c r="H2351" s="44">
        <v>35.450000000000003</v>
      </c>
      <c r="I2351" s="44">
        <v>0.05</v>
      </c>
      <c r="J2351" s="44">
        <v>0.14000000000000001</v>
      </c>
      <c r="K2351" s="44">
        <v>0</v>
      </c>
      <c r="L2351" s="44">
        <v>35.450000000000003</v>
      </c>
      <c r="M2351" s="44">
        <v>0</v>
      </c>
    </row>
    <row r="2352" spans="1:13" x14ac:dyDescent="0.25">
      <c r="A2352" s="45" t="s">
        <v>1034</v>
      </c>
      <c r="B2352" s="44" t="s">
        <v>5472</v>
      </c>
      <c r="C2352" s="47">
        <v>44250</v>
      </c>
      <c r="D2352" s="44">
        <v>202103</v>
      </c>
      <c r="E2352" s="44">
        <v>151</v>
      </c>
      <c r="F2352" s="44">
        <v>151</v>
      </c>
      <c r="G2352" s="44">
        <v>151</v>
      </c>
      <c r="H2352" s="44">
        <v>151</v>
      </c>
      <c r="I2352" s="44">
        <v>0</v>
      </c>
      <c r="J2352" s="44">
        <v>0</v>
      </c>
      <c r="K2352" s="44">
        <v>0</v>
      </c>
      <c r="L2352" s="44">
        <v>151</v>
      </c>
      <c r="M2352" s="44">
        <v>2</v>
      </c>
    </row>
    <row r="2353" spans="1:13" x14ac:dyDescent="0.25">
      <c r="A2353" s="45" t="s">
        <v>3266</v>
      </c>
      <c r="B2353" s="44" t="s">
        <v>5473</v>
      </c>
      <c r="C2353" s="47">
        <v>44250</v>
      </c>
      <c r="D2353" s="44">
        <v>202103</v>
      </c>
      <c r="E2353" s="44">
        <v>151</v>
      </c>
      <c r="F2353" s="44">
        <v>151</v>
      </c>
      <c r="G2353" s="44">
        <v>151</v>
      </c>
      <c r="H2353" s="44">
        <v>151</v>
      </c>
      <c r="I2353" s="44">
        <v>0</v>
      </c>
      <c r="J2353" s="44">
        <v>0</v>
      </c>
      <c r="K2353" s="44">
        <v>0</v>
      </c>
      <c r="L2353" s="44">
        <v>151</v>
      </c>
      <c r="M2353" s="44">
        <v>2</v>
      </c>
    </row>
    <row r="2354" spans="1:13" x14ac:dyDescent="0.25">
      <c r="A2354" s="45" t="s">
        <v>3267</v>
      </c>
      <c r="B2354" s="44" t="s">
        <v>5474</v>
      </c>
      <c r="C2354" s="47">
        <v>44250</v>
      </c>
      <c r="D2354" s="44">
        <v>202104</v>
      </c>
      <c r="E2354" s="44">
        <v>151.5</v>
      </c>
      <c r="F2354" s="44">
        <v>151.5</v>
      </c>
      <c r="G2354" s="44">
        <v>151.5</v>
      </c>
      <c r="H2354" s="44">
        <v>151.5</v>
      </c>
      <c r="I2354" s="44">
        <v>0</v>
      </c>
      <c r="J2354" s="44">
        <v>0</v>
      </c>
      <c r="K2354" s="44">
        <v>0</v>
      </c>
      <c r="L2354" s="44">
        <v>151.5</v>
      </c>
      <c r="M2354" s="44">
        <v>0</v>
      </c>
    </row>
    <row r="2355" spans="1:13" x14ac:dyDescent="0.25">
      <c r="A2355" s="45" t="s">
        <v>3268</v>
      </c>
      <c r="B2355" s="44" t="s">
        <v>5475</v>
      </c>
      <c r="C2355" s="47">
        <v>44250</v>
      </c>
      <c r="D2355" s="44">
        <v>202104</v>
      </c>
      <c r="E2355" s="44">
        <v>151.5</v>
      </c>
      <c r="F2355" s="44">
        <v>151.5</v>
      </c>
      <c r="G2355" s="44">
        <v>151.5</v>
      </c>
      <c r="H2355" s="44">
        <v>151.5</v>
      </c>
      <c r="I2355" s="44">
        <v>0</v>
      </c>
      <c r="J2355" s="44">
        <v>0</v>
      </c>
      <c r="K2355" s="44">
        <v>0</v>
      </c>
      <c r="L2355" s="44">
        <v>151.5</v>
      </c>
      <c r="M2355" s="44">
        <v>0</v>
      </c>
    </row>
    <row r="2356" spans="1:13" x14ac:dyDescent="0.25">
      <c r="A2356" s="45" t="s">
        <v>3269</v>
      </c>
      <c r="C2356" s="47"/>
    </row>
    <row r="2357" spans="1:13" x14ac:dyDescent="0.25">
      <c r="A2357" s="45" t="s">
        <v>3270</v>
      </c>
      <c r="B2357" s="44" t="s">
        <v>5476</v>
      </c>
      <c r="C2357" s="47">
        <v>44250</v>
      </c>
      <c r="D2357" s="44">
        <v>202103</v>
      </c>
      <c r="E2357" s="44">
        <v>151</v>
      </c>
      <c r="F2357" s="44">
        <v>151</v>
      </c>
      <c r="G2357" s="44">
        <v>151</v>
      </c>
      <c r="H2357" s="44">
        <v>151</v>
      </c>
      <c r="I2357" s="44">
        <v>0</v>
      </c>
      <c r="J2357" s="44">
        <v>0</v>
      </c>
      <c r="K2357" s="44">
        <v>0</v>
      </c>
      <c r="L2357" s="44">
        <v>151</v>
      </c>
      <c r="M2357" s="44">
        <v>2</v>
      </c>
    </row>
    <row r="2358" spans="1:13" x14ac:dyDescent="0.25">
      <c r="A2358" s="45" t="s">
        <v>3271</v>
      </c>
      <c r="B2358" s="44" t="s">
        <v>5477</v>
      </c>
      <c r="C2358" s="47">
        <v>44250</v>
      </c>
      <c r="D2358" s="44">
        <v>202106</v>
      </c>
      <c r="E2358" s="44">
        <v>151.5</v>
      </c>
      <c r="F2358" s="44">
        <v>151.5</v>
      </c>
      <c r="G2358" s="44">
        <v>151.5</v>
      </c>
      <c r="H2358" s="44">
        <v>151.5</v>
      </c>
      <c r="I2358" s="44">
        <v>0</v>
      </c>
      <c r="J2358" s="44">
        <v>0</v>
      </c>
      <c r="K2358" s="44">
        <v>0</v>
      </c>
      <c r="L2358" s="44">
        <v>151.5</v>
      </c>
      <c r="M2358" s="44">
        <v>0</v>
      </c>
    </row>
    <row r="2359" spans="1:13" x14ac:dyDescent="0.25">
      <c r="A2359" s="45" t="s">
        <v>3272</v>
      </c>
      <c r="B2359" s="44" t="s">
        <v>5478</v>
      </c>
      <c r="C2359" s="47">
        <v>44250</v>
      </c>
      <c r="D2359" s="44">
        <v>202109</v>
      </c>
      <c r="E2359" s="44">
        <v>151.5</v>
      </c>
      <c r="F2359" s="44">
        <v>151.5</v>
      </c>
      <c r="G2359" s="44">
        <v>151.5</v>
      </c>
      <c r="H2359" s="44">
        <v>151.5</v>
      </c>
      <c r="I2359" s="44">
        <v>0</v>
      </c>
      <c r="J2359" s="44">
        <v>0</v>
      </c>
      <c r="K2359" s="44">
        <v>0</v>
      </c>
      <c r="L2359" s="44">
        <v>151.5</v>
      </c>
      <c r="M2359" s="44">
        <v>0</v>
      </c>
    </row>
    <row r="2360" spans="1:13" x14ac:dyDescent="0.25">
      <c r="A2360" s="45" t="s">
        <v>3273</v>
      </c>
      <c r="B2360" s="44" t="s">
        <v>5479</v>
      </c>
      <c r="C2360" s="47">
        <v>44250</v>
      </c>
      <c r="D2360" s="44">
        <v>202112</v>
      </c>
      <c r="E2360" s="44">
        <v>152</v>
      </c>
      <c r="F2360" s="44">
        <v>152</v>
      </c>
      <c r="G2360" s="44">
        <v>152</v>
      </c>
      <c r="H2360" s="44">
        <v>152</v>
      </c>
      <c r="I2360" s="44">
        <v>0</v>
      </c>
      <c r="J2360" s="44">
        <v>0</v>
      </c>
      <c r="K2360" s="44">
        <v>0</v>
      </c>
      <c r="L2360" s="44">
        <v>152</v>
      </c>
      <c r="M2360" s="44">
        <v>0</v>
      </c>
    </row>
    <row r="2361" spans="1:13" x14ac:dyDescent="0.25">
      <c r="A2361" s="45" t="s">
        <v>930</v>
      </c>
      <c r="B2361" s="44" t="s">
        <v>5480</v>
      </c>
      <c r="C2361" s="47">
        <v>44250</v>
      </c>
      <c r="D2361" s="44">
        <v>202103</v>
      </c>
      <c r="E2361" s="44">
        <v>627</v>
      </c>
      <c r="F2361" s="44">
        <v>642</v>
      </c>
      <c r="G2361" s="44">
        <v>617</v>
      </c>
      <c r="H2361" s="44">
        <v>642</v>
      </c>
      <c r="I2361" s="44">
        <v>21</v>
      </c>
      <c r="J2361" s="44">
        <v>3.38</v>
      </c>
      <c r="K2361" s="44">
        <v>1024</v>
      </c>
      <c r="L2361" s="44">
        <v>640</v>
      </c>
      <c r="M2361" s="44">
        <v>1021</v>
      </c>
    </row>
    <row r="2362" spans="1:13" x14ac:dyDescent="0.25">
      <c r="A2362" s="45" t="s">
        <v>3274</v>
      </c>
      <c r="B2362" s="44" t="s">
        <v>5481</v>
      </c>
      <c r="C2362" s="47">
        <v>44250</v>
      </c>
      <c r="D2362" s="44">
        <v>202103</v>
      </c>
      <c r="E2362" s="44">
        <v>627</v>
      </c>
      <c r="F2362" s="44">
        <v>642</v>
      </c>
      <c r="G2362" s="44">
        <v>617</v>
      </c>
      <c r="H2362" s="44">
        <v>642</v>
      </c>
      <c r="I2362" s="44">
        <v>21</v>
      </c>
      <c r="J2362" s="44">
        <v>3.38</v>
      </c>
      <c r="K2362" s="44">
        <v>1024</v>
      </c>
      <c r="L2362" s="44">
        <v>640</v>
      </c>
      <c r="M2362" s="44">
        <v>1021</v>
      </c>
    </row>
    <row r="2363" spans="1:13" x14ac:dyDescent="0.25">
      <c r="A2363" s="45" t="s">
        <v>3275</v>
      </c>
      <c r="B2363" s="44" t="s">
        <v>5482</v>
      </c>
      <c r="C2363" s="47">
        <v>44250</v>
      </c>
      <c r="D2363" s="44">
        <v>202104</v>
      </c>
      <c r="E2363" s="44">
        <v>627</v>
      </c>
      <c r="F2363" s="44">
        <v>642</v>
      </c>
      <c r="G2363" s="44">
        <v>626</v>
      </c>
      <c r="H2363" s="44">
        <v>642</v>
      </c>
      <c r="I2363" s="44">
        <v>21</v>
      </c>
      <c r="J2363" s="44">
        <v>3.38</v>
      </c>
      <c r="K2363" s="44">
        <v>38</v>
      </c>
      <c r="L2363" s="44">
        <v>642</v>
      </c>
      <c r="M2363" s="44">
        <v>45</v>
      </c>
    </row>
    <row r="2364" spans="1:13" x14ac:dyDescent="0.25">
      <c r="A2364" s="45" t="s">
        <v>3276</v>
      </c>
      <c r="B2364" s="44" t="s">
        <v>5483</v>
      </c>
      <c r="C2364" s="47">
        <v>44250</v>
      </c>
      <c r="D2364" s="44">
        <v>202104</v>
      </c>
      <c r="E2364" s="44">
        <v>627</v>
      </c>
      <c r="F2364" s="44">
        <v>642</v>
      </c>
      <c r="G2364" s="44">
        <v>626</v>
      </c>
      <c r="H2364" s="44">
        <v>642</v>
      </c>
      <c r="I2364" s="44">
        <v>21</v>
      </c>
      <c r="J2364" s="44">
        <v>3.38</v>
      </c>
      <c r="K2364" s="44">
        <v>38</v>
      </c>
      <c r="L2364" s="44">
        <v>642</v>
      </c>
      <c r="M2364" s="44">
        <v>45</v>
      </c>
    </row>
    <row r="2365" spans="1:13" x14ac:dyDescent="0.25">
      <c r="A2365" s="45" t="s">
        <v>3277</v>
      </c>
      <c r="C2365" s="47"/>
    </row>
    <row r="2366" spans="1:13" x14ac:dyDescent="0.25">
      <c r="A2366" s="45" t="s">
        <v>3278</v>
      </c>
      <c r="C2366" s="47"/>
    </row>
    <row r="2367" spans="1:13" x14ac:dyDescent="0.25">
      <c r="A2367" s="45" t="s">
        <v>3279</v>
      </c>
      <c r="B2367" s="44" t="s">
        <v>5484</v>
      </c>
      <c r="C2367" s="47">
        <v>44250</v>
      </c>
      <c r="D2367" s="44">
        <v>202103</v>
      </c>
      <c r="E2367" s="44">
        <v>627</v>
      </c>
      <c r="F2367" s="44">
        <v>642</v>
      </c>
      <c r="G2367" s="44">
        <v>617</v>
      </c>
      <c r="H2367" s="44">
        <v>642</v>
      </c>
      <c r="I2367" s="44">
        <v>21</v>
      </c>
      <c r="J2367" s="44">
        <v>3.38</v>
      </c>
      <c r="K2367" s="44">
        <v>1024</v>
      </c>
      <c r="L2367" s="44">
        <v>640</v>
      </c>
      <c r="M2367" s="44">
        <v>1021</v>
      </c>
    </row>
    <row r="2368" spans="1:13" x14ac:dyDescent="0.25">
      <c r="A2368" s="45" t="s">
        <v>3280</v>
      </c>
      <c r="B2368" s="44" t="s">
        <v>5485</v>
      </c>
      <c r="C2368" s="47">
        <v>44250</v>
      </c>
      <c r="D2368" s="44">
        <v>202106</v>
      </c>
      <c r="E2368" s="44">
        <v>636</v>
      </c>
      <c r="F2368" s="44">
        <v>636</v>
      </c>
      <c r="G2368" s="44">
        <v>636</v>
      </c>
      <c r="H2368" s="44">
        <v>636</v>
      </c>
      <c r="I2368" s="44">
        <v>19</v>
      </c>
      <c r="J2368" s="44">
        <v>3.08</v>
      </c>
      <c r="K2368" s="44">
        <v>0</v>
      </c>
      <c r="L2368" s="44">
        <v>636</v>
      </c>
      <c r="M2368" s="44">
        <v>0</v>
      </c>
    </row>
    <row r="2369" spans="1:13" x14ac:dyDescent="0.25">
      <c r="A2369" s="45" t="s">
        <v>3281</v>
      </c>
      <c r="B2369" s="44" t="s">
        <v>5486</v>
      </c>
      <c r="C2369" s="47">
        <v>44250</v>
      </c>
      <c r="D2369" s="44">
        <v>202109</v>
      </c>
      <c r="E2369" s="44">
        <v>637</v>
      </c>
      <c r="F2369" s="44">
        <v>637</v>
      </c>
      <c r="G2369" s="44">
        <v>637</v>
      </c>
      <c r="H2369" s="44">
        <v>637</v>
      </c>
      <c r="I2369" s="44">
        <v>20</v>
      </c>
      <c r="J2369" s="44">
        <v>3.24</v>
      </c>
      <c r="K2369" s="44">
        <v>0</v>
      </c>
      <c r="L2369" s="44">
        <v>637</v>
      </c>
      <c r="M2369" s="44">
        <v>0</v>
      </c>
    </row>
    <row r="2370" spans="1:13" x14ac:dyDescent="0.25">
      <c r="A2370" s="45" t="s">
        <v>3282</v>
      </c>
      <c r="B2370" s="44" t="s">
        <v>5487</v>
      </c>
      <c r="C2370" s="47">
        <v>44250</v>
      </c>
      <c r="D2370" s="44">
        <v>202112</v>
      </c>
      <c r="E2370" s="44">
        <v>638</v>
      </c>
      <c r="F2370" s="44">
        <v>638</v>
      </c>
      <c r="G2370" s="44">
        <v>638</v>
      </c>
      <c r="H2370" s="44">
        <v>638</v>
      </c>
      <c r="I2370" s="44">
        <v>19</v>
      </c>
      <c r="J2370" s="44">
        <v>3.07</v>
      </c>
      <c r="K2370" s="44">
        <v>0</v>
      </c>
      <c r="L2370" s="44">
        <v>638</v>
      </c>
      <c r="M2370" s="44">
        <v>0</v>
      </c>
    </row>
    <row r="2371" spans="1:13" x14ac:dyDescent="0.25">
      <c r="A2371" s="45" t="s">
        <v>933</v>
      </c>
      <c r="B2371" s="44" t="s">
        <v>5488</v>
      </c>
      <c r="C2371" s="47">
        <v>44250</v>
      </c>
      <c r="D2371" s="44">
        <v>202103</v>
      </c>
      <c r="E2371" s="44">
        <v>642</v>
      </c>
      <c r="F2371" s="44">
        <v>644</v>
      </c>
      <c r="G2371" s="44">
        <v>634</v>
      </c>
      <c r="H2371" s="44">
        <v>641</v>
      </c>
      <c r="I2371" s="44">
        <v>-10</v>
      </c>
      <c r="J2371" s="44">
        <v>-1.54</v>
      </c>
      <c r="K2371" s="44">
        <v>3069</v>
      </c>
      <c r="L2371" s="44">
        <v>641</v>
      </c>
      <c r="M2371" s="44">
        <v>5891</v>
      </c>
    </row>
    <row r="2372" spans="1:13" x14ac:dyDescent="0.25">
      <c r="A2372" s="45" t="s">
        <v>3283</v>
      </c>
      <c r="B2372" s="44" t="s">
        <v>5489</v>
      </c>
      <c r="C2372" s="47">
        <v>44250</v>
      </c>
      <c r="D2372" s="44">
        <v>202103</v>
      </c>
      <c r="E2372" s="44">
        <v>642</v>
      </c>
      <c r="F2372" s="44">
        <v>644</v>
      </c>
      <c r="G2372" s="44">
        <v>634</v>
      </c>
      <c r="H2372" s="44">
        <v>641</v>
      </c>
      <c r="I2372" s="44">
        <v>-10</v>
      </c>
      <c r="J2372" s="44">
        <v>-1.54</v>
      </c>
      <c r="K2372" s="44">
        <v>3069</v>
      </c>
      <c r="L2372" s="44">
        <v>641</v>
      </c>
      <c r="M2372" s="44">
        <v>5891</v>
      </c>
    </row>
    <row r="2373" spans="1:13" x14ac:dyDescent="0.25">
      <c r="A2373" s="45" t="s">
        <v>3284</v>
      </c>
      <c r="B2373" s="44" t="s">
        <v>5490</v>
      </c>
      <c r="C2373" s="47">
        <v>44250</v>
      </c>
      <c r="D2373" s="44">
        <v>202104</v>
      </c>
      <c r="E2373" s="44">
        <v>645</v>
      </c>
      <c r="F2373" s="44">
        <v>645</v>
      </c>
      <c r="G2373" s="44">
        <v>633</v>
      </c>
      <c r="H2373" s="44">
        <v>639</v>
      </c>
      <c r="I2373" s="44">
        <v>-11</v>
      </c>
      <c r="J2373" s="44">
        <v>-1.69</v>
      </c>
      <c r="K2373" s="44">
        <v>896</v>
      </c>
      <c r="L2373" s="44">
        <v>640</v>
      </c>
      <c r="M2373" s="44">
        <v>780</v>
      </c>
    </row>
    <row r="2374" spans="1:13" x14ac:dyDescent="0.25">
      <c r="A2374" s="45" t="s">
        <v>3285</v>
      </c>
      <c r="B2374" s="44" t="s">
        <v>5491</v>
      </c>
      <c r="C2374" s="47">
        <v>44250</v>
      </c>
      <c r="D2374" s="44">
        <v>202104</v>
      </c>
      <c r="E2374" s="44">
        <v>645</v>
      </c>
      <c r="F2374" s="44">
        <v>645</v>
      </c>
      <c r="G2374" s="44">
        <v>633</v>
      </c>
      <c r="H2374" s="44">
        <v>639</v>
      </c>
      <c r="I2374" s="44">
        <v>-11</v>
      </c>
      <c r="J2374" s="44">
        <v>-1.69</v>
      </c>
      <c r="K2374" s="44">
        <v>896</v>
      </c>
      <c r="L2374" s="44">
        <v>640</v>
      </c>
      <c r="M2374" s="44">
        <v>780</v>
      </c>
    </row>
    <row r="2375" spans="1:13" x14ac:dyDescent="0.25">
      <c r="A2375" s="45" t="s">
        <v>3286</v>
      </c>
      <c r="C2375" s="47"/>
    </row>
    <row r="2376" spans="1:13" x14ac:dyDescent="0.25">
      <c r="A2376" s="45" t="s">
        <v>3287</v>
      </c>
      <c r="C2376" s="47"/>
    </row>
    <row r="2377" spans="1:13" x14ac:dyDescent="0.25">
      <c r="A2377" s="45" t="s">
        <v>3288</v>
      </c>
      <c r="B2377" s="44" t="s">
        <v>5492</v>
      </c>
      <c r="C2377" s="47">
        <v>44250</v>
      </c>
      <c r="D2377" s="44">
        <v>202103</v>
      </c>
      <c r="E2377" s="44">
        <v>642</v>
      </c>
      <c r="F2377" s="44">
        <v>644</v>
      </c>
      <c r="G2377" s="44">
        <v>634</v>
      </c>
      <c r="H2377" s="44">
        <v>641</v>
      </c>
      <c r="I2377" s="44">
        <v>-10</v>
      </c>
      <c r="J2377" s="44">
        <v>-1.54</v>
      </c>
      <c r="K2377" s="44">
        <v>3069</v>
      </c>
      <c r="L2377" s="44">
        <v>641</v>
      </c>
      <c r="M2377" s="44">
        <v>5891</v>
      </c>
    </row>
    <row r="2378" spans="1:13" x14ac:dyDescent="0.25">
      <c r="A2378" s="45" t="s">
        <v>3289</v>
      </c>
      <c r="B2378" s="44" t="s">
        <v>5493</v>
      </c>
      <c r="C2378" s="47">
        <v>44250</v>
      </c>
      <c r="D2378" s="44">
        <v>202106</v>
      </c>
      <c r="E2378" s="44">
        <v>635</v>
      </c>
      <c r="F2378" s="44">
        <v>639</v>
      </c>
      <c r="G2378" s="44">
        <v>630</v>
      </c>
      <c r="H2378" s="44">
        <v>637</v>
      </c>
      <c r="I2378" s="44">
        <v>-9</v>
      </c>
      <c r="J2378" s="44">
        <v>-1.39</v>
      </c>
      <c r="K2378" s="44">
        <v>24</v>
      </c>
      <c r="L2378" s="44">
        <v>637</v>
      </c>
      <c r="M2378" s="44">
        <v>162</v>
      </c>
    </row>
    <row r="2379" spans="1:13" x14ac:dyDescent="0.25">
      <c r="A2379" s="45" t="s">
        <v>3290</v>
      </c>
      <c r="B2379" s="44" t="s">
        <v>5494</v>
      </c>
      <c r="C2379" s="47">
        <v>44250</v>
      </c>
      <c r="D2379" s="44">
        <v>202109</v>
      </c>
      <c r="E2379" s="44">
        <v>630</v>
      </c>
      <c r="F2379" s="44">
        <v>633</v>
      </c>
      <c r="G2379" s="44">
        <v>630</v>
      </c>
      <c r="H2379" s="44">
        <v>631</v>
      </c>
      <c r="I2379" s="44">
        <v>-11</v>
      </c>
      <c r="J2379" s="44">
        <v>-1.71</v>
      </c>
      <c r="K2379" s="44">
        <v>4</v>
      </c>
      <c r="L2379" s="44">
        <v>632</v>
      </c>
      <c r="M2379" s="44">
        <v>45</v>
      </c>
    </row>
    <row r="2380" spans="1:13" x14ac:dyDescent="0.25">
      <c r="A2380" s="45" t="s">
        <v>3291</v>
      </c>
      <c r="B2380" s="44" t="s">
        <v>5495</v>
      </c>
      <c r="C2380" s="47">
        <v>44250</v>
      </c>
      <c r="D2380" s="44">
        <v>202112</v>
      </c>
      <c r="E2380" s="44">
        <v>630</v>
      </c>
      <c r="F2380" s="44">
        <v>633</v>
      </c>
      <c r="G2380" s="44">
        <v>625</v>
      </c>
      <c r="H2380" s="44">
        <v>633</v>
      </c>
      <c r="I2380" s="44">
        <v>-4</v>
      </c>
      <c r="J2380" s="44">
        <v>-0.63</v>
      </c>
      <c r="K2380" s="44">
        <v>48</v>
      </c>
      <c r="L2380" s="44">
        <v>627</v>
      </c>
      <c r="M2380" s="44">
        <v>168</v>
      </c>
    </row>
    <row r="2381" spans="1:13" x14ac:dyDescent="0.25">
      <c r="A2381" s="45" t="s">
        <v>952</v>
      </c>
      <c r="B2381" s="44" t="s">
        <v>5496</v>
      </c>
      <c r="C2381" s="47">
        <v>44250</v>
      </c>
      <c r="D2381" s="44">
        <v>202103</v>
      </c>
      <c r="E2381" s="44">
        <v>482</v>
      </c>
      <c r="F2381" s="44">
        <v>488.5</v>
      </c>
      <c r="G2381" s="44">
        <v>470</v>
      </c>
      <c r="H2381" s="44">
        <v>488.5</v>
      </c>
      <c r="I2381" s="44">
        <v>-2</v>
      </c>
      <c r="J2381" s="44">
        <v>-0.41</v>
      </c>
      <c r="K2381" s="44">
        <v>181</v>
      </c>
      <c r="L2381" s="44">
        <v>488.5</v>
      </c>
      <c r="M2381" s="44">
        <v>403</v>
      </c>
    </row>
    <row r="2382" spans="1:13" x14ac:dyDescent="0.25">
      <c r="A2382" s="45" t="s">
        <v>3292</v>
      </c>
      <c r="B2382" s="44" t="s">
        <v>5497</v>
      </c>
      <c r="C2382" s="47">
        <v>44250</v>
      </c>
      <c r="D2382" s="44">
        <v>202103</v>
      </c>
      <c r="E2382" s="44">
        <v>482</v>
      </c>
      <c r="F2382" s="44">
        <v>488.5</v>
      </c>
      <c r="G2382" s="44">
        <v>470</v>
      </c>
      <c r="H2382" s="44">
        <v>488.5</v>
      </c>
      <c r="I2382" s="44">
        <v>-2</v>
      </c>
      <c r="J2382" s="44">
        <v>-0.41</v>
      </c>
      <c r="K2382" s="44">
        <v>181</v>
      </c>
      <c r="L2382" s="44">
        <v>488.5</v>
      </c>
      <c r="M2382" s="44">
        <v>403</v>
      </c>
    </row>
    <row r="2383" spans="1:13" x14ac:dyDescent="0.25">
      <c r="A2383" s="45" t="s">
        <v>3293</v>
      </c>
      <c r="B2383" s="44" t="s">
        <v>5498</v>
      </c>
      <c r="C2383" s="47">
        <v>44250</v>
      </c>
      <c r="D2383" s="44">
        <v>202104</v>
      </c>
      <c r="E2383" s="44">
        <v>477</v>
      </c>
      <c r="F2383" s="44">
        <v>477</v>
      </c>
      <c r="G2383" s="44">
        <v>473.5</v>
      </c>
      <c r="H2383" s="44">
        <v>474</v>
      </c>
      <c r="I2383" s="44">
        <v>-13.5</v>
      </c>
      <c r="J2383" s="44">
        <v>-2.77</v>
      </c>
      <c r="K2383" s="44">
        <v>7</v>
      </c>
      <c r="L2383" s="44">
        <v>484</v>
      </c>
      <c r="M2383" s="44">
        <v>6</v>
      </c>
    </row>
    <row r="2384" spans="1:13" x14ac:dyDescent="0.25">
      <c r="A2384" s="45" t="s">
        <v>3294</v>
      </c>
      <c r="B2384" s="44" t="s">
        <v>5499</v>
      </c>
      <c r="C2384" s="47">
        <v>44250</v>
      </c>
      <c r="D2384" s="44">
        <v>202104</v>
      </c>
      <c r="E2384" s="44">
        <v>477</v>
      </c>
      <c r="F2384" s="44">
        <v>477</v>
      </c>
      <c r="G2384" s="44">
        <v>473.5</v>
      </c>
      <c r="H2384" s="44">
        <v>474</v>
      </c>
      <c r="I2384" s="44">
        <v>-13.5</v>
      </c>
      <c r="J2384" s="44">
        <v>-2.77</v>
      </c>
      <c r="K2384" s="44">
        <v>7</v>
      </c>
      <c r="L2384" s="44">
        <v>484</v>
      </c>
      <c r="M2384" s="44">
        <v>6</v>
      </c>
    </row>
    <row r="2385" spans="1:13" x14ac:dyDescent="0.25">
      <c r="A2385" s="45" t="s">
        <v>3295</v>
      </c>
      <c r="C2385" s="47"/>
    </row>
    <row r="2386" spans="1:13" x14ac:dyDescent="0.25">
      <c r="A2386" s="45" t="s">
        <v>3296</v>
      </c>
      <c r="C2386" s="47"/>
    </row>
    <row r="2387" spans="1:13" x14ac:dyDescent="0.25">
      <c r="A2387" s="45" t="s">
        <v>3297</v>
      </c>
      <c r="B2387" s="44" t="s">
        <v>5500</v>
      </c>
      <c r="C2387" s="47">
        <v>44250</v>
      </c>
      <c r="D2387" s="44">
        <v>202103</v>
      </c>
      <c r="E2387" s="44">
        <v>482</v>
      </c>
      <c r="F2387" s="44">
        <v>488.5</v>
      </c>
      <c r="G2387" s="44">
        <v>470</v>
      </c>
      <c r="H2387" s="44">
        <v>488.5</v>
      </c>
      <c r="I2387" s="44">
        <v>-2</v>
      </c>
      <c r="J2387" s="44">
        <v>-0.41</v>
      </c>
      <c r="K2387" s="44">
        <v>181</v>
      </c>
      <c r="L2387" s="44">
        <v>488.5</v>
      </c>
      <c r="M2387" s="44">
        <v>403</v>
      </c>
    </row>
    <row r="2388" spans="1:13" x14ac:dyDescent="0.25">
      <c r="A2388" s="45" t="s">
        <v>3298</v>
      </c>
      <c r="B2388" s="44" t="s">
        <v>5501</v>
      </c>
      <c r="C2388" s="47">
        <v>44250</v>
      </c>
      <c r="D2388" s="44">
        <v>202106</v>
      </c>
      <c r="E2388" s="44">
        <v>484.5</v>
      </c>
      <c r="F2388" s="44">
        <v>484.5</v>
      </c>
      <c r="G2388" s="44">
        <v>484.5</v>
      </c>
      <c r="H2388" s="44">
        <v>484.5</v>
      </c>
      <c r="I2388" s="44">
        <v>-2</v>
      </c>
      <c r="J2388" s="44">
        <v>-0.41</v>
      </c>
      <c r="K2388" s="44">
        <v>0</v>
      </c>
      <c r="L2388" s="44">
        <v>484.5</v>
      </c>
      <c r="M2388" s="44">
        <v>0</v>
      </c>
    </row>
    <row r="2389" spans="1:13" x14ac:dyDescent="0.25">
      <c r="A2389" s="45" t="s">
        <v>3299</v>
      </c>
      <c r="B2389" s="44" t="s">
        <v>5502</v>
      </c>
      <c r="C2389" s="47">
        <v>44250</v>
      </c>
      <c r="D2389" s="44">
        <v>202109</v>
      </c>
      <c r="E2389" s="44">
        <v>481.5</v>
      </c>
      <c r="F2389" s="44">
        <v>481.5</v>
      </c>
      <c r="G2389" s="44">
        <v>481.5</v>
      </c>
      <c r="H2389" s="44">
        <v>481.5</v>
      </c>
      <c r="I2389" s="44">
        <v>-2</v>
      </c>
      <c r="J2389" s="44">
        <v>-0.41</v>
      </c>
      <c r="K2389" s="44">
        <v>0</v>
      </c>
      <c r="L2389" s="44">
        <v>481.5</v>
      </c>
      <c r="M2389" s="44">
        <v>0</v>
      </c>
    </row>
    <row r="2390" spans="1:13" x14ac:dyDescent="0.25">
      <c r="A2390" s="45" t="s">
        <v>3300</v>
      </c>
      <c r="B2390" s="44" t="s">
        <v>5503</v>
      </c>
      <c r="C2390" s="47">
        <v>44250</v>
      </c>
      <c r="D2390" s="44">
        <v>202112</v>
      </c>
      <c r="E2390" s="44">
        <v>480.5</v>
      </c>
      <c r="F2390" s="44">
        <v>480.5</v>
      </c>
      <c r="G2390" s="44">
        <v>480.5</v>
      </c>
      <c r="H2390" s="44">
        <v>480.5</v>
      </c>
      <c r="I2390" s="44">
        <v>-2</v>
      </c>
      <c r="J2390" s="44">
        <v>-0.41</v>
      </c>
      <c r="K2390" s="44">
        <v>0</v>
      </c>
      <c r="L2390" s="44">
        <v>480.5</v>
      </c>
      <c r="M2390" s="44">
        <v>0</v>
      </c>
    </row>
    <row r="2391" spans="1:13" x14ac:dyDescent="0.25">
      <c r="A2391" s="45" t="s">
        <v>1004</v>
      </c>
      <c r="B2391" s="44" t="s">
        <v>5504</v>
      </c>
      <c r="C2391" s="47">
        <v>44250</v>
      </c>
      <c r="D2391" s="44">
        <v>202103</v>
      </c>
      <c r="E2391" s="44">
        <v>524</v>
      </c>
      <c r="F2391" s="44">
        <v>524</v>
      </c>
      <c r="G2391" s="44">
        <v>503</v>
      </c>
      <c r="H2391" s="44">
        <v>514</v>
      </c>
      <c r="I2391" s="44">
        <v>-18</v>
      </c>
      <c r="J2391" s="44">
        <v>-3.38</v>
      </c>
      <c r="K2391" s="44">
        <v>544</v>
      </c>
      <c r="L2391" s="44">
        <v>514</v>
      </c>
      <c r="M2391" s="44">
        <v>818</v>
      </c>
    </row>
    <row r="2392" spans="1:13" x14ac:dyDescent="0.25">
      <c r="A2392" s="45" t="s">
        <v>3301</v>
      </c>
      <c r="B2392" s="44" t="s">
        <v>5505</v>
      </c>
      <c r="C2392" s="47">
        <v>44250</v>
      </c>
      <c r="D2392" s="44">
        <v>202103</v>
      </c>
      <c r="E2392" s="44">
        <v>524</v>
      </c>
      <c r="F2392" s="44">
        <v>524</v>
      </c>
      <c r="G2392" s="44">
        <v>503</v>
      </c>
      <c r="H2392" s="44">
        <v>514</v>
      </c>
      <c r="I2392" s="44">
        <v>-18</v>
      </c>
      <c r="J2392" s="44">
        <v>-3.38</v>
      </c>
      <c r="K2392" s="44">
        <v>544</v>
      </c>
      <c r="L2392" s="44">
        <v>514</v>
      </c>
      <c r="M2392" s="44">
        <v>818</v>
      </c>
    </row>
    <row r="2393" spans="1:13" x14ac:dyDescent="0.25">
      <c r="A2393" s="45" t="s">
        <v>3302</v>
      </c>
      <c r="B2393" s="44" t="s">
        <v>5506</v>
      </c>
      <c r="C2393" s="47">
        <v>44250</v>
      </c>
      <c r="D2393" s="44">
        <v>202104</v>
      </c>
      <c r="E2393" s="44">
        <v>520</v>
      </c>
      <c r="F2393" s="44">
        <v>523</v>
      </c>
      <c r="G2393" s="44">
        <v>503</v>
      </c>
      <c r="H2393" s="44">
        <v>513</v>
      </c>
      <c r="I2393" s="44">
        <v>-16</v>
      </c>
      <c r="J2393" s="44">
        <v>-3.02</v>
      </c>
      <c r="K2393" s="44">
        <v>33</v>
      </c>
      <c r="L2393" s="44">
        <v>513</v>
      </c>
      <c r="M2393" s="44">
        <v>40</v>
      </c>
    </row>
    <row r="2394" spans="1:13" x14ac:dyDescent="0.25">
      <c r="A2394" s="45" t="s">
        <v>3303</v>
      </c>
      <c r="B2394" s="44" t="s">
        <v>5507</v>
      </c>
      <c r="C2394" s="47">
        <v>44250</v>
      </c>
      <c r="D2394" s="44">
        <v>202104</v>
      </c>
      <c r="E2394" s="44">
        <v>520</v>
      </c>
      <c r="F2394" s="44">
        <v>523</v>
      </c>
      <c r="G2394" s="44">
        <v>503</v>
      </c>
      <c r="H2394" s="44">
        <v>513</v>
      </c>
      <c r="I2394" s="44">
        <v>-16</v>
      </c>
      <c r="J2394" s="44">
        <v>-3.02</v>
      </c>
      <c r="K2394" s="44">
        <v>33</v>
      </c>
      <c r="L2394" s="44">
        <v>513</v>
      </c>
      <c r="M2394" s="44">
        <v>40</v>
      </c>
    </row>
    <row r="2395" spans="1:13" x14ac:dyDescent="0.25">
      <c r="A2395" s="45" t="s">
        <v>3304</v>
      </c>
      <c r="C2395" s="47"/>
    </row>
    <row r="2396" spans="1:13" x14ac:dyDescent="0.25">
      <c r="A2396" s="45" t="s">
        <v>3305</v>
      </c>
      <c r="C2396" s="47"/>
    </row>
    <row r="2397" spans="1:13" x14ac:dyDescent="0.25">
      <c r="A2397" s="45" t="s">
        <v>3306</v>
      </c>
      <c r="B2397" s="44" t="s">
        <v>5508</v>
      </c>
      <c r="C2397" s="47">
        <v>44250</v>
      </c>
      <c r="D2397" s="44">
        <v>202103</v>
      </c>
      <c r="E2397" s="44">
        <v>524</v>
      </c>
      <c r="F2397" s="44">
        <v>524</v>
      </c>
      <c r="G2397" s="44">
        <v>503</v>
      </c>
      <c r="H2397" s="44">
        <v>514</v>
      </c>
      <c r="I2397" s="44">
        <v>-18</v>
      </c>
      <c r="J2397" s="44">
        <v>-3.38</v>
      </c>
      <c r="K2397" s="44">
        <v>544</v>
      </c>
      <c r="L2397" s="44">
        <v>514</v>
      </c>
      <c r="M2397" s="44">
        <v>818</v>
      </c>
    </row>
    <row r="2398" spans="1:13" x14ac:dyDescent="0.25">
      <c r="A2398" s="45" t="s">
        <v>3307</v>
      </c>
      <c r="B2398" s="44" t="s">
        <v>5509</v>
      </c>
      <c r="C2398" s="47">
        <v>44250</v>
      </c>
      <c r="D2398" s="44">
        <v>202106</v>
      </c>
      <c r="E2398" s="44">
        <v>512</v>
      </c>
      <c r="F2398" s="44">
        <v>512</v>
      </c>
      <c r="G2398" s="44">
        <v>512</v>
      </c>
      <c r="H2398" s="44">
        <v>512</v>
      </c>
      <c r="I2398" s="44">
        <v>-18</v>
      </c>
      <c r="J2398" s="44">
        <v>-3.4</v>
      </c>
      <c r="K2398" s="44">
        <v>0</v>
      </c>
      <c r="L2398" s="44">
        <v>512</v>
      </c>
      <c r="M2398" s="44">
        <v>0</v>
      </c>
    </row>
    <row r="2399" spans="1:13" x14ac:dyDescent="0.25">
      <c r="A2399" s="45" t="s">
        <v>3308</v>
      </c>
      <c r="B2399" s="44" t="s">
        <v>5510</v>
      </c>
      <c r="C2399" s="47">
        <v>44250</v>
      </c>
      <c r="D2399" s="44">
        <v>202109</v>
      </c>
      <c r="E2399" s="44">
        <v>510</v>
      </c>
      <c r="F2399" s="44">
        <v>510</v>
      </c>
      <c r="G2399" s="44">
        <v>510</v>
      </c>
      <c r="H2399" s="44">
        <v>510</v>
      </c>
      <c r="I2399" s="44">
        <v>-18</v>
      </c>
      <c r="J2399" s="44">
        <v>-3.41</v>
      </c>
      <c r="K2399" s="44">
        <v>0</v>
      </c>
      <c r="L2399" s="44">
        <v>510</v>
      </c>
      <c r="M2399" s="44">
        <v>0</v>
      </c>
    </row>
    <row r="2400" spans="1:13" x14ac:dyDescent="0.25">
      <c r="A2400" s="45" t="s">
        <v>3309</v>
      </c>
      <c r="B2400" s="44" t="s">
        <v>5511</v>
      </c>
      <c r="C2400" s="47">
        <v>44250</v>
      </c>
      <c r="D2400" s="44">
        <v>202112</v>
      </c>
      <c r="E2400" s="44">
        <v>508</v>
      </c>
      <c r="F2400" s="44">
        <v>508</v>
      </c>
      <c r="G2400" s="44">
        <v>508</v>
      </c>
      <c r="H2400" s="44">
        <v>508</v>
      </c>
      <c r="I2400" s="44">
        <v>-18</v>
      </c>
      <c r="J2400" s="44">
        <v>-3.42</v>
      </c>
      <c r="K2400" s="44">
        <v>0</v>
      </c>
      <c r="L2400" s="44">
        <v>508</v>
      </c>
      <c r="M2400" s="44">
        <v>1</v>
      </c>
    </row>
    <row r="2401" spans="1:13" x14ac:dyDescent="0.25">
      <c r="A2401" s="45" t="s">
        <v>1013</v>
      </c>
      <c r="B2401" s="44" t="s">
        <v>5512</v>
      </c>
      <c r="C2401" s="47">
        <v>44250</v>
      </c>
      <c r="D2401" s="44">
        <v>202103</v>
      </c>
      <c r="E2401" s="44">
        <v>408</v>
      </c>
      <c r="F2401" s="44">
        <v>415.5</v>
      </c>
      <c r="G2401" s="44">
        <v>404</v>
      </c>
      <c r="H2401" s="44">
        <v>409</v>
      </c>
      <c r="I2401" s="44">
        <v>-5</v>
      </c>
      <c r="J2401" s="44">
        <v>-1.21</v>
      </c>
      <c r="K2401" s="44">
        <v>308</v>
      </c>
      <c r="L2401" s="44">
        <v>409</v>
      </c>
      <c r="M2401" s="44">
        <v>452</v>
      </c>
    </row>
    <row r="2402" spans="1:13" x14ac:dyDescent="0.25">
      <c r="A2402" s="45" t="s">
        <v>3310</v>
      </c>
      <c r="B2402" s="44" t="s">
        <v>5513</v>
      </c>
      <c r="C2402" s="47">
        <v>44250</v>
      </c>
      <c r="D2402" s="44">
        <v>202103</v>
      </c>
      <c r="E2402" s="44">
        <v>408</v>
      </c>
      <c r="F2402" s="44">
        <v>415.5</v>
      </c>
      <c r="G2402" s="44">
        <v>404</v>
      </c>
      <c r="H2402" s="44">
        <v>409</v>
      </c>
      <c r="I2402" s="44">
        <v>-5</v>
      </c>
      <c r="J2402" s="44">
        <v>-1.21</v>
      </c>
      <c r="K2402" s="44">
        <v>308</v>
      </c>
      <c r="L2402" s="44">
        <v>409</v>
      </c>
      <c r="M2402" s="44">
        <v>452</v>
      </c>
    </row>
    <row r="2403" spans="1:13" x14ac:dyDescent="0.25">
      <c r="A2403" s="45" t="s">
        <v>3311</v>
      </c>
      <c r="B2403" s="44" t="s">
        <v>5514</v>
      </c>
      <c r="C2403" s="47">
        <v>44250</v>
      </c>
      <c r="D2403" s="44">
        <v>202104</v>
      </c>
      <c r="E2403" s="44">
        <v>413.5</v>
      </c>
      <c r="F2403" s="44">
        <v>414</v>
      </c>
      <c r="G2403" s="44">
        <v>405</v>
      </c>
      <c r="H2403" s="44">
        <v>407</v>
      </c>
      <c r="I2403" s="44">
        <v>-4</v>
      </c>
      <c r="J2403" s="44">
        <v>-0.97</v>
      </c>
      <c r="K2403" s="44">
        <v>21</v>
      </c>
      <c r="L2403" s="44">
        <v>407</v>
      </c>
      <c r="M2403" s="44">
        <v>29</v>
      </c>
    </row>
    <row r="2404" spans="1:13" x14ac:dyDescent="0.25">
      <c r="A2404" s="45" t="s">
        <v>3312</v>
      </c>
      <c r="B2404" s="44" t="s">
        <v>5515</v>
      </c>
      <c r="C2404" s="47">
        <v>44250</v>
      </c>
      <c r="D2404" s="44">
        <v>202104</v>
      </c>
      <c r="E2404" s="44">
        <v>413.5</v>
      </c>
      <c r="F2404" s="44">
        <v>414</v>
      </c>
      <c r="G2404" s="44">
        <v>405</v>
      </c>
      <c r="H2404" s="44">
        <v>407</v>
      </c>
      <c r="I2404" s="44">
        <v>-4</v>
      </c>
      <c r="J2404" s="44">
        <v>-0.97</v>
      </c>
      <c r="K2404" s="44">
        <v>21</v>
      </c>
      <c r="L2404" s="44">
        <v>407</v>
      </c>
      <c r="M2404" s="44">
        <v>29</v>
      </c>
    </row>
    <row r="2405" spans="1:13" x14ac:dyDescent="0.25">
      <c r="A2405" s="45" t="s">
        <v>3313</v>
      </c>
      <c r="C2405" s="47"/>
    </row>
    <row r="2406" spans="1:13" x14ac:dyDescent="0.25">
      <c r="A2406" s="45" t="s">
        <v>3314</v>
      </c>
      <c r="C2406" s="47"/>
    </row>
    <row r="2407" spans="1:13" x14ac:dyDescent="0.25">
      <c r="A2407" s="45" t="s">
        <v>3315</v>
      </c>
      <c r="B2407" s="44" t="s">
        <v>5516</v>
      </c>
      <c r="C2407" s="47">
        <v>44250</v>
      </c>
      <c r="D2407" s="44">
        <v>202103</v>
      </c>
      <c r="E2407" s="44">
        <v>408</v>
      </c>
      <c r="F2407" s="44">
        <v>415.5</v>
      </c>
      <c r="G2407" s="44">
        <v>404</v>
      </c>
      <c r="H2407" s="44">
        <v>409</v>
      </c>
      <c r="I2407" s="44">
        <v>-5</v>
      </c>
      <c r="J2407" s="44">
        <v>-1.21</v>
      </c>
      <c r="K2407" s="44">
        <v>308</v>
      </c>
      <c r="L2407" s="44">
        <v>409</v>
      </c>
      <c r="M2407" s="44">
        <v>452</v>
      </c>
    </row>
    <row r="2408" spans="1:13" x14ac:dyDescent="0.25">
      <c r="A2408" s="45" t="s">
        <v>3316</v>
      </c>
      <c r="B2408" s="44" t="s">
        <v>5517</v>
      </c>
      <c r="C2408" s="47">
        <v>44250</v>
      </c>
      <c r="D2408" s="44">
        <v>202106</v>
      </c>
      <c r="E2408" s="44">
        <v>405</v>
      </c>
      <c r="F2408" s="44">
        <v>405</v>
      </c>
      <c r="G2408" s="44">
        <v>405</v>
      </c>
      <c r="H2408" s="44">
        <v>405</v>
      </c>
      <c r="I2408" s="44">
        <v>-5</v>
      </c>
      <c r="J2408" s="44">
        <v>-1.22</v>
      </c>
      <c r="K2408" s="44">
        <v>0</v>
      </c>
      <c r="L2408" s="44">
        <v>405</v>
      </c>
      <c r="M2408" s="44">
        <v>0</v>
      </c>
    </row>
    <row r="2409" spans="1:13" x14ac:dyDescent="0.25">
      <c r="A2409" s="45" t="s">
        <v>3317</v>
      </c>
      <c r="B2409" s="44" t="s">
        <v>5518</v>
      </c>
      <c r="C2409" s="47">
        <v>44250</v>
      </c>
      <c r="D2409" s="44">
        <v>202109</v>
      </c>
      <c r="E2409" s="44">
        <v>406</v>
      </c>
      <c r="F2409" s="44">
        <v>406</v>
      </c>
      <c r="G2409" s="44">
        <v>406</v>
      </c>
      <c r="H2409" s="44">
        <v>406</v>
      </c>
      <c r="I2409" s="44">
        <v>-5</v>
      </c>
      <c r="J2409" s="44">
        <v>-1.22</v>
      </c>
      <c r="K2409" s="44">
        <v>0</v>
      </c>
      <c r="L2409" s="44">
        <v>406</v>
      </c>
      <c r="M2409" s="44">
        <v>0</v>
      </c>
    </row>
    <row r="2410" spans="1:13" x14ac:dyDescent="0.25">
      <c r="A2410" s="45" t="s">
        <v>3318</v>
      </c>
      <c r="B2410" s="44" t="s">
        <v>5519</v>
      </c>
      <c r="C2410" s="47">
        <v>44250</v>
      </c>
      <c r="D2410" s="44">
        <v>202112</v>
      </c>
      <c r="E2410" s="44">
        <v>406</v>
      </c>
      <c r="F2410" s="44">
        <v>406</v>
      </c>
      <c r="G2410" s="44">
        <v>406</v>
      </c>
      <c r="H2410" s="44">
        <v>406</v>
      </c>
      <c r="I2410" s="44">
        <v>-5</v>
      </c>
      <c r="J2410" s="44">
        <v>-1.22</v>
      </c>
      <c r="K2410" s="44">
        <v>0</v>
      </c>
      <c r="L2410" s="44">
        <v>406</v>
      </c>
      <c r="M2410" s="44">
        <v>0</v>
      </c>
    </row>
    <row r="2411" spans="1:13" x14ac:dyDescent="0.25">
      <c r="A2411" s="45" t="s">
        <v>1029</v>
      </c>
      <c r="B2411" s="44" t="s">
        <v>5520</v>
      </c>
      <c r="C2411" s="47">
        <v>44250</v>
      </c>
      <c r="D2411" s="44">
        <v>202103</v>
      </c>
      <c r="E2411" s="44">
        <v>508</v>
      </c>
      <c r="F2411" s="44">
        <v>516</v>
      </c>
      <c r="G2411" s="44">
        <v>506</v>
      </c>
      <c r="H2411" s="44">
        <v>515</v>
      </c>
      <c r="I2411" s="44">
        <v>1</v>
      </c>
      <c r="J2411" s="44">
        <v>0.19</v>
      </c>
      <c r="K2411" s="44">
        <v>107</v>
      </c>
      <c r="L2411" s="44">
        <v>514</v>
      </c>
      <c r="M2411" s="44">
        <v>453</v>
      </c>
    </row>
    <row r="2412" spans="1:13" x14ac:dyDescent="0.25">
      <c r="A2412" s="45" t="s">
        <v>3319</v>
      </c>
      <c r="B2412" s="44" t="s">
        <v>5521</v>
      </c>
      <c r="C2412" s="47">
        <v>44250</v>
      </c>
      <c r="D2412" s="44">
        <v>202103</v>
      </c>
      <c r="E2412" s="44">
        <v>508</v>
      </c>
      <c r="F2412" s="44">
        <v>516</v>
      </c>
      <c r="G2412" s="44">
        <v>506</v>
      </c>
      <c r="H2412" s="44">
        <v>515</v>
      </c>
      <c r="I2412" s="44">
        <v>1</v>
      </c>
      <c r="J2412" s="44">
        <v>0.19</v>
      </c>
      <c r="K2412" s="44">
        <v>107</v>
      </c>
      <c r="L2412" s="44">
        <v>514</v>
      </c>
      <c r="M2412" s="44">
        <v>453</v>
      </c>
    </row>
    <row r="2413" spans="1:13" x14ac:dyDescent="0.25">
      <c r="A2413" s="45" t="s">
        <v>3320</v>
      </c>
      <c r="B2413" s="44" t="s">
        <v>5522</v>
      </c>
      <c r="C2413" s="47">
        <v>44250</v>
      </c>
      <c r="D2413" s="44">
        <v>202104</v>
      </c>
      <c r="E2413" s="44">
        <v>509</v>
      </c>
      <c r="F2413" s="44">
        <v>510</v>
      </c>
      <c r="G2413" s="44">
        <v>506</v>
      </c>
      <c r="H2413" s="44">
        <v>506</v>
      </c>
      <c r="I2413" s="44">
        <v>-5</v>
      </c>
      <c r="J2413" s="44">
        <v>-0.98</v>
      </c>
      <c r="K2413" s="44">
        <v>15</v>
      </c>
      <c r="L2413" s="44">
        <v>511</v>
      </c>
      <c r="M2413" s="44">
        <v>101</v>
      </c>
    </row>
    <row r="2414" spans="1:13" x14ac:dyDescent="0.25">
      <c r="A2414" s="45" t="s">
        <v>3321</v>
      </c>
      <c r="B2414" s="44" t="s">
        <v>5523</v>
      </c>
      <c r="C2414" s="47">
        <v>44250</v>
      </c>
      <c r="D2414" s="44">
        <v>202104</v>
      </c>
      <c r="E2414" s="44">
        <v>509</v>
      </c>
      <c r="F2414" s="44">
        <v>510</v>
      </c>
      <c r="G2414" s="44">
        <v>506</v>
      </c>
      <c r="H2414" s="44">
        <v>506</v>
      </c>
      <c r="I2414" s="44">
        <v>-5</v>
      </c>
      <c r="J2414" s="44">
        <v>-0.98</v>
      </c>
      <c r="K2414" s="44">
        <v>15</v>
      </c>
      <c r="L2414" s="44">
        <v>511</v>
      </c>
      <c r="M2414" s="44">
        <v>101</v>
      </c>
    </row>
    <row r="2415" spans="1:13" x14ac:dyDescent="0.25">
      <c r="A2415" s="45" t="s">
        <v>3322</v>
      </c>
      <c r="C2415" s="47"/>
    </row>
    <row r="2416" spans="1:13" x14ac:dyDescent="0.25">
      <c r="A2416" s="45" t="s">
        <v>3323</v>
      </c>
      <c r="C2416" s="47"/>
    </row>
    <row r="2417" spans="1:13" x14ac:dyDescent="0.25">
      <c r="A2417" s="45" t="s">
        <v>3324</v>
      </c>
      <c r="B2417" s="44" t="s">
        <v>5524</v>
      </c>
      <c r="C2417" s="47">
        <v>44250</v>
      </c>
      <c r="D2417" s="44">
        <v>202103</v>
      </c>
      <c r="E2417" s="44">
        <v>508</v>
      </c>
      <c r="F2417" s="44">
        <v>516</v>
      </c>
      <c r="G2417" s="44">
        <v>506</v>
      </c>
      <c r="H2417" s="44">
        <v>515</v>
      </c>
      <c r="I2417" s="44">
        <v>1</v>
      </c>
      <c r="J2417" s="44">
        <v>0.19</v>
      </c>
      <c r="K2417" s="44">
        <v>107</v>
      </c>
      <c r="L2417" s="44">
        <v>514</v>
      </c>
      <c r="M2417" s="44">
        <v>453</v>
      </c>
    </row>
    <row r="2418" spans="1:13" x14ac:dyDescent="0.25">
      <c r="A2418" s="45" t="s">
        <v>3325</v>
      </c>
      <c r="B2418" s="44" t="s">
        <v>5525</v>
      </c>
      <c r="C2418" s="47">
        <v>44250</v>
      </c>
      <c r="D2418" s="44">
        <v>202106</v>
      </c>
      <c r="E2418" s="44">
        <v>518</v>
      </c>
      <c r="F2418" s="44">
        <v>518</v>
      </c>
      <c r="G2418" s="44">
        <v>518</v>
      </c>
      <c r="H2418" s="44">
        <v>518</v>
      </c>
      <c r="I2418" s="44">
        <v>0</v>
      </c>
      <c r="J2418" s="44">
        <v>0</v>
      </c>
      <c r="K2418" s="44">
        <v>0</v>
      </c>
      <c r="L2418" s="44">
        <v>518</v>
      </c>
      <c r="M2418" s="44">
        <v>1</v>
      </c>
    </row>
    <row r="2419" spans="1:13" x14ac:dyDescent="0.25">
      <c r="A2419" s="45" t="s">
        <v>3326</v>
      </c>
      <c r="B2419" s="44" t="s">
        <v>5526</v>
      </c>
      <c r="C2419" s="47">
        <v>44250</v>
      </c>
      <c r="D2419" s="44">
        <v>202109</v>
      </c>
      <c r="E2419" s="44">
        <v>516</v>
      </c>
      <c r="F2419" s="44">
        <v>516</v>
      </c>
      <c r="G2419" s="44">
        <v>516</v>
      </c>
      <c r="H2419" s="44">
        <v>516</v>
      </c>
      <c r="I2419" s="44">
        <v>0</v>
      </c>
      <c r="J2419" s="44">
        <v>0</v>
      </c>
      <c r="K2419" s="44">
        <v>0</v>
      </c>
      <c r="L2419" s="44">
        <v>516</v>
      </c>
      <c r="M2419" s="44">
        <v>0</v>
      </c>
    </row>
    <row r="2420" spans="1:13" x14ac:dyDescent="0.25">
      <c r="A2420" s="45" t="s">
        <v>3327</v>
      </c>
      <c r="B2420" s="44" t="s">
        <v>5527</v>
      </c>
      <c r="C2420" s="47">
        <v>44250</v>
      </c>
      <c r="D2420" s="44">
        <v>202112</v>
      </c>
      <c r="E2420" s="44">
        <v>514</v>
      </c>
      <c r="F2420" s="44">
        <v>514</v>
      </c>
      <c r="G2420" s="44">
        <v>514</v>
      </c>
      <c r="H2420" s="44">
        <v>514</v>
      </c>
      <c r="I2420" s="44">
        <v>0</v>
      </c>
      <c r="J2420" s="44">
        <v>0</v>
      </c>
      <c r="K2420" s="44">
        <v>0</v>
      </c>
      <c r="L2420" s="44">
        <v>514</v>
      </c>
      <c r="M2420" s="44">
        <v>40</v>
      </c>
    </row>
    <row r="2421" spans="1:13" x14ac:dyDescent="0.25">
      <c r="A2421" s="45" t="s">
        <v>3328</v>
      </c>
      <c r="B2421" s="44" t="s">
        <v>5528</v>
      </c>
      <c r="C2421" s="47">
        <v>44250</v>
      </c>
      <c r="D2421" s="44">
        <v>202103</v>
      </c>
      <c r="E2421" s="44">
        <v>6.4709000000000003</v>
      </c>
      <c r="F2421" s="44">
        <v>6.4721000000000002</v>
      </c>
      <c r="G2421" s="44">
        <v>6.4709000000000003</v>
      </c>
      <c r="H2421" s="44">
        <v>6.4718</v>
      </c>
      <c r="I2421" s="44">
        <v>-8.5000000000000006E-3</v>
      </c>
      <c r="J2421" s="44">
        <v>-0.13</v>
      </c>
      <c r="K2421" s="44">
        <v>38</v>
      </c>
      <c r="L2421" s="44">
        <v>6.4706000000000001</v>
      </c>
      <c r="M2421" s="44">
        <v>175</v>
      </c>
    </row>
    <row r="2422" spans="1:13" x14ac:dyDescent="0.25">
      <c r="A2422" s="45" t="s">
        <v>3329</v>
      </c>
      <c r="B2422" s="44" t="s">
        <v>5529</v>
      </c>
      <c r="C2422" s="47">
        <v>44250</v>
      </c>
      <c r="D2422" s="44">
        <v>202103</v>
      </c>
      <c r="E2422" s="44">
        <v>6.4709000000000003</v>
      </c>
      <c r="F2422" s="44">
        <v>6.4721000000000002</v>
      </c>
      <c r="G2422" s="44">
        <v>6.4709000000000003</v>
      </c>
      <c r="H2422" s="44">
        <v>6.4718</v>
      </c>
      <c r="I2422" s="44">
        <v>-8.5000000000000006E-3</v>
      </c>
      <c r="J2422" s="44">
        <v>-0.13</v>
      </c>
      <c r="K2422" s="44">
        <v>38</v>
      </c>
      <c r="L2422" s="44">
        <v>6.4706000000000001</v>
      </c>
      <c r="M2422" s="44">
        <v>175</v>
      </c>
    </row>
    <row r="2423" spans="1:13" x14ac:dyDescent="0.25">
      <c r="A2423" s="45" t="s">
        <v>3330</v>
      </c>
      <c r="B2423" s="44" t="s">
        <v>5530</v>
      </c>
      <c r="C2423" s="47"/>
    </row>
    <row r="2424" spans="1:13" x14ac:dyDescent="0.25">
      <c r="A2424" s="45" t="s">
        <v>3331</v>
      </c>
      <c r="B2424" s="44" t="s">
        <v>5531</v>
      </c>
      <c r="C2424" s="47">
        <v>44250</v>
      </c>
      <c r="D2424" s="44">
        <v>202104</v>
      </c>
      <c r="E2424" s="44">
        <v>6.4839000000000002</v>
      </c>
      <c r="F2424" s="44">
        <v>6.4839000000000002</v>
      </c>
      <c r="G2424" s="44">
        <v>6.4839000000000002</v>
      </c>
      <c r="H2424" s="44">
        <v>6.4839000000000002</v>
      </c>
      <c r="I2424" s="44">
        <v>-1.1900000000000001E-2</v>
      </c>
      <c r="J2424" s="44">
        <v>-0.18</v>
      </c>
      <c r="K2424" s="44">
        <v>6</v>
      </c>
      <c r="L2424" s="44">
        <v>6.4863999999999997</v>
      </c>
      <c r="M2424" s="44">
        <v>24</v>
      </c>
    </row>
    <row r="2425" spans="1:13" x14ac:dyDescent="0.25">
      <c r="A2425" s="45" t="s">
        <v>3332</v>
      </c>
      <c r="B2425" s="44" t="s">
        <v>5532</v>
      </c>
      <c r="C2425" s="47">
        <v>44250</v>
      </c>
      <c r="D2425" s="44">
        <v>202104</v>
      </c>
      <c r="E2425" s="44">
        <v>6.4839000000000002</v>
      </c>
      <c r="F2425" s="44">
        <v>6.4839000000000002</v>
      </c>
      <c r="G2425" s="44">
        <v>6.4839000000000002</v>
      </c>
      <c r="H2425" s="44">
        <v>6.4839000000000002</v>
      </c>
      <c r="I2425" s="44">
        <v>-1.1900000000000001E-2</v>
      </c>
      <c r="J2425" s="44">
        <v>-0.18</v>
      </c>
      <c r="K2425" s="44">
        <v>6</v>
      </c>
      <c r="L2425" s="44">
        <v>6.4863999999999997</v>
      </c>
      <c r="M2425" s="44">
        <v>24</v>
      </c>
    </row>
    <row r="2426" spans="1:13" x14ac:dyDescent="0.25">
      <c r="A2426" s="45" t="s">
        <v>3333</v>
      </c>
      <c r="C2426" s="47"/>
    </row>
    <row r="2427" spans="1:13" x14ac:dyDescent="0.25">
      <c r="A2427" s="45" t="s">
        <v>3334</v>
      </c>
      <c r="C2427" s="47"/>
    </row>
    <row r="2428" spans="1:13" x14ac:dyDescent="0.25">
      <c r="A2428" s="45" t="s">
        <v>3335</v>
      </c>
      <c r="B2428" s="44" t="s">
        <v>5533</v>
      </c>
      <c r="C2428" s="47">
        <v>44250</v>
      </c>
      <c r="D2428" s="44">
        <v>202103</v>
      </c>
      <c r="E2428" s="44">
        <v>6.4709000000000003</v>
      </c>
      <c r="F2428" s="44">
        <v>6.4721000000000002</v>
      </c>
      <c r="G2428" s="44">
        <v>6.4709000000000003</v>
      </c>
      <c r="H2428" s="44">
        <v>6.4718</v>
      </c>
      <c r="I2428" s="44">
        <v>-8.5000000000000006E-3</v>
      </c>
      <c r="J2428" s="44">
        <v>-0.13</v>
      </c>
      <c r="K2428" s="44">
        <v>38</v>
      </c>
      <c r="L2428" s="44">
        <v>6.4706000000000001</v>
      </c>
      <c r="M2428" s="44">
        <v>175</v>
      </c>
    </row>
    <row r="2429" spans="1:13" x14ac:dyDescent="0.25">
      <c r="A2429" s="45" t="s">
        <v>3336</v>
      </c>
      <c r="B2429" s="44" t="s">
        <v>5534</v>
      </c>
      <c r="C2429" s="47"/>
    </row>
    <row r="2430" spans="1:13" x14ac:dyDescent="0.25">
      <c r="A2430" s="45" t="s">
        <v>3337</v>
      </c>
      <c r="B2430" s="44" t="s">
        <v>5535</v>
      </c>
      <c r="C2430" s="47">
        <v>44250</v>
      </c>
      <c r="D2430" s="44">
        <v>202106</v>
      </c>
      <c r="E2430" s="44">
        <v>6.5113000000000003</v>
      </c>
      <c r="F2430" s="44">
        <v>6.5113000000000003</v>
      </c>
      <c r="G2430" s="44">
        <v>6.5113000000000003</v>
      </c>
      <c r="H2430" s="44">
        <v>6.5113000000000003</v>
      </c>
      <c r="I2430" s="44">
        <v>-8.3999999999999995E-3</v>
      </c>
      <c r="J2430" s="44">
        <v>-0.13</v>
      </c>
      <c r="K2430" s="44">
        <v>0</v>
      </c>
      <c r="L2430" s="44">
        <v>6.5113000000000003</v>
      </c>
      <c r="M2430" s="44">
        <v>98</v>
      </c>
    </row>
    <row r="2431" spans="1:13" x14ac:dyDescent="0.25">
      <c r="A2431" s="45" t="s">
        <v>3338</v>
      </c>
      <c r="B2431" s="44" t="s">
        <v>5536</v>
      </c>
      <c r="C2431" s="47"/>
    </row>
    <row r="2432" spans="1:13" x14ac:dyDescent="0.25">
      <c r="A2432" s="45" t="s">
        <v>3339</v>
      </c>
      <c r="B2432" s="44" t="s">
        <v>5537</v>
      </c>
      <c r="C2432" s="47">
        <v>44250</v>
      </c>
      <c r="D2432" s="44">
        <v>202109</v>
      </c>
      <c r="E2432" s="44">
        <v>6.5517000000000003</v>
      </c>
      <c r="F2432" s="44">
        <v>6.5517000000000003</v>
      </c>
      <c r="G2432" s="44">
        <v>6.5510999999999999</v>
      </c>
      <c r="H2432" s="44">
        <v>6.5510999999999999</v>
      </c>
      <c r="I2432" s="44">
        <v>-1.1900000000000001E-2</v>
      </c>
      <c r="J2432" s="44">
        <v>-0.18</v>
      </c>
      <c r="K2432" s="44">
        <v>2</v>
      </c>
      <c r="L2432" s="44">
        <v>6.5510999999999999</v>
      </c>
      <c r="M2432" s="44">
        <v>153</v>
      </c>
    </row>
    <row r="2433" spans="1:13" x14ac:dyDescent="0.25">
      <c r="A2433" s="45" t="s">
        <v>3340</v>
      </c>
      <c r="B2433" s="44" t="s">
        <v>5538</v>
      </c>
      <c r="C2433" s="47"/>
    </row>
    <row r="2434" spans="1:13" x14ac:dyDescent="0.25">
      <c r="A2434" s="45" t="s">
        <v>3341</v>
      </c>
      <c r="B2434" s="44" t="s">
        <v>5539</v>
      </c>
      <c r="C2434" s="47">
        <v>44250</v>
      </c>
      <c r="D2434" s="44">
        <v>202112</v>
      </c>
      <c r="E2434" s="44">
        <v>6.5933000000000002</v>
      </c>
      <c r="F2434" s="44">
        <v>6.5933000000000002</v>
      </c>
      <c r="G2434" s="44">
        <v>6.5933000000000002</v>
      </c>
      <c r="H2434" s="44">
        <v>6.5933000000000002</v>
      </c>
      <c r="I2434" s="44">
        <v>-1.2999999999999999E-2</v>
      </c>
      <c r="J2434" s="44">
        <v>-0.2</v>
      </c>
      <c r="K2434" s="44">
        <v>0</v>
      </c>
      <c r="L2434" s="44">
        <v>6.5933000000000002</v>
      </c>
      <c r="M2434" s="44">
        <v>100</v>
      </c>
    </row>
    <row r="2435" spans="1:13" x14ac:dyDescent="0.25">
      <c r="A2435" s="45" t="s">
        <v>3342</v>
      </c>
      <c r="B2435" s="44" t="s">
        <v>5540</v>
      </c>
      <c r="C2435" s="47"/>
    </row>
    <row r="2436" spans="1:13" x14ac:dyDescent="0.25">
      <c r="A2436" s="45" t="s">
        <v>3343</v>
      </c>
      <c r="B2436" s="44" t="s">
        <v>5541</v>
      </c>
      <c r="C2436" s="47">
        <v>44250</v>
      </c>
      <c r="D2436" s="44">
        <v>202203</v>
      </c>
      <c r="E2436" s="44">
        <v>6.6338999999999997</v>
      </c>
      <c r="F2436" s="44">
        <v>6.6338999999999997</v>
      </c>
      <c r="G2436" s="44">
        <v>6.6338999999999997</v>
      </c>
      <c r="H2436" s="44">
        <v>6.6338999999999997</v>
      </c>
      <c r="I2436" s="44">
        <v>-1.12E-2</v>
      </c>
      <c r="J2436" s="44">
        <v>-0.17</v>
      </c>
      <c r="K2436" s="44">
        <v>0</v>
      </c>
      <c r="L2436" s="44">
        <v>6.6338999999999997</v>
      </c>
      <c r="M2436" s="44">
        <v>25</v>
      </c>
    </row>
    <row r="2437" spans="1:13" x14ac:dyDescent="0.25">
      <c r="A2437" s="45" t="s">
        <v>3344</v>
      </c>
      <c r="B2437" s="44" t="s">
        <v>5542</v>
      </c>
      <c r="C2437" s="47"/>
    </row>
    <row r="2438" spans="1:13" x14ac:dyDescent="0.25">
      <c r="A2438" s="45" t="s">
        <v>3345</v>
      </c>
      <c r="B2438" s="44" t="s">
        <v>5543</v>
      </c>
      <c r="C2438" s="47"/>
    </row>
    <row r="2439" spans="1:13" x14ac:dyDescent="0.25">
      <c r="A2439" s="45" t="s">
        <v>3346</v>
      </c>
      <c r="B2439" s="44" t="s">
        <v>5544</v>
      </c>
      <c r="C2439" s="47"/>
    </row>
    <row r="2440" spans="1:13" x14ac:dyDescent="0.25">
      <c r="A2440" s="45" t="s">
        <v>3347</v>
      </c>
      <c r="B2440" s="44" t="s">
        <v>5545</v>
      </c>
      <c r="C2440" s="47">
        <v>44250</v>
      </c>
      <c r="D2440" s="44">
        <v>202103</v>
      </c>
      <c r="E2440" s="44">
        <v>6.4669999999999996</v>
      </c>
      <c r="F2440" s="44">
        <v>6.4730999999999996</v>
      </c>
      <c r="G2440" s="44">
        <v>6.4669999999999996</v>
      </c>
      <c r="H2440" s="44">
        <v>6.4701000000000004</v>
      </c>
      <c r="I2440" s="44">
        <v>-1.0500000000000001E-2</v>
      </c>
      <c r="J2440" s="44">
        <v>-0.16</v>
      </c>
      <c r="K2440" s="44">
        <v>293</v>
      </c>
      <c r="L2440" s="44">
        <v>6.4701000000000004</v>
      </c>
      <c r="M2440" s="44">
        <v>326</v>
      </c>
    </row>
    <row r="2441" spans="1:13" x14ac:dyDescent="0.25">
      <c r="A2441" s="45" t="s">
        <v>3348</v>
      </c>
      <c r="B2441" s="44" t="s">
        <v>5546</v>
      </c>
      <c r="C2441" s="47">
        <v>44250</v>
      </c>
      <c r="D2441" s="44">
        <v>202103</v>
      </c>
      <c r="E2441" s="44">
        <v>6.4669999999999996</v>
      </c>
      <c r="F2441" s="44">
        <v>6.4730999999999996</v>
      </c>
      <c r="G2441" s="44">
        <v>6.4669999999999996</v>
      </c>
      <c r="H2441" s="44">
        <v>6.4701000000000004</v>
      </c>
      <c r="I2441" s="44">
        <v>-1.0500000000000001E-2</v>
      </c>
      <c r="J2441" s="44">
        <v>-0.16</v>
      </c>
      <c r="K2441" s="44">
        <v>293</v>
      </c>
      <c r="L2441" s="44">
        <v>6.4701000000000004</v>
      </c>
      <c r="M2441" s="44">
        <v>326</v>
      </c>
    </row>
    <row r="2442" spans="1:13" x14ac:dyDescent="0.25">
      <c r="A2442" s="45" t="s">
        <v>3349</v>
      </c>
      <c r="B2442" s="44" t="s">
        <v>5547</v>
      </c>
      <c r="C2442" s="47"/>
    </row>
    <row r="2443" spans="1:13" x14ac:dyDescent="0.25">
      <c r="A2443" s="45" t="s">
        <v>3350</v>
      </c>
      <c r="B2443" s="44" t="s">
        <v>5548</v>
      </c>
      <c r="C2443" s="47">
        <v>44250</v>
      </c>
      <c r="D2443" s="44">
        <v>202104</v>
      </c>
      <c r="E2443" s="44">
        <v>6.4855</v>
      </c>
      <c r="F2443" s="44">
        <v>6.4878999999999998</v>
      </c>
      <c r="G2443" s="44">
        <v>6.4835000000000003</v>
      </c>
      <c r="H2443" s="44">
        <v>6.4867999999999997</v>
      </c>
      <c r="I2443" s="44">
        <v>-8.9999999999999993E-3</v>
      </c>
      <c r="J2443" s="44">
        <v>-0.14000000000000001</v>
      </c>
      <c r="K2443" s="44">
        <v>11</v>
      </c>
      <c r="L2443" s="44">
        <v>6.4867999999999997</v>
      </c>
      <c r="M2443" s="44">
        <v>60</v>
      </c>
    </row>
    <row r="2444" spans="1:13" x14ac:dyDescent="0.25">
      <c r="A2444" s="45" t="s">
        <v>3351</v>
      </c>
      <c r="B2444" s="44" t="s">
        <v>5549</v>
      </c>
      <c r="C2444" s="47">
        <v>44250</v>
      </c>
      <c r="D2444" s="44">
        <v>202104</v>
      </c>
      <c r="E2444" s="44">
        <v>6.4855</v>
      </c>
      <c r="F2444" s="44">
        <v>6.4878999999999998</v>
      </c>
      <c r="G2444" s="44">
        <v>6.4835000000000003</v>
      </c>
      <c r="H2444" s="44">
        <v>6.4867999999999997</v>
      </c>
      <c r="I2444" s="44">
        <v>-8.9999999999999993E-3</v>
      </c>
      <c r="J2444" s="44">
        <v>-0.14000000000000001</v>
      </c>
      <c r="K2444" s="44">
        <v>11</v>
      </c>
      <c r="L2444" s="44">
        <v>6.4867999999999997</v>
      </c>
      <c r="M2444" s="44">
        <v>60</v>
      </c>
    </row>
    <row r="2445" spans="1:13" x14ac:dyDescent="0.25">
      <c r="A2445" s="45" t="s">
        <v>3352</v>
      </c>
      <c r="C2445" s="47"/>
    </row>
    <row r="2446" spans="1:13" x14ac:dyDescent="0.25">
      <c r="A2446" s="45" t="s">
        <v>3353</v>
      </c>
      <c r="C2446" s="47"/>
    </row>
    <row r="2447" spans="1:13" x14ac:dyDescent="0.25">
      <c r="A2447" s="45" t="s">
        <v>3354</v>
      </c>
      <c r="B2447" s="44" t="s">
        <v>5550</v>
      </c>
      <c r="C2447" s="47">
        <v>44250</v>
      </c>
      <c r="D2447" s="44">
        <v>202103</v>
      </c>
      <c r="E2447" s="44">
        <v>6.4669999999999996</v>
      </c>
      <c r="F2447" s="44">
        <v>6.4730999999999996</v>
      </c>
      <c r="G2447" s="44">
        <v>6.4669999999999996</v>
      </c>
      <c r="H2447" s="44">
        <v>6.4701000000000004</v>
      </c>
      <c r="I2447" s="44">
        <v>-1.0500000000000001E-2</v>
      </c>
      <c r="J2447" s="44">
        <v>-0.16</v>
      </c>
      <c r="K2447" s="44">
        <v>293</v>
      </c>
      <c r="L2447" s="44">
        <v>6.4701000000000004</v>
      </c>
      <c r="M2447" s="44">
        <v>326</v>
      </c>
    </row>
    <row r="2448" spans="1:13" x14ac:dyDescent="0.25">
      <c r="A2448" s="45" t="s">
        <v>3355</v>
      </c>
      <c r="B2448" s="44" t="s">
        <v>5551</v>
      </c>
      <c r="C2448" s="47"/>
    </row>
    <row r="2449" spans="1:13" x14ac:dyDescent="0.25">
      <c r="A2449" s="45" t="s">
        <v>3356</v>
      </c>
      <c r="B2449" s="44" t="s">
        <v>5552</v>
      </c>
      <c r="C2449" s="47">
        <v>44250</v>
      </c>
      <c r="D2449" s="44">
        <v>202106</v>
      </c>
      <c r="E2449" s="44">
        <v>6.5092999999999996</v>
      </c>
      <c r="F2449" s="44">
        <v>6.5138999999999996</v>
      </c>
      <c r="G2449" s="44">
        <v>6.5092999999999996</v>
      </c>
      <c r="H2449" s="44">
        <v>6.5114000000000001</v>
      </c>
      <c r="I2449" s="44">
        <v>-8.3000000000000001E-3</v>
      </c>
      <c r="J2449" s="44">
        <v>-0.13</v>
      </c>
      <c r="K2449" s="44">
        <v>10</v>
      </c>
      <c r="L2449" s="44">
        <v>6.5114000000000001</v>
      </c>
      <c r="M2449" s="44">
        <v>385</v>
      </c>
    </row>
    <row r="2450" spans="1:13" x14ac:dyDescent="0.25">
      <c r="A2450" s="45" t="s">
        <v>3357</v>
      </c>
      <c r="B2450" s="44" t="s">
        <v>5553</v>
      </c>
      <c r="C2450" s="47"/>
    </row>
    <row r="2451" spans="1:13" x14ac:dyDescent="0.25">
      <c r="A2451" s="45" t="s">
        <v>3358</v>
      </c>
      <c r="B2451" s="44" t="s">
        <v>5554</v>
      </c>
      <c r="C2451" s="47">
        <v>44250</v>
      </c>
      <c r="D2451" s="44">
        <v>202109</v>
      </c>
      <c r="E2451" s="44">
        <v>6.556</v>
      </c>
      <c r="F2451" s="44">
        <v>6.556</v>
      </c>
      <c r="G2451" s="44">
        <v>6.5477999999999996</v>
      </c>
      <c r="H2451" s="44">
        <v>6.5510000000000002</v>
      </c>
      <c r="I2451" s="44">
        <v>-1.0500000000000001E-2</v>
      </c>
      <c r="J2451" s="44">
        <v>-0.16</v>
      </c>
      <c r="K2451" s="44">
        <v>24</v>
      </c>
      <c r="L2451" s="44">
        <v>6.5510000000000002</v>
      </c>
      <c r="M2451" s="44">
        <v>202</v>
      </c>
    </row>
    <row r="2452" spans="1:13" x14ac:dyDescent="0.25">
      <c r="A2452" s="45" t="s">
        <v>3359</v>
      </c>
      <c r="B2452" s="44" t="s">
        <v>5555</v>
      </c>
      <c r="C2452" s="47"/>
    </row>
    <row r="2453" spans="1:13" x14ac:dyDescent="0.25">
      <c r="A2453" s="45" t="s">
        <v>3360</v>
      </c>
      <c r="B2453" s="44" t="s">
        <v>5556</v>
      </c>
      <c r="C2453" s="47">
        <v>44250</v>
      </c>
      <c r="D2453" s="44">
        <v>202112</v>
      </c>
      <c r="E2453" s="44">
        <v>6.5937000000000001</v>
      </c>
      <c r="F2453" s="44">
        <v>6.5937999999999999</v>
      </c>
      <c r="G2453" s="44">
        <v>6.5918999999999999</v>
      </c>
      <c r="H2453" s="44">
        <v>6.5921000000000003</v>
      </c>
      <c r="I2453" s="44">
        <v>-1.09E-2</v>
      </c>
      <c r="J2453" s="44">
        <v>-0.17</v>
      </c>
      <c r="K2453" s="44">
        <v>13</v>
      </c>
      <c r="L2453" s="44">
        <v>6.5921000000000003</v>
      </c>
      <c r="M2453" s="44">
        <v>70</v>
      </c>
    </row>
    <row r="2454" spans="1:13" x14ac:dyDescent="0.25">
      <c r="A2454" s="45" t="s">
        <v>3361</v>
      </c>
      <c r="B2454" s="44" t="s">
        <v>5557</v>
      </c>
      <c r="C2454" s="47"/>
    </row>
    <row r="2455" spans="1:13" x14ac:dyDescent="0.25">
      <c r="A2455" s="45" t="s">
        <v>3362</v>
      </c>
      <c r="B2455" s="44" t="s">
        <v>5558</v>
      </c>
      <c r="C2455" s="47">
        <v>44250</v>
      </c>
      <c r="D2455" s="44">
        <v>202203</v>
      </c>
      <c r="E2455" s="44">
        <v>6.6345000000000001</v>
      </c>
      <c r="F2455" s="44">
        <v>6.6357999999999997</v>
      </c>
      <c r="G2455" s="44">
        <v>6.6345000000000001</v>
      </c>
      <c r="H2455" s="44">
        <v>6.6357999999999997</v>
      </c>
      <c r="I2455" s="44">
        <v>-5.5999999999999999E-3</v>
      </c>
      <c r="J2455" s="44">
        <v>-0.08</v>
      </c>
      <c r="K2455" s="44">
        <v>9</v>
      </c>
      <c r="L2455" s="44">
        <v>6.6357999999999997</v>
      </c>
      <c r="M2455" s="44">
        <v>25</v>
      </c>
    </row>
    <row r="2456" spans="1:13" x14ac:dyDescent="0.25">
      <c r="A2456" s="45" t="s">
        <v>3363</v>
      </c>
      <c r="B2456" s="44" t="s">
        <v>5559</v>
      </c>
      <c r="C2456" s="47"/>
    </row>
    <row r="2457" spans="1:13" x14ac:dyDescent="0.25">
      <c r="A2457" s="45" t="s">
        <v>3364</v>
      </c>
      <c r="B2457" s="44" t="s">
        <v>5560</v>
      </c>
      <c r="C2457" s="47"/>
    </row>
    <row r="2458" spans="1:13" x14ac:dyDescent="0.25">
      <c r="A2458" s="45" t="s">
        <v>3365</v>
      </c>
      <c r="B2458" s="44" t="s">
        <v>5561</v>
      </c>
      <c r="C2458" s="47"/>
    </row>
    <row r="2459" spans="1:13" x14ac:dyDescent="0.25">
      <c r="A2459" s="45" t="s">
        <v>3366</v>
      </c>
      <c r="B2459" s="44" t="s">
        <v>5562</v>
      </c>
      <c r="C2459" s="47">
        <v>44250</v>
      </c>
      <c r="D2459" s="44">
        <v>202102</v>
      </c>
      <c r="E2459" s="44">
        <v>1421</v>
      </c>
      <c r="F2459" s="44">
        <v>1439.75</v>
      </c>
      <c r="G2459" s="44">
        <v>1414.5</v>
      </c>
      <c r="H2459" s="44">
        <v>1438</v>
      </c>
      <c r="I2459" s="44">
        <v>7.25</v>
      </c>
      <c r="J2459" s="44">
        <v>0.51</v>
      </c>
      <c r="K2459" s="44">
        <v>84473</v>
      </c>
      <c r="L2459" s="44">
        <v>1438</v>
      </c>
      <c r="M2459" s="44">
        <v>58795</v>
      </c>
    </row>
    <row r="2460" spans="1:13" x14ac:dyDescent="0.25">
      <c r="A2460" s="45" t="s">
        <v>3367</v>
      </c>
      <c r="B2460" s="44" t="s">
        <v>5563</v>
      </c>
      <c r="C2460" s="47">
        <v>44250</v>
      </c>
      <c r="D2460" s="44">
        <v>202103</v>
      </c>
      <c r="E2460" s="44">
        <v>1414.75</v>
      </c>
      <c r="F2460" s="44">
        <v>1433.5</v>
      </c>
      <c r="G2460" s="44">
        <v>1408.5</v>
      </c>
      <c r="H2460" s="44">
        <v>1432</v>
      </c>
      <c r="I2460" s="44">
        <v>7</v>
      </c>
      <c r="J2460" s="44">
        <v>0.49</v>
      </c>
      <c r="K2460" s="44">
        <v>61060</v>
      </c>
      <c r="L2460" s="44">
        <v>1431.5</v>
      </c>
      <c r="M2460" s="44">
        <v>91973</v>
      </c>
    </row>
    <row r="2461" spans="1:13" x14ac:dyDescent="0.25">
      <c r="A2461" s="45" t="s">
        <v>3368</v>
      </c>
      <c r="B2461" s="44" t="s">
        <v>5564</v>
      </c>
      <c r="C2461" s="47">
        <v>44250</v>
      </c>
      <c r="D2461" s="44">
        <v>202102</v>
      </c>
      <c r="E2461" s="44">
        <v>1421</v>
      </c>
      <c r="F2461" s="44">
        <v>1439.75</v>
      </c>
      <c r="G2461" s="44">
        <v>1414.5</v>
      </c>
      <c r="H2461" s="44">
        <v>1438</v>
      </c>
      <c r="I2461" s="44">
        <v>7.25</v>
      </c>
      <c r="J2461" s="44">
        <v>0.51</v>
      </c>
      <c r="K2461" s="44">
        <v>84473</v>
      </c>
      <c r="L2461" s="44">
        <v>1438</v>
      </c>
      <c r="M2461" s="44">
        <v>58795</v>
      </c>
    </row>
    <row r="2462" spans="1:13" x14ac:dyDescent="0.25">
      <c r="A2462" s="45" t="s">
        <v>3369</v>
      </c>
      <c r="B2462" s="44" t="s">
        <v>5565</v>
      </c>
      <c r="C2462" s="47">
        <v>44250</v>
      </c>
      <c r="D2462" s="44">
        <v>202103</v>
      </c>
      <c r="E2462" s="44">
        <v>1414.75</v>
      </c>
      <c r="F2462" s="44">
        <v>1433.5</v>
      </c>
      <c r="G2462" s="44">
        <v>1408.5</v>
      </c>
      <c r="H2462" s="44">
        <v>1432</v>
      </c>
      <c r="I2462" s="44">
        <v>7</v>
      </c>
      <c r="J2462" s="44">
        <v>0.49</v>
      </c>
      <c r="K2462" s="44">
        <v>61060</v>
      </c>
      <c r="L2462" s="44">
        <v>1431.5</v>
      </c>
      <c r="M2462" s="44">
        <v>91973</v>
      </c>
    </row>
    <row r="2463" spans="1:13" x14ac:dyDescent="0.25">
      <c r="A2463" s="45" t="s">
        <v>3370</v>
      </c>
      <c r="B2463" s="44" t="s">
        <v>5566</v>
      </c>
      <c r="C2463" s="47">
        <v>44250</v>
      </c>
      <c r="D2463" s="44">
        <v>202103</v>
      </c>
      <c r="E2463" s="44">
        <v>3877</v>
      </c>
      <c r="F2463" s="44">
        <v>3893.75</v>
      </c>
      <c r="G2463" s="44">
        <v>3870.75</v>
      </c>
      <c r="H2463" s="44">
        <v>3893.75</v>
      </c>
      <c r="I2463" s="44">
        <v>0</v>
      </c>
      <c r="J2463" s="44">
        <v>0</v>
      </c>
      <c r="K2463" s="44">
        <v>57</v>
      </c>
      <c r="L2463" s="44">
        <v>3893.75</v>
      </c>
      <c r="M2463" s="44">
        <v>216</v>
      </c>
    </row>
    <row r="2464" spans="1:13" x14ac:dyDescent="0.25">
      <c r="A2464" s="45" t="s">
        <v>3371</v>
      </c>
      <c r="B2464" s="44" t="s">
        <v>5567</v>
      </c>
      <c r="C2464" s="47">
        <v>44250</v>
      </c>
      <c r="D2464" s="44">
        <v>202103</v>
      </c>
      <c r="E2464" s="44">
        <v>3877</v>
      </c>
      <c r="F2464" s="44">
        <v>3893.75</v>
      </c>
      <c r="G2464" s="44">
        <v>3870.75</v>
      </c>
      <c r="H2464" s="44">
        <v>3893.75</v>
      </c>
      <c r="I2464" s="44">
        <v>0</v>
      </c>
      <c r="J2464" s="44">
        <v>0</v>
      </c>
      <c r="K2464" s="44">
        <v>57</v>
      </c>
      <c r="L2464" s="44">
        <v>3893.75</v>
      </c>
      <c r="M2464" s="44">
        <v>216</v>
      </c>
    </row>
    <row r="2465" spans="1:13" x14ac:dyDescent="0.25">
      <c r="A2465" s="45" t="s">
        <v>3372</v>
      </c>
      <c r="B2465" s="44" t="s">
        <v>5568</v>
      </c>
      <c r="C2465" s="47"/>
    </row>
    <row r="2466" spans="1:13" x14ac:dyDescent="0.25">
      <c r="A2466" s="45" t="s">
        <v>3373</v>
      </c>
      <c r="B2466" s="44" t="s">
        <v>5569</v>
      </c>
      <c r="C2466" s="47">
        <v>44250</v>
      </c>
      <c r="D2466" s="44">
        <v>202106</v>
      </c>
      <c r="E2466" s="44">
        <v>3860.5</v>
      </c>
      <c r="F2466" s="44">
        <v>3885.5</v>
      </c>
      <c r="G2466" s="44">
        <v>3860.5</v>
      </c>
      <c r="H2466" s="44">
        <v>3885.5</v>
      </c>
      <c r="I2466" s="44">
        <v>4</v>
      </c>
      <c r="J2466" s="44">
        <v>0.1</v>
      </c>
      <c r="K2466" s="44">
        <v>23</v>
      </c>
      <c r="L2466" s="44">
        <v>3885.5</v>
      </c>
      <c r="M2466" s="44">
        <v>64</v>
      </c>
    </row>
    <row r="2467" spans="1:13" x14ac:dyDescent="0.25">
      <c r="A2467" s="45" t="s">
        <v>3374</v>
      </c>
      <c r="B2467" s="44" t="s">
        <v>5570</v>
      </c>
      <c r="C2467" s="47">
        <v>44250</v>
      </c>
      <c r="D2467" s="44">
        <v>202106</v>
      </c>
      <c r="E2467" s="44">
        <v>3860.5</v>
      </c>
      <c r="F2467" s="44">
        <v>3885.5</v>
      </c>
      <c r="G2467" s="44">
        <v>3860.5</v>
      </c>
      <c r="H2467" s="44">
        <v>3885.5</v>
      </c>
      <c r="I2467" s="44">
        <v>4</v>
      </c>
      <c r="J2467" s="44">
        <v>0.1</v>
      </c>
      <c r="K2467" s="44">
        <v>23</v>
      </c>
      <c r="L2467" s="44">
        <v>3885.5</v>
      </c>
      <c r="M2467" s="44">
        <v>64</v>
      </c>
    </row>
    <row r="2468" spans="1:13" x14ac:dyDescent="0.25">
      <c r="A2468" s="45" t="s">
        <v>3375</v>
      </c>
      <c r="B2468" s="44" t="s">
        <v>5571</v>
      </c>
      <c r="C2468" s="47">
        <v>44250</v>
      </c>
      <c r="D2468" s="44">
        <v>202103</v>
      </c>
      <c r="E2468" s="44">
        <v>3877</v>
      </c>
      <c r="F2468" s="44">
        <v>3893.75</v>
      </c>
      <c r="G2468" s="44">
        <v>3870.75</v>
      </c>
      <c r="H2468" s="44">
        <v>3893.75</v>
      </c>
      <c r="I2468" s="44">
        <v>0</v>
      </c>
      <c r="J2468" s="44">
        <v>0</v>
      </c>
      <c r="K2468" s="44">
        <v>57</v>
      </c>
      <c r="L2468" s="44">
        <v>3893.75</v>
      </c>
      <c r="M2468" s="44">
        <v>216</v>
      </c>
    </row>
    <row r="2469" spans="1:13" x14ac:dyDescent="0.25">
      <c r="A2469" s="45" t="s">
        <v>3376</v>
      </c>
      <c r="B2469" s="44" t="s">
        <v>5572</v>
      </c>
      <c r="C2469" s="47"/>
    </row>
    <row r="2470" spans="1:13" x14ac:dyDescent="0.25">
      <c r="A2470" s="45" t="s">
        <v>3377</v>
      </c>
      <c r="B2470" s="44" t="s">
        <v>5573</v>
      </c>
      <c r="C2470" s="47">
        <v>44250</v>
      </c>
      <c r="D2470" s="44">
        <v>202106</v>
      </c>
      <c r="E2470" s="44">
        <v>3860.5</v>
      </c>
      <c r="F2470" s="44">
        <v>3885.5</v>
      </c>
      <c r="G2470" s="44">
        <v>3860.5</v>
      </c>
      <c r="H2470" s="44">
        <v>3885.5</v>
      </c>
      <c r="I2470" s="44">
        <v>4</v>
      </c>
      <c r="J2470" s="44">
        <v>0.1</v>
      </c>
      <c r="K2470" s="44">
        <v>23</v>
      </c>
      <c r="L2470" s="44">
        <v>3885.5</v>
      </c>
      <c r="M2470" s="44">
        <v>64</v>
      </c>
    </row>
    <row r="2471" spans="1:13" x14ac:dyDescent="0.25">
      <c r="A2471" s="45" t="s">
        <v>3378</v>
      </c>
      <c r="B2471" s="44" t="s">
        <v>5574</v>
      </c>
      <c r="C2471" s="47"/>
    </row>
    <row r="2472" spans="1:13" x14ac:dyDescent="0.25">
      <c r="A2472" s="45" t="s">
        <v>3379</v>
      </c>
      <c r="B2472" s="44" t="s">
        <v>5575</v>
      </c>
      <c r="C2472" s="47">
        <v>44250</v>
      </c>
      <c r="D2472" s="44">
        <v>202109</v>
      </c>
      <c r="E2472" s="44">
        <v>3881.5</v>
      </c>
      <c r="F2472" s="44">
        <v>3881.5</v>
      </c>
      <c r="G2472" s="44">
        <v>3881.5</v>
      </c>
      <c r="H2472" s="44">
        <v>3881.5</v>
      </c>
      <c r="I2472" s="44">
        <v>0</v>
      </c>
      <c r="J2472" s="44">
        <v>0</v>
      </c>
      <c r="K2472" s="44">
        <v>0</v>
      </c>
      <c r="L2472" s="44">
        <v>3881.5</v>
      </c>
      <c r="M2472" s="44">
        <v>0</v>
      </c>
    </row>
    <row r="2473" spans="1:13" x14ac:dyDescent="0.25">
      <c r="A2473" s="45" t="s">
        <v>3380</v>
      </c>
      <c r="B2473" s="44" t="s">
        <v>5576</v>
      </c>
      <c r="C2473" s="47"/>
    </row>
    <row r="2474" spans="1:13" x14ac:dyDescent="0.25">
      <c r="A2474" s="45" t="s">
        <v>3381</v>
      </c>
      <c r="B2474" s="44" t="s">
        <v>5577</v>
      </c>
      <c r="C2474" s="47">
        <v>44250</v>
      </c>
      <c r="D2474" s="44">
        <v>202112</v>
      </c>
      <c r="E2474" s="44">
        <v>3863.25</v>
      </c>
      <c r="F2474" s="44">
        <v>3863.25</v>
      </c>
      <c r="G2474" s="44">
        <v>3863.25</v>
      </c>
      <c r="H2474" s="44">
        <v>3863.25</v>
      </c>
      <c r="I2474" s="44">
        <v>0</v>
      </c>
      <c r="J2474" s="44">
        <v>0</v>
      </c>
      <c r="K2474" s="44">
        <v>0</v>
      </c>
      <c r="L2474" s="44">
        <v>3863.25</v>
      </c>
      <c r="M2474" s="44">
        <v>0</v>
      </c>
    </row>
    <row r="2475" spans="1:13" x14ac:dyDescent="0.25">
      <c r="A2475" s="45" t="s">
        <v>3382</v>
      </c>
      <c r="B2475" s="44" t="s">
        <v>5578</v>
      </c>
      <c r="C2475" s="47"/>
    </row>
    <row r="2476" spans="1:13" x14ac:dyDescent="0.25">
      <c r="A2476" s="45" t="s">
        <v>3383</v>
      </c>
      <c r="B2476" s="44" t="s">
        <v>5579</v>
      </c>
      <c r="C2476" s="47">
        <v>44250</v>
      </c>
      <c r="D2476" s="44">
        <v>202203</v>
      </c>
      <c r="E2476" s="44">
        <v>3853.75</v>
      </c>
      <c r="F2476" s="44">
        <v>3853.75</v>
      </c>
      <c r="G2476" s="44">
        <v>3853.75</v>
      </c>
      <c r="H2476" s="44">
        <v>3853.75</v>
      </c>
      <c r="I2476" s="44">
        <v>0</v>
      </c>
      <c r="J2476" s="44">
        <v>0</v>
      </c>
      <c r="K2476" s="44">
        <v>0</v>
      </c>
      <c r="L2476" s="44">
        <v>3853.75</v>
      </c>
      <c r="M2476" s="44">
        <v>0</v>
      </c>
    </row>
    <row r="2477" spans="1:13" x14ac:dyDescent="0.25">
      <c r="A2477" s="45" t="s">
        <v>3384</v>
      </c>
      <c r="B2477" s="44" t="s">
        <v>5580</v>
      </c>
      <c r="C2477" s="47"/>
    </row>
    <row r="2478" spans="1:13" x14ac:dyDescent="0.25">
      <c r="A2478" s="45" t="s">
        <v>3385</v>
      </c>
      <c r="B2478" s="44" t="s">
        <v>5581</v>
      </c>
      <c r="C2478" s="47"/>
    </row>
    <row r="2479" spans="1:13" x14ac:dyDescent="0.25">
      <c r="A2479" s="45" t="s">
        <v>3386</v>
      </c>
      <c r="B2479" s="44" t="s">
        <v>5582</v>
      </c>
      <c r="C2479" s="47"/>
    </row>
    <row r="2480" spans="1:13" x14ac:dyDescent="0.25">
      <c r="A2480" s="45" t="s">
        <v>3387</v>
      </c>
      <c r="B2480" s="44" t="s">
        <v>5583</v>
      </c>
      <c r="C2480" s="47">
        <v>44250</v>
      </c>
      <c r="D2480" s="44">
        <v>202103</v>
      </c>
      <c r="E2480" s="44">
        <v>13688</v>
      </c>
      <c r="F2480" s="44">
        <v>13805</v>
      </c>
      <c r="G2480" s="44">
        <v>13688</v>
      </c>
      <c r="H2480" s="44">
        <v>13805</v>
      </c>
      <c r="I2480" s="44">
        <v>-17</v>
      </c>
      <c r="J2480" s="44">
        <v>-0.12</v>
      </c>
      <c r="K2480" s="44">
        <v>38</v>
      </c>
      <c r="L2480" s="44">
        <v>13784</v>
      </c>
      <c r="M2480" s="44">
        <v>46</v>
      </c>
    </row>
    <row r="2481" spans="1:13" x14ac:dyDescent="0.25">
      <c r="A2481" s="45" t="s">
        <v>3388</v>
      </c>
      <c r="B2481" s="44" t="s">
        <v>5584</v>
      </c>
      <c r="C2481" s="47">
        <v>44250</v>
      </c>
      <c r="D2481" s="44">
        <v>202103</v>
      </c>
      <c r="E2481" s="44">
        <v>13688</v>
      </c>
      <c r="F2481" s="44">
        <v>13805</v>
      </c>
      <c r="G2481" s="44">
        <v>13688</v>
      </c>
      <c r="H2481" s="44">
        <v>13805</v>
      </c>
      <c r="I2481" s="44">
        <v>-17</v>
      </c>
      <c r="J2481" s="44">
        <v>-0.12</v>
      </c>
      <c r="K2481" s="44">
        <v>38</v>
      </c>
      <c r="L2481" s="44">
        <v>13784</v>
      </c>
      <c r="M2481" s="44">
        <v>46</v>
      </c>
    </row>
    <row r="2482" spans="1:13" x14ac:dyDescent="0.25">
      <c r="A2482" s="45" t="s">
        <v>3389</v>
      </c>
      <c r="B2482" s="44" t="s">
        <v>5585</v>
      </c>
      <c r="C2482" s="47">
        <v>44250</v>
      </c>
      <c r="D2482" s="44">
        <v>202104</v>
      </c>
      <c r="E2482" s="44">
        <v>13663</v>
      </c>
      <c r="F2482" s="44">
        <v>13768</v>
      </c>
      <c r="G2482" s="44">
        <v>13652</v>
      </c>
      <c r="H2482" s="44">
        <v>13765</v>
      </c>
      <c r="I2482" s="44">
        <v>-22</v>
      </c>
      <c r="J2482" s="44">
        <v>-0.16</v>
      </c>
      <c r="K2482" s="44">
        <v>25</v>
      </c>
      <c r="L2482" s="44">
        <v>13739</v>
      </c>
      <c r="M2482" s="44">
        <v>25</v>
      </c>
    </row>
    <row r="2483" spans="1:13" x14ac:dyDescent="0.25">
      <c r="A2483" s="45" t="s">
        <v>3390</v>
      </c>
      <c r="B2483" s="44" t="s">
        <v>5586</v>
      </c>
      <c r="C2483" s="47">
        <v>44250</v>
      </c>
      <c r="D2483" s="44">
        <v>202104</v>
      </c>
      <c r="E2483" s="44">
        <v>13663</v>
      </c>
      <c r="F2483" s="44">
        <v>13768</v>
      </c>
      <c r="G2483" s="44">
        <v>13652</v>
      </c>
      <c r="H2483" s="44">
        <v>13765</v>
      </c>
      <c r="I2483" s="44">
        <v>-22</v>
      </c>
      <c r="J2483" s="44">
        <v>-0.16</v>
      </c>
      <c r="K2483" s="44">
        <v>25</v>
      </c>
      <c r="L2483" s="44">
        <v>13739</v>
      </c>
      <c r="M2483" s="44">
        <v>25</v>
      </c>
    </row>
    <row r="2484" spans="1:13" x14ac:dyDescent="0.25">
      <c r="A2484" s="45" t="s">
        <v>3391</v>
      </c>
      <c r="C2484" s="47"/>
    </row>
    <row r="2485" spans="1:13" x14ac:dyDescent="0.25">
      <c r="A2485" s="45" t="s">
        <v>3392</v>
      </c>
      <c r="B2485" s="44" t="s">
        <v>5587</v>
      </c>
      <c r="C2485" s="47">
        <v>44250</v>
      </c>
      <c r="D2485" s="44">
        <v>202103</v>
      </c>
      <c r="E2485" s="44">
        <v>13688</v>
      </c>
      <c r="F2485" s="44">
        <v>13805</v>
      </c>
      <c r="G2485" s="44">
        <v>13688</v>
      </c>
      <c r="H2485" s="44">
        <v>13805</v>
      </c>
      <c r="I2485" s="44">
        <v>-17</v>
      </c>
      <c r="J2485" s="44">
        <v>-0.12</v>
      </c>
      <c r="K2485" s="44">
        <v>38</v>
      </c>
      <c r="L2485" s="44">
        <v>13784</v>
      </c>
      <c r="M2485" s="44">
        <v>46</v>
      </c>
    </row>
    <row r="2486" spans="1:13" x14ac:dyDescent="0.25">
      <c r="A2486" s="45" t="s">
        <v>3393</v>
      </c>
      <c r="B2486" s="44" t="s">
        <v>5588</v>
      </c>
      <c r="C2486" s="47">
        <v>44250</v>
      </c>
      <c r="D2486" s="44">
        <v>202104</v>
      </c>
      <c r="E2486" s="44">
        <v>13663</v>
      </c>
      <c r="F2486" s="44">
        <v>13768</v>
      </c>
      <c r="G2486" s="44">
        <v>13652</v>
      </c>
      <c r="H2486" s="44">
        <v>13765</v>
      </c>
      <c r="I2486" s="44">
        <v>-22</v>
      </c>
      <c r="J2486" s="44">
        <v>-0.16</v>
      </c>
      <c r="K2486" s="44">
        <v>25</v>
      </c>
      <c r="L2486" s="44">
        <v>13739</v>
      </c>
      <c r="M2486" s="44">
        <v>25</v>
      </c>
    </row>
    <row r="2487" spans="1:13" x14ac:dyDescent="0.25">
      <c r="A2487" s="45" t="s">
        <v>3394</v>
      </c>
      <c r="B2487" s="44" t="s">
        <v>5589</v>
      </c>
      <c r="C2487" s="47">
        <v>44250</v>
      </c>
      <c r="D2487" s="44">
        <v>202106</v>
      </c>
      <c r="E2487" s="44">
        <v>13773</v>
      </c>
      <c r="F2487" s="44">
        <v>13773</v>
      </c>
      <c r="G2487" s="44">
        <v>13773</v>
      </c>
      <c r="H2487" s="44">
        <v>13773</v>
      </c>
      <c r="I2487" s="44">
        <v>-38</v>
      </c>
      <c r="J2487" s="44">
        <v>-0.28000000000000003</v>
      </c>
      <c r="K2487" s="44">
        <v>0</v>
      </c>
      <c r="L2487" s="44">
        <v>13773</v>
      </c>
      <c r="M2487" s="44">
        <v>0</v>
      </c>
    </row>
    <row r="2488" spans="1:13" x14ac:dyDescent="0.25">
      <c r="A2488" s="45" t="s">
        <v>3395</v>
      </c>
      <c r="B2488" s="44" t="s">
        <v>5590</v>
      </c>
      <c r="C2488" s="47">
        <v>44250</v>
      </c>
      <c r="D2488" s="44">
        <v>202109</v>
      </c>
      <c r="E2488" s="44">
        <v>13500</v>
      </c>
      <c r="F2488" s="44">
        <v>13500</v>
      </c>
      <c r="G2488" s="44">
        <v>13500</v>
      </c>
      <c r="H2488" s="44">
        <v>13500</v>
      </c>
      <c r="I2488" s="44">
        <v>-38</v>
      </c>
      <c r="J2488" s="44">
        <v>-0.28000000000000003</v>
      </c>
      <c r="K2488" s="44">
        <v>0</v>
      </c>
      <c r="L2488" s="44">
        <v>13500</v>
      </c>
      <c r="M2488" s="44">
        <v>0</v>
      </c>
    </row>
    <row r="2489" spans="1:13" x14ac:dyDescent="0.25">
      <c r="A2489" s="45" t="s">
        <v>3396</v>
      </c>
      <c r="B2489" s="44" t="s">
        <v>5591</v>
      </c>
      <c r="C2489" s="47">
        <v>44250</v>
      </c>
      <c r="D2489" s="44">
        <v>202112</v>
      </c>
      <c r="E2489" s="44">
        <v>13469</v>
      </c>
      <c r="F2489" s="44">
        <v>13469</v>
      </c>
      <c r="G2489" s="44">
        <v>13469</v>
      </c>
      <c r="H2489" s="44">
        <v>13469</v>
      </c>
      <c r="I2489" s="44">
        <v>-38</v>
      </c>
      <c r="J2489" s="44">
        <v>-0.28000000000000003</v>
      </c>
      <c r="K2489" s="44">
        <v>0</v>
      </c>
      <c r="L2489" s="44">
        <v>13469</v>
      </c>
      <c r="M2489" s="44">
        <v>0</v>
      </c>
    </row>
    <row r="2490" spans="1:13" x14ac:dyDescent="0.25">
      <c r="A2490" s="45" t="s">
        <v>3397</v>
      </c>
      <c r="B2490" s="44" t="s">
        <v>5592</v>
      </c>
      <c r="C2490" s="47">
        <v>44250</v>
      </c>
      <c r="D2490" s="44">
        <v>202105</v>
      </c>
      <c r="E2490" s="44">
        <v>13605</v>
      </c>
      <c r="F2490" s="44">
        <v>13605</v>
      </c>
      <c r="G2490" s="44">
        <v>13605</v>
      </c>
      <c r="H2490" s="44">
        <v>13605</v>
      </c>
      <c r="I2490" s="44">
        <v>-38</v>
      </c>
      <c r="J2490" s="44">
        <v>-0.28000000000000003</v>
      </c>
      <c r="K2490" s="44">
        <v>0</v>
      </c>
      <c r="L2490" s="44">
        <v>13605</v>
      </c>
      <c r="M2490" s="44">
        <v>0</v>
      </c>
    </row>
    <row r="2491" spans="1:13" x14ac:dyDescent="0.25">
      <c r="A2491" s="45" t="s">
        <v>3398</v>
      </c>
      <c r="B2491" s="44" t="s">
        <v>5593</v>
      </c>
      <c r="C2491" s="47">
        <v>44250</v>
      </c>
      <c r="D2491" s="44">
        <v>202105</v>
      </c>
      <c r="E2491" s="44">
        <v>13605</v>
      </c>
      <c r="F2491" s="44">
        <v>13605</v>
      </c>
      <c r="G2491" s="44">
        <v>13605</v>
      </c>
      <c r="H2491" s="44">
        <v>13605</v>
      </c>
      <c r="I2491" s="44">
        <v>-38</v>
      </c>
      <c r="J2491" s="44">
        <v>-0.28000000000000003</v>
      </c>
      <c r="K2491" s="44">
        <v>0</v>
      </c>
      <c r="L2491" s="44">
        <v>13605</v>
      </c>
      <c r="M2491" s="44">
        <v>0</v>
      </c>
    </row>
    <row r="2492" spans="1:13" x14ac:dyDescent="0.25">
      <c r="A2492" s="45" t="s">
        <v>3399</v>
      </c>
      <c r="B2492" s="44" t="s">
        <v>5594</v>
      </c>
      <c r="C2492" s="47">
        <v>44250</v>
      </c>
      <c r="D2492" s="44">
        <v>202103</v>
      </c>
      <c r="E2492" s="44">
        <v>841</v>
      </c>
      <c r="F2492" s="44">
        <v>846.2</v>
      </c>
      <c r="G2492" s="44">
        <v>832.3</v>
      </c>
      <c r="H2492" s="44">
        <v>845.25</v>
      </c>
      <c r="I2492" s="44">
        <v>-4.7</v>
      </c>
      <c r="J2492" s="44">
        <v>-0.55000000000000004</v>
      </c>
      <c r="K2492" s="44">
        <v>2110</v>
      </c>
      <c r="L2492" s="44">
        <v>845.7</v>
      </c>
      <c r="M2492" s="44">
        <v>2519</v>
      </c>
    </row>
    <row r="2493" spans="1:13" x14ac:dyDescent="0.25">
      <c r="A2493" s="45" t="s">
        <v>3400</v>
      </c>
      <c r="B2493" s="44" t="s">
        <v>5595</v>
      </c>
      <c r="C2493" s="47">
        <v>44250</v>
      </c>
      <c r="D2493" s="44">
        <v>202103</v>
      </c>
      <c r="E2493" s="44">
        <v>841</v>
      </c>
      <c r="F2493" s="44">
        <v>846.2</v>
      </c>
      <c r="G2493" s="44">
        <v>832.3</v>
      </c>
      <c r="H2493" s="44">
        <v>845.25</v>
      </c>
      <c r="I2493" s="44">
        <v>-4.7</v>
      </c>
      <c r="J2493" s="44">
        <v>-0.55000000000000004</v>
      </c>
      <c r="K2493" s="44">
        <v>2110</v>
      </c>
      <c r="L2493" s="44">
        <v>845.7</v>
      </c>
      <c r="M2493" s="44">
        <v>2519</v>
      </c>
    </row>
    <row r="2494" spans="1:13" x14ac:dyDescent="0.25">
      <c r="A2494" s="45" t="s">
        <v>3401</v>
      </c>
      <c r="B2494" s="44" t="s">
        <v>5596</v>
      </c>
      <c r="C2494" s="47"/>
    </row>
    <row r="2495" spans="1:13" x14ac:dyDescent="0.25">
      <c r="A2495" s="45" t="s">
        <v>3402</v>
      </c>
      <c r="B2495" s="44" t="s">
        <v>5597</v>
      </c>
      <c r="C2495" s="47">
        <v>44250</v>
      </c>
      <c r="D2495" s="44">
        <v>202104</v>
      </c>
      <c r="E2495" s="44">
        <v>835.05</v>
      </c>
      <c r="F2495" s="44">
        <v>842</v>
      </c>
      <c r="G2495" s="44">
        <v>829.8</v>
      </c>
      <c r="H2495" s="44">
        <v>842</v>
      </c>
      <c r="I2495" s="44">
        <v>-5.4</v>
      </c>
      <c r="J2495" s="44">
        <v>-0.64</v>
      </c>
      <c r="K2495" s="44">
        <v>22</v>
      </c>
      <c r="L2495" s="44">
        <v>842</v>
      </c>
      <c r="M2495" s="44">
        <v>28</v>
      </c>
    </row>
    <row r="2496" spans="1:13" x14ac:dyDescent="0.25">
      <c r="A2496" s="45" t="s">
        <v>3403</v>
      </c>
      <c r="B2496" s="44" t="s">
        <v>5598</v>
      </c>
      <c r="C2496" s="47">
        <v>44250</v>
      </c>
      <c r="D2496" s="44">
        <v>202104</v>
      </c>
      <c r="E2496" s="44">
        <v>835.05</v>
      </c>
      <c r="F2496" s="44">
        <v>842</v>
      </c>
      <c r="G2496" s="44">
        <v>829.8</v>
      </c>
      <c r="H2496" s="44">
        <v>842</v>
      </c>
      <c r="I2496" s="44">
        <v>-5.4</v>
      </c>
      <c r="J2496" s="44">
        <v>-0.64</v>
      </c>
      <c r="K2496" s="44">
        <v>22</v>
      </c>
      <c r="L2496" s="44">
        <v>842</v>
      </c>
      <c r="M2496" s="44">
        <v>28</v>
      </c>
    </row>
    <row r="2497" spans="1:13" x14ac:dyDescent="0.25">
      <c r="A2497" s="45" t="s">
        <v>3404</v>
      </c>
      <c r="B2497" s="44" t="s">
        <v>5599</v>
      </c>
      <c r="C2497" s="47"/>
    </row>
    <row r="2498" spans="1:13" x14ac:dyDescent="0.25">
      <c r="A2498" s="45" t="s">
        <v>3405</v>
      </c>
      <c r="C2498" s="47"/>
    </row>
    <row r="2499" spans="1:13" x14ac:dyDescent="0.25">
      <c r="A2499" s="45" t="s">
        <v>3406</v>
      </c>
      <c r="C2499" s="47"/>
    </row>
    <row r="2500" spans="1:13" x14ac:dyDescent="0.25">
      <c r="A2500" s="45" t="s">
        <v>3407</v>
      </c>
      <c r="C2500" s="47"/>
    </row>
    <row r="2501" spans="1:13" x14ac:dyDescent="0.25">
      <c r="A2501" s="45" t="s">
        <v>3408</v>
      </c>
      <c r="C2501" s="47"/>
    </row>
    <row r="2502" spans="1:13" x14ac:dyDescent="0.25">
      <c r="A2502" s="45" t="s">
        <v>3409</v>
      </c>
      <c r="B2502" s="44" t="s">
        <v>5600</v>
      </c>
      <c r="C2502" s="47">
        <v>44250</v>
      </c>
      <c r="D2502" s="44">
        <v>202103</v>
      </c>
      <c r="E2502" s="44">
        <v>841</v>
      </c>
      <c r="F2502" s="44">
        <v>846.2</v>
      </c>
      <c r="G2502" s="44">
        <v>832.3</v>
      </c>
      <c r="H2502" s="44">
        <v>845.25</v>
      </c>
      <c r="I2502" s="44">
        <v>-4.7</v>
      </c>
      <c r="J2502" s="44">
        <v>-0.55000000000000004</v>
      </c>
      <c r="K2502" s="44">
        <v>2110</v>
      </c>
      <c r="L2502" s="44">
        <v>845.7</v>
      </c>
      <c r="M2502" s="44">
        <v>2519</v>
      </c>
    </row>
    <row r="2503" spans="1:13" x14ac:dyDescent="0.25">
      <c r="A2503" s="45" t="s">
        <v>3410</v>
      </c>
      <c r="B2503" s="44" t="s">
        <v>5601</v>
      </c>
      <c r="C2503" s="47"/>
    </row>
    <row r="2504" spans="1:13" x14ac:dyDescent="0.25">
      <c r="A2504" s="45" t="s">
        <v>3411</v>
      </c>
      <c r="B2504" s="44" t="s">
        <v>5602</v>
      </c>
      <c r="C2504" s="47"/>
    </row>
    <row r="2505" spans="1:13" x14ac:dyDescent="0.25">
      <c r="A2505" s="45" t="s">
        <v>3412</v>
      </c>
      <c r="B2505" s="44" t="s">
        <v>5603</v>
      </c>
      <c r="C2505" s="47">
        <v>44250</v>
      </c>
      <c r="D2505" s="44">
        <v>202104</v>
      </c>
      <c r="E2505" s="44">
        <v>835.05</v>
      </c>
      <c r="F2505" s="44">
        <v>842</v>
      </c>
      <c r="G2505" s="44">
        <v>829.8</v>
      </c>
      <c r="H2505" s="44">
        <v>842</v>
      </c>
      <c r="I2505" s="44">
        <v>-5.4</v>
      </c>
      <c r="J2505" s="44">
        <v>-0.64</v>
      </c>
      <c r="K2505" s="44">
        <v>22</v>
      </c>
      <c r="L2505" s="44">
        <v>842</v>
      </c>
      <c r="M2505" s="44">
        <v>28</v>
      </c>
    </row>
    <row r="2506" spans="1:13" x14ac:dyDescent="0.25">
      <c r="A2506" s="45" t="s">
        <v>3413</v>
      </c>
      <c r="B2506" s="44" t="s">
        <v>5604</v>
      </c>
      <c r="C2506" s="47"/>
    </row>
    <row r="2507" spans="1:13" x14ac:dyDescent="0.25">
      <c r="A2507" s="45" t="s">
        <v>3414</v>
      </c>
      <c r="B2507" s="44" t="s">
        <v>5605</v>
      </c>
      <c r="C2507" s="47">
        <v>44250</v>
      </c>
      <c r="D2507" s="44">
        <v>202106</v>
      </c>
      <c r="E2507" s="44">
        <v>847.15</v>
      </c>
      <c r="F2507" s="44">
        <v>847.15</v>
      </c>
      <c r="G2507" s="44">
        <v>847.15</v>
      </c>
      <c r="H2507" s="44">
        <v>847.15</v>
      </c>
      <c r="I2507" s="44">
        <v>-4.25</v>
      </c>
      <c r="J2507" s="44">
        <v>-0.5</v>
      </c>
      <c r="K2507" s="44">
        <v>0</v>
      </c>
      <c r="L2507" s="44">
        <v>847.15</v>
      </c>
      <c r="M2507" s="44">
        <v>0</v>
      </c>
    </row>
    <row r="2508" spans="1:13" x14ac:dyDescent="0.25">
      <c r="A2508" s="45" t="s">
        <v>3415</v>
      </c>
      <c r="B2508" s="44" t="s">
        <v>5606</v>
      </c>
      <c r="C2508" s="47"/>
    </row>
    <row r="2509" spans="1:13" x14ac:dyDescent="0.25">
      <c r="A2509" s="45" t="s">
        <v>3416</v>
      </c>
      <c r="B2509" s="44" t="s">
        <v>5607</v>
      </c>
      <c r="C2509" s="47">
        <v>44250</v>
      </c>
      <c r="D2509" s="44">
        <v>202109</v>
      </c>
      <c r="E2509" s="44">
        <v>835.1</v>
      </c>
      <c r="F2509" s="44">
        <v>835.1</v>
      </c>
      <c r="G2509" s="44">
        <v>835.1</v>
      </c>
      <c r="H2509" s="44">
        <v>835.1</v>
      </c>
      <c r="I2509" s="44">
        <v>-4.25</v>
      </c>
      <c r="J2509" s="44">
        <v>-0.51</v>
      </c>
      <c r="K2509" s="44">
        <v>0</v>
      </c>
      <c r="L2509" s="44">
        <v>835.1</v>
      </c>
      <c r="M2509" s="44">
        <v>2</v>
      </c>
    </row>
    <row r="2510" spans="1:13" x14ac:dyDescent="0.25">
      <c r="A2510" s="45" t="s">
        <v>3417</v>
      </c>
      <c r="B2510" s="44" t="s">
        <v>5608</v>
      </c>
      <c r="C2510" s="47"/>
    </row>
    <row r="2511" spans="1:13" x14ac:dyDescent="0.25">
      <c r="A2511" s="45" t="s">
        <v>3418</v>
      </c>
      <c r="B2511" s="44" t="s">
        <v>5609</v>
      </c>
      <c r="C2511" s="47">
        <v>44250</v>
      </c>
      <c r="D2511" s="44">
        <v>202112</v>
      </c>
      <c r="E2511" s="44">
        <v>815.4</v>
      </c>
      <c r="F2511" s="44">
        <v>815.4</v>
      </c>
      <c r="G2511" s="44">
        <v>815.4</v>
      </c>
      <c r="H2511" s="44">
        <v>815.4</v>
      </c>
      <c r="I2511" s="44">
        <v>-4.25</v>
      </c>
      <c r="J2511" s="44">
        <v>-0.52</v>
      </c>
      <c r="K2511" s="44">
        <v>0</v>
      </c>
      <c r="L2511" s="44">
        <v>815.4</v>
      </c>
      <c r="M2511" s="44">
        <v>0</v>
      </c>
    </row>
    <row r="2512" spans="1:13" x14ac:dyDescent="0.25">
      <c r="A2512" s="45" t="s">
        <v>3419</v>
      </c>
      <c r="B2512" s="44" t="s">
        <v>5610</v>
      </c>
      <c r="C2512" s="47"/>
    </row>
    <row r="2513" spans="1:13" x14ac:dyDescent="0.25">
      <c r="A2513" s="45" t="s">
        <v>3420</v>
      </c>
      <c r="B2513" s="44" t="s">
        <v>5611</v>
      </c>
      <c r="C2513" s="47"/>
    </row>
    <row r="2514" spans="1:13" x14ac:dyDescent="0.25">
      <c r="A2514" s="45" t="s">
        <v>3421</v>
      </c>
      <c r="B2514" s="44" t="s">
        <v>5612</v>
      </c>
      <c r="C2514" s="47">
        <v>44250</v>
      </c>
      <c r="D2514" s="44">
        <v>202105</v>
      </c>
      <c r="E2514" s="44">
        <v>836.95</v>
      </c>
      <c r="F2514" s="44">
        <v>836.95</v>
      </c>
      <c r="G2514" s="44">
        <v>836.95</v>
      </c>
      <c r="H2514" s="44">
        <v>836.95</v>
      </c>
      <c r="I2514" s="44">
        <v>-4.25</v>
      </c>
      <c r="J2514" s="44">
        <v>-0.51</v>
      </c>
      <c r="K2514" s="44">
        <v>0</v>
      </c>
      <c r="L2514" s="44">
        <v>836.95</v>
      </c>
      <c r="M2514" s="44">
        <v>0</v>
      </c>
    </row>
    <row r="2515" spans="1:13" x14ac:dyDescent="0.25">
      <c r="A2515" s="45" t="s">
        <v>3422</v>
      </c>
      <c r="B2515" s="44" t="s">
        <v>5613</v>
      </c>
      <c r="C2515" s="47">
        <v>44250</v>
      </c>
      <c r="D2515" s="44">
        <v>202105</v>
      </c>
      <c r="E2515" s="44">
        <v>836.95</v>
      </c>
      <c r="F2515" s="44">
        <v>836.95</v>
      </c>
      <c r="G2515" s="44">
        <v>836.95</v>
      </c>
      <c r="H2515" s="44">
        <v>836.95</v>
      </c>
      <c r="I2515" s="44">
        <v>-4.25</v>
      </c>
      <c r="J2515" s="44">
        <v>-0.51</v>
      </c>
      <c r="K2515" s="44">
        <v>0</v>
      </c>
      <c r="L2515" s="44">
        <v>836.95</v>
      </c>
      <c r="M2515" s="44">
        <v>0</v>
      </c>
    </row>
    <row r="2516" spans="1:13" x14ac:dyDescent="0.25">
      <c r="A2516" s="45" t="s">
        <v>3423</v>
      </c>
      <c r="B2516" s="44" t="s">
        <v>5614</v>
      </c>
      <c r="C2516" s="47"/>
    </row>
    <row r="2517" spans="1:13" x14ac:dyDescent="0.25">
      <c r="A2517" s="45" t="s">
        <v>3424</v>
      </c>
      <c r="B2517" s="44" t="s">
        <v>5615</v>
      </c>
      <c r="C2517" s="47"/>
    </row>
    <row r="2518" spans="1:13" x14ac:dyDescent="0.25">
      <c r="A2518" s="45" t="s">
        <v>3425</v>
      </c>
      <c r="B2518" s="44" t="s">
        <v>5616</v>
      </c>
      <c r="C2518" s="47">
        <v>44250</v>
      </c>
      <c r="D2518" s="44">
        <v>202103</v>
      </c>
      <c r="E2518" s="44">
        <v>1276.4000000000001</v>
      </c>
      <c r="F2518" s="44">
        <v>1300.4000000000001</v>
      </c>
      <c r="G2518" s="44">
        <v>1276</v>
      </c>
      <c r="H2518" s="44">
        <v>1299.4000000000001</v>
      </c>
      <c r="I2518" s="44">
        <v>21</v>
      </c>
      <c r="J2518" s="44">
        <v>1.64</v>
      </c>
      <c r="K2518" s="44">
        <v>2121</v>
      </c>
      <c r="L2518" s="44">
        <v>1298.2</v>
      </c>
      <c r="M2518" s="44">
        <v>3229</v>
      </c>
    </row>
    <row r="2519" spans="1:13" x14ac:dyDescent="0.25">
      <c r="A2519" s="45" t="s">
        <v>3426</v>
      </c>
      <c r="B2519" s="44" t="s">
        <v>5617</v>
      </c>
      <c r="C2519" s="47">
        <v>44250</v>
      </c>
      <c r="D2519" s="44">
        <v>202103</v>
      </c>
      <c r="E2519" s="44">
        <v>1276.4000000000001</v>
      </c>
      <c r="F2519" s="44">
        <v>1300.4000000000001</v>
      </c>
      <c r="G2519" s="44">
        <v>1276</v>
      </c>
      <c r="H2519" s="44">
        <v>1299.4000000000001</v>
      </c>
      <c r="I2519" s="44">
        <v>21</v>
      </c>
      <c r="J2519" s="44">
        <v>1.64</v>
      </c>
      <c r="K2519" s="44">
        <v>2121</v>
      </c>
      <c r="L2519" s="44">
        <v>1298.2</v>
      </c>
      <c r="M2519" s="44">
        <v>3229</v>
      </c>
    </row>
    <row r="2520" spans="1:13" x14ac:dyDescent="0.25">
      <c r="A2520" s="45" t="s">
        <v>3427</v>
      </c>
      <c r="B2520" s="44" t="s">
        <v>5618</v>
      </c>
      <c r="C2520" s="47">
        <v>44250</v>
      </c>
      <c r="D2520" s="44">
        <v>202104</v>
      </c>
      <c r="E2520" s="44">
        <v>1274.2</v>
      </c>
      <c r="F2520" s="44">
        <v>1292</v>
      </c>
      <c r="G2520" s="44">
        <v>1274.2</v>
      </c>
      <c r="H2520" s="44">
        <v>1291.5999999999999</v>
      </c>
      <c r="I2520" s="44">
        <v>20.6</v>
      </c>
      <c r="J2520" s="44">
        <v>1.62</v>
      </c>
      <c r="K2520" s="44">
        <v>91</v>
      </c>
      <c r="L2520" s="44">
        <v>1291.5999999999999</v>
      </c>
      <c r="M2520" s="44">
        <v>203</v>
      </c>
    </row>
    <row r="2521" spans="1:13" x14ac:dyDescent="0.25">
      <c r="A2521" s="45" t="s">
        <v>3428</v>
      </c>
      <c r="B2521" s="44" t="s">
        <v>5619</v>
      </c>
      <c r="C2521" s="47">
        <v>44250</v>
      </c>
      <c r="D2521" s="44">
        <v>202104</v>
      </c>
      <c r="E2521" s="44">
        <v>1274.2</v>
      </c>
      <c r="F2521" s="44">
        <v>1292</v>
      </c>
      <c r="G2521" s="44">
        <v>1274.2</v>
      </c>
      <c r="H2521" s="44">
        <v>1291.5999999999999</v>
      </c>
      <c r="I2521" s="44">
        <v>20.6</v>
      </c>
      <c r="J2521" s="44">
        <v>1.62</v>
      </c>
      <c r="K2521" s="44">
        <v>91</v>
      </c>
      <c r="L2521" s="44">
        <v>1291.5999999999999</v>
      </c>
      <c r="M2521" s="44">
        <v>203</v>
      </c>
    </row>
    <row r="2522" spans="1:13" x14ac:dyDescent="0.25">
      <c r="A2522" s="45" t="s">
        <v>3429</v>
      </c>
      <c r="C2522" s="47"/>
    </row>
    <row r="2523" spans="1:13" x14ac:dyDescent="0.25">
      <c r="A2523" s="45" t="s">
        <v>3430</v>
      </c>
      <c r="C2523" s="47"/>
    </row>
    <row r="2524" spans="1:13" x14ac:dyDescent="0.25">
      <c r="A2524" s="45" t="s">
        <v>3431</v>
      </c>
      <c r="B2524" s="44" t="s">
        <v>5620</v>
      </c>
      <c r="C2524" s="47">
        <v>44250</v>
      </c>
      <c r="D2524" s="44">
        <v>202103</v>
      </c>
      <c r="E2524" s="44">
        <v>1276.4000000000001</v>
      </c>
      <c r="F2524" s="44">
        <v>1300.4000000000001</v>
      </c>
      <c r="G2524" s="44">
        <v>1276</v>
      </c>
      <c r="H2524" s="44">
        <v>1299.4000000000001</v>
      </c>
      <c r="I2524" s="44">
        <v>21</v>
      </c>
      <c r="J2524" s="44">
        <v>1.64</v>
      </c>
      <c r="K2524" s="44">
        <v>2121</v>
      </c>
      <c r="L2524" s="44">
        <v>1298.2</v>
      </c>
      <c r="M2524" s="44">
        <v>3229</v>
      </c>
    </row>
    <row r="2525" spans="1:13" x14ac:dyDescent="0.25">
      <c r="A2525" s="45" t="s">
        <v>3432</v>
      </c>
      <c r="B2525" s="44" t="s">
        <v>5621</v>
      </c>
      <c r="C2525" s="47">
        <v>44250</v>
      </c>
      <c r="D2525" s="44">
        <v>202104</v>
      </c>
      <c r="E2525" s="44">
        <v>1274.2</v>
      </c>
      <c r="F2525" s="44">
        <v>1292</v>
      </c>
      <c r="G2525" s="44">
        <v>1274.2</v>
      </c>
      <c r="H2525" s="44">
        <v>1291.5999999999999</v>
      </c>
      <c r="I2525" s="44">
        <v>20.6</v>
      </c>
      <c r="J2525" s="44">
        <v>1.62</v>
      </c>
      <c r="K2525" s="44">
        <v>91</v>
      </c>
      <c r="L2525" s="44">
        <v>1291.5999999999999</v>
      </c>
      <c r="M2525" s="44">
        <v>203</v>
      </c>
    </row>
    <row r="2526" spans="1:13" x14ac:dyDescent="0.25">
      <c r="A2526" s="45" t="s">
        <v>3433</v>
      </c>
      <c r="B2526" s="44" t="s">
        <v>5622</v>
      </c>
      <c r="C2526" s="47">
        <v>44250</v>
      </c>
      <c r="D2526" s="44">
        <v>202106</v>
      </c>
      <c r="E2526" s="44">
        <v>1294.2</v>
      </c>
      <c r="F2526" s="44">
        <v>1294.2</v>
      </c>
      <c r="G2526" s="44">
        <v>1294.2</v>
      </c>
      <c r="H2526" s="44">
        <v>1294.2</v>
      </c>
      <c r="I2526" s="44">
        <v>19.8</v>
      </c>
      <c r="J2526" s="44">
        <v>1.55</v>
      </c>
      <c r="K2526" s="44">
        <v>0</v>
      </c>
      <c r="L2526" s="44">
        <v>1294.2</v>
      </c>
      <c r="M2526" s="44">
        <v>0</v>
      </c>
    </row>
    <row r="2527" spans="1:13" x14ac:dyDescent="0.25">
      <c r="A2527" s="45" t="s">
        <v>3434</v>
      </c>
      <c r="B2527" s="44" t="s">
        <v>5623</v>
      </c>
      <c r="C2527" s="47">
        <v>44250</v>
      </c>
      <c r="D2527" s="44">
        <v>202109</v>
      </c>
      <c r="E2527" s="44">
        <v>1249.5999999999999</v>
      </c>
      <c r="F2527" s="44">
        <v>1249.5999999999999</v>
      </c>
      <c r="G2527" s="44">
        <v>1249.5999999999999</v>
      </c>
      <c r="H2527" s="44">
        <v>1249.5999999999999</v>
      </c>
      <c r="I2527" s="44">
        <v>19.8</v>
      </c>
      <c r="J2527" s="44">
        <v>1.61</v>
      </c>
      <c r="K2527" s="44">
        <v>0</v>
      </c>
      <c r="L2527" s="44">
        <v>1249.5999999999999</v>
      </c>
      <c r="M2527" s="44">
        <v>1</v>
      </c>
    </row>
    <row r="2528" spans="1:13" x14ac:dyDescent="0.25">
      <c r="A2528" s="45" t="s">
        <v>3435</v>
      </c>
      <c r="B2528" s="44" t="s">
        <v>5624</v>
      </c>
      <c r="C2528" s="47">
        <v>44250</v>
      </c>
      <c r="D2528" s="44">
        <v>202112</v>
      </c>
      <c r="E2528" s="44">
        <v>1259</v>
      </c>
      <c r="F2528" s="44">
        <v>1259</v>
      </c>
      <c r="G2528" s="44">
        <v>1259</v>
      </c>
      <c r="H2528" s="44">
        <v>1259</v>
      </c>
      <c r="I2528" s="44">
        <v>19.8</v>
      </c>
      <c r="J2528" s="44">
        <v>1.6</v>
      </c>
      <c r="K2528" s="44">
        <v>0</v>
      </c>
      <c r="L2528" s="44">
        <v>1259</v>
      </c>
      <c r="M2528" s="44">
        <v>3</v>
      </c>
    </row>
    <row r="2529" spans="1:13" x14ac:dyDescent="0.25">
      <c r="A2529" s="45" t="s">
        <v>3436</v>
      </c>
      <c r="B2529" s="44" t="s">
        <v>5625</v>
      </c>
      <c r="C2529" s="47">
        <v>44250</v>
      </c>
      <c r="D2529" s="44">
        <v>202105</v>
      </c>
      <c r="E2529" s="44">
        <v>1287.4000000000001</v>
      </c>
      <c r="F2529" s="44">
        <v>1287.4000000000001</v>
      </c>
      <c r="G2529" s="44">
        <v>1287.4000000000001</v>
      </c>
      <c r="H2529" s="44">
        <v>1287.4000000000001</v>
      </c>
      <c r="I2529" s="44">
        <v>19.8</v>
      </c>
      <c r="J2529" s="44">
        <v>1.56</v>
      </c>
      <c r="K2529" s="44">
        <v>0</v>
      </c>
      <c r="L2529" s="44">
        <v>1287.4000000000001</v>
      </c>
      <c r="M2529" s="44">
        <v>0</v>
      </c>
    </row>
    <row r="2530" spans="1:13" x14ac:dyDescent="0.25">
      <c r="A2530" s="45" t="s">
        <v>3437</v>
      </c>
      <c r="B2530" s="44" t="s">
        <v>5626</v>
      </c>
      <c r="C2530" s="47">
        <v>44250</v>
      </c>
      <c r="D2530" s="44">
        <v>202105</v>
      </c>
      <c r="E2530" s="44">
        <v>1287.4000000000001</v>
      </c>
      <c r="F2530" s="44">
        <v>1287.4000000000001</v>
      </c>
      <c r="G2530" s="44">
        <v>1287.4000000000001</v>
      </c>
      <c r="H2530" s="44">
        <v>1287.4000000000001</v>
      </c>
      <c r="I2530" s="44">
        <v>19.8</v>
      </c>
      <c r="J2530" s="44">
        <v>1.56</v>
      </c>
      <c r="K2530" s="44">
        <v>0</v>
      </c>
      <c r="L2530" s="44">
        <v>1287.4000000000001</v>
      </c>
      <c r="M2530" s="44">
        <v>0</v>
      </c>
    </row>
    <row r="2531" spans="1:13" x14ac:dyDescent="0.25">
      <c r="A2531" s="45" t="s">
        <v>3438</v>
      </c>
      <c r="B2531" s="44" t="s">
        <v>5627</v>
      </c>
      <c r="C2531" s="47">
        <v>44250</v>
      </c>
      <c r="D2531" s="44">
        <v>202102</v>
      </c>
      <c r="E2531" s="44">
        <v>6111.5</v>
      </c>
      <c r="F2531" s="44">
        <v>6127.5</v>
      </c>
      <c r="G2531" s="44">
        <v>6095.5</v>
      </c>
      <c r="H2531" s="44">
        <v>6095.5</v>
      </c>
      <c r="I2531" s="44">
        <v>24.5</v>
      </c>
      <c r="J2531" s="44">
        <v>0.4</v>
      </c>
      <c r="K2531" s="44">
        <v>175</v>
      </c>
      <c r="L2531" s="44">
        <v>6095.5</v>
      </c>
      <c r="M2531" s="44">
        <v>207</v>
      </c>
    </row>
    <row r="2532" spans="1:13" x14ac:dyDescent="0.25">
      <c r="A2532" s="45" t="s">
        <v>3439</v>
      </c>
      <c r="B2532" s="44" t="s">
        <v>5628</v>
      </c>
      <c r="C2532" s="47">
        <v>44250</v>
      </c>
      <c r="D2532" s="44">
        <v>202102</v>
      </c>
      <c r="E2532" s="44">
        <v>6111.5</v>
      </c>
      <c r="F2532" s="44">
        <v>6127.5</v>
      </c>
      <c r="G2532" s="44">
        <v>6095.5</v>
      </c>
      <c r="H2532" s="44">
        <v>6095.5</v>
      </c>
      <c r="I2532" s="44">
        <v>24.5</v>
      </c>
      <c r="J2532" s="44">
        <v>0.4</v>
      </c>
      <c r="K2532" s="44">
        <v>175</v>
      </c>
      <c r="L2532" s="44">
        <v>6095.5</v>
      </c>
      <c r="M2532" s="44">
        <v>207</v>
      </c>
    </row>
    <row r="2533" spans="1:13" x14ac:dyDescent="0.25">
      <c r="A2533" s="45" t="s">
        <v>3440</v>
      </c>
      <c r="B2533" s="44" t="s">
        <v>5629</v>
      </c>
      <c r="C2533" s="47"/>
    </row>
    <row r="2534" spans="1:13" x14ac:dyDescent="0.25">
      <c r="A2534" s="45" t="s">
        <v>3441</v>
      </c>
      <c r="B2534" s="44" t="s">
        <v>5630</v>
      </c>
      <c r="C2534" s="47">
        <v>44250</v>
      </c>
      <c r="D2534" s="44">
        <v>202104</v>
      </c>
      <c r="E2534" s="44">
        <v>6089</v>
      </c>
      <c r="F2534" s="44">
        <v>6092</v>
      </c>
      <c r="G2534" s="44">
        <v>6062</v>
      </c>
      <c r="H2534" s="44">
        <v>6062</v>
      </c>
      <c r="I2534" s="44">
        <v>29.5</v>
      </c>
      <c r="J2534" s="44">
        <v>0.49</v>
      </c>
      <c r="K2534" s="44">
        <v>234</v>
      </c>
      <c r="L2534" s="44">
        <v>6062</v>
      </c>
      <c r="M2534" s="44">
        <v>444</v>
      </c>
    </row>
    <row r="2535" spans="1:13" x14ac:dyDescent="0.25">
      <c r="A2535" s="45" t="s">
        <v>3442</v>
      </c>
      <c r="B2535" s="44" t="s">
        <v>5631</v>
      </c>
      <c r="C2535" s="47">
        <v>44250</v>
      </c>
      <c r="D2535" s="44">
        <v>202104</v>
      </c>
      <c r="E2535" s="44">
        <v>6089</v>
      </c>
      <c r="F2535" s="44">
        <v>6092</v>
      </c>
      <c r="G2535" s="44">
        <v>6062</v>
      </c>
      <c r="H2535" s="44">
        <v>6062</v>
      </c>
      <c r="I2535" s="44">
        <v>29.5</v>
      </c>
      <c r="J2535" s="44">
        <v>0.49</v>
      </c>
      <c r="K2535" s="44">
        <v>234</v>
      </c>
      <c r="L2535" s="44">
        <v>6062</v>
      </c>
      <c r="M2535" s="44">
        <v>444</v>
      </c>
    </row>
    <row r="2536" spans="1:13" x14ac:dyDescent="0.25">
      <c r="A2536" s="45" t="s">
        <v>3443</v>
      </c>
      <c r="B2536" s="44" t="s">
        <v>5632</v>
      </c>
      <c r="C2536" s="47">
        <v>44250</v>
      </c>
      <c r="D2536" s="44">
        <v>202102</v>
      </c>
      <c r="E2536" s="44">
        <v>6111.5</v>
      </c>
      <c r="F2536" s="44">
        <v>6127.5</v>
      </c>
      <c r="G2536" s="44">
        <v>6095.5</v>
      </c>
      <c r="H2536" s="44">
        <v>6095.5</v>
      </c>
      <c r="I2536" s="44">
        <v>24.5</v>
      </c>
      <c r="J2536" s="44">
        <v>0.4</v>
      </c>
      <c r="K2536" s="44">
        <v>175</v>
      </c>
      <c r="L2536" s="44">
        <v>6095.5</v>
      </c>
      <c r="M2536" s="44">
        <v>207</v>
      </c>
    </row>
    <row r="2537" spans="1:13" x14ac:dyDescent="0.25">
      <c r="A2537" s="45" t="s">
        <v>3444</v>
      </c>
      <c r="B2537" s="44" t="s">
        <v>5633</v>
      </c>
      <c r="C2537" s="47"/>
    </row>
    <row r="2538" spans="1:13" x14ac:dyDescent="0.25">
      <c r="A2538" s="45" t="s">
        <v>3445</v>
      </c>
      <c r="B2538" s="44" t="s">
        <v>5634</v>
      </c>
      <c r="C2538" s="47"/>
    </row>
    <row r="2539" spans="1:13" x14ac:dyDescent="0.25">
      <c r="A2539" s="45" t="s">
        <v>3446</v>
      </c>
      <c r="B2539" s="44" t="s">
        <v>5635</v>
      </c>
      <c r="C2539" s="47">
        <v>44250</v>
      </c>
      <c r="D2539" s="44">
        <v>202104</v>
      </c>
      <c r="E2539" s="44">
        <v>6089</v>
      </c>
      <c r="F2539" s="44">
        <v>6092</v>
      </c>
      <c r="G2539" s="44">
        <v>6062</v>
      </c>
      <c r="H2539" s="44">
        <v>6062</v>
      </c>
      <c r="I2539" s="44">
        <v>29.5</v>
      </c>
      <c r="J2539" s="44">
        <v>0.49</v>
      </c>
      <c r="K2539" s="44">
        <v>234</v>
      </c>
      <c r="L2539" s="44">
        <v>6062</v>
      </c>
      <c r="M2539" s="44">
        <v>444</v>
      </c>
    </row>
    <row r="2540" spans="1:13" x14ac:dyDescent="0.25">
      <c r="A2540" s="45" t="s">
        <v>3447</v>
      </c>
      <c r="B2540" s="44" t="s">
        <v>5636</v>
      </c>
      <c r="C2540" s="47"/>
    </row>
    <row r="2541" spans="1:13" x14ac:dyDescent="0.25">
      <c r="A2541" s="45" t="s">
        <v>3448</v>
      </c>
      <c r="B2541" s="44" t="s">
        <v>5637</v>
      </c>
      <c r="C2541" s="47">
        <v>44250</v>
      </c>
      <c r="D2541" s="44">
        <v>202106</v>
      </c>
      <c r="E2541" s="44">
        <v>6135</v>
      </c>
      <c r="F2541" s="44">
        <v>6135</v>
      </c>
      <c r="G2541" s="44">
        <v>6135</v>
      </c>
      <c r="H2541" s="44">
        <v>6135</v>
      </c>
      <c r="I2541" s="44">
        <v>-191</v>
      </c>
      <c r="J2541" s="44">
        <v>-3.02</v>
      </c>
      <c r="K2541" s="44">
        <v>0</v>
      </c>
      <c r="L2541" s="44">
        <v>6135</v>
      </c>
      <c r="M2541" s="44">
        <v>3</v>
      </c>
    </row>
    <row r="2542" spans="1:13" x14ac:dyDescent="0.25">
      <c r="A2542" s="45" t="s">
        <v>3449</v>
      </c>
      <c r="B2542" s="44" t="s">
        <v>5638</v>
      </c>
      <c r="C2542" s="47"/>
    </row>
    <row r="2543" spans="1:13" x14ac:dyDescent="0.25">
      <c r="A2543" s="45" t="s">
        <v>3450</v>
      </c>
      <c r="B2543" s="44" t="s">
        <v>5639</v>
      </c>
      <c r="C2543" s="47">
        <v>44250</v>
      </c>
      <c r="D2543" s="44">
        <v>202108</v>
      </c>
      <c r="E2543" s="44">
        <v>6363.5</v>
      </c>
      <c r="F2543" s="44">
        <v>6363.5</v>
      </c>
      <c r="G2543" s="44">
        <v>6363.5</v>
      </c>
      <c r="H2543" s="44">
        <v>6363.5</v>
      </c>
      <c r="I2543" s="44">
        <v>24.5</v>
      </c>
      <c r="J2543" s="44">
        <v>0.39</v>
      </c>
      <c r="K2543" s="44">
        <v>0</v>
      </c>
      <c r="L2543" s="44">
        <v>6363.5</v>
      </c>
      <c r="M2543" s="44">
        <v>0</v>
      </c>
    </row>
    <row r="2544" spans="1:13" x14ac:dyDescent="0.25">
      <c r="A2544" s="45" t="s">
        <v>3451</v>
      </c>
      <c r="B2544" s="44" t="s">
        <v>5640</v>
      </c>
      <c r="C2544" s="47"/>
    </row>
    <row r="2545" spans="1:13" x14ac:dyDescent="0.25">
      <c r="A2545" s="45" t="s">
        <v>3452</v>
      </c>
      <c r="B2545" s="44" t="s">
        <v>5641</v>
      </c>
      <c r="C2545" s="47">
        <v>44250</v>
      </c>
      <c r="D2545" s="44">
        <v>202110</v>
      </c>
      <c r="E2545" s="44">
        <v>6262.5</v>
      </c>
      <c r="F2545" s="44">
        <v>6262.5</v>
      </c>
      <c r="G2545" s="44">
        <v>6262.5</v>
      </c>
      <c r="H2545" s="44">
        <v>6262.5</v>
      </c>
      <c r="I2545" s="44">
        <v>24.5</v>
      </c>
      <c r="J2545" s="44">
        <v>0.39</v>
      </c>
      <c r="K2545" s="44">
        <v>0</v>
      </c>
      <c r="L2545" s="44">
        <v>6262.5</v>
      </c>
      <c r="M2545" s="44">
        <v>2</v>
      </c>
    </row>
    <row r="2546" spans="1:13" x14ac:dyDescent="0.25">
      <c r="A2546" s="45" t="s">
        <v>3453</v>
      </c>
      <c r="B2546" s="44" t="s">
        <v>5642</v>
      </c>
      <c r="C2546" s="47"/>
    </row>
    <row r="2547" spans="1:13" x14ac:dyDescent="0.25">
      <c r="A2547" s="45" t="s">
        <v>3454</v>
      </c>
      <c r="B2547" s="44" t="s">
        <v>5643</v>
      </c>
      <c r="C2547" s="47">
        <v>44250</v>
      </c>
      <c r="D2547" s="44">
        <v>202112</v>
      </c>
      <c r="E2547" s="44">
        <v>6213</v>
      </c>
      <c r="F2547" s="44">
        <v>6213</v>
      </c>
      <c r="G2547" s="44">
        <v>6213</v>
      </c>
      <c r="H2547" s="44">
        <v>6213</v>
      </c>
      <c r="I2547" s="44">
        <v>24.5</v>
      </c>
      <c r="J2547" s="44">
        <v>0.4</v>
      </c>
      <c r="K2547" s="44">
        <v>0</v>
      </c>
      <c r="L2547" s="44">
        <v>6213</v>
      </c>
      <c r="M2547" s="44">
        <v>0</v>
      </c>
    </row>
    <row r="2548" spans="1:13" x14ac:dyDescent="0.25">
      <c r="A2548" s="45" t="s">
        <v>3455</v>
      </c>
      <c r="B2548" s="44" t="s">
        <v>5644</v>
      </c>
      <c r="C2548" s="47"/>
    </row>
    <row r="2549" spans="1:13" x14ac:dyDescent="0.25">
      <c r="A2549" s="45" t="s">
        <v>3456</v>
      </c>
      <c r="B2549" s="44" t="s">
        <v>5645</v>
      </c>
      <c r="C2549" s="47"/>
    </row>
    <row r="2550" spans="1:13" x14ac:dyDescent="0.25">
      <c r="A2550" s="45" t="s">
        <v>3457</v>
      </c>
      <c r="B2550" s="44" t="s">
        <v>5646</v>
      </c>
      <c r="C2550" s="47"/>
    </row>
    <row r="2551" spans="1:13" x14ac:dyDescent="0.25">
      <c r="A2551" s="45" t="s">
        <v>3458</v>
      </c>
      <c r="B2551" s="44" t="s">
        <v>5647</v>
      </c>
      <c r="C2551" s="47">
        <v>44250</v>
      </c>
      <c r="D2551" s="44">
        <v>202103</v>
      </c>
      <c r="E2551" s="44">
        <v>1937.75</v>
      </c>
      <c r="F2551" s="44">
        <v>1938</v>
      </c>
      <c r="G2551" s="44">
        <v>1935</v>
      </c>
      <c r="H2551" s="44">
        <v>1938</v>
      </c>
      <c r="I2551" s="44">
        <v>2.25</v>
      </c>
      <c r="J2551" s="44">
        <v>0.12</v>
      </c>
      <c r="K2551" s="44">
        <v>3</v>
      </c>
      <c r="L2551" s="44">
        <v>1938</v>
      </c>
      <c r="M2551" s="44">
        <v>56</v>
      </c>
    </row>
    <row r="2552" spans="1:13" x14ac:dyDescent="0.25">
      <c r="A2552" s="45" t="s">
        <v>3459</v>
      </c>
      <c r="B2552" s="44" t="s">
        <v>5648</v>
      </c>
      <c r="C2552" s="47">
        <v>44250</v>
      </c>
      <c r="D2552" s="44">
        <v>202103</v>
      </c>
      <c r="E2552" s="44">
        <v>1937.75</v>
      </c>
      <c r="F2552" s="44">
        <v>1938</v>
      </c>
      <c r="G2552" s="44">
        <v>1935</v>
      </c>
      <c r="H2552" s="44">
        <v>1938</v>
      </c>
      <c r="I2552" s="44">
        <v>2.25</v>
      </c>
      <c r="J2552" s="44">
        <v>0.12</v>
      </c>
      <c r="K2552" s="44">
        <v>3</v>
      </c>
      <c r="L2552" s="44">
        <v>1938</v>
      </c>
      <c r="M2552" s="44">
        <v>56</v>
      </c>
    </row>
    <row r="2553" spans="1:13" x14ac:dyDescent="0.25">
      <c r="A2553" s="45" t="s">
        <v>3460</v>
      </c>
      <c r="B2553" s="44" t="s">
        <v>5649</v>
      </c>
      <c r="C2553" s="47">
        <v>44250</v>
      </c>
      <c r="D2553" s="44">
        <v>202104</v>
      </c>
      <c r="E2553" s="44">
        <v>1927.5</v>
      </c>
      <c r="F2553" s="44">
        <v>1927.5</v>
      </c>
      <c r="G2553" s="44">
        <v>1927.5</v>
      </c>
      <c r="H2553" s="44">
        <v>1927.5</v>
      </c>
      <c r="I2553" s="44">
        <v>2.25</v>
      </c>
      <c r="J2553" s="44">
        <v>0.12</v>
      </c>
      <c r="K2553" s="44">
        <v>0</v>
      </c>
      <c r="L2553" s="44">
        <v>1927.5</v>
      </c>
      <c r="M2553" s="44">
        <v>36</v>
      </c>
    </row>
    <row r="2554" spans="1:13" x14ac:dyDescent="0.25">
      <c r="A2554" s="45" t="s">
        <v>3461</v>
      </c>
      <c r="B2554" s="44" t="s">
        <v>5650</v>
      </c>
      <c r="C2554" s="47">
        <v>44250</v>
      </c>
      <c r="D2554" s="44">
        <v>202104</v>
      </c>
      <c r="E2554" s="44">
        <v>1927.5</v>
      </c>
      <c r="F2554" s="44">
        <v>1927.5</v>
      </c>
      <c r="G2554" s="44">
        <v>1927.5</v>
      </c>
      <c r="H2554" s="44">
        <v>1927.5</v>
      </c>
      <c r="I2554" s="44">
        <v>2.25</v>
      </c>
      <c r="J2554" s="44">
        <v>0.12</v>
      </c>
      <c r="K2554" s="44">
        <v>0</v>
      </c>
      <c r="L2554" s="44">
        <v>1927.5</v>
      </c>
      <c r="M2554" s="44">
        <v>36</v>
      </c>
    </row>
    <row r="2555" spans="1:13" x14ac:dyDescent="0.25">
      <c r="A2555" s="45" t="s">
        <v>3462</v>
      </c>
      <c r="C2555" s="47"/>
    </row>
    <row r="2556" spans="1:13" x14ac:dyDescent="0.25">
      <c r="A2556" s="45" t="s">
        <v>3463</v>
      </c>
      <c r="C2556" s="47"/>
    </row>
    <row r="2557" spans="1:13" x14ac:dyDescent="0.25">
      <c r="A2557" s="45" t="s">
        <v>3464</v>
      </c>
      <c r="B2557" s="44" t="s">
        <v>5651</v>
      </c>
      <c r="C2557" s="47">
        <v>44250</v>
      </c>
      <c r="D2557" s="44">
        <v>202103</v>
      </c>
      <c r="E2557" s="44">
        <v>1937.75</v>
      </c>
      <c r="F2557" s="44">
        <v>1938</v>
      </c>
      <c r="G2557" s="44">
        <v>1935</v>
      </c>
      <c r="H2557" s="44">
        <v>1938</v>
      </c>
      <c r="I2557" s="44">
        <v>2.25</v>
      </c>
      <c r="J2557" s="44">
        <v>0.12</v>
      </c>
      <c r="K2557" s="44">
        <v>3</v>
      </c>
      <c r="L2557" s="44">
        <v>1938</v>
      </c>
      <c r="M2557" s="44">
        <v>56</v>
      </c>
    </row>
    <row r="2558" spans="1:13" x14ac:dyDescent="0.25">
      <c r="A2558" s="45" t="s">
        <v>3465</v>
      </c>
      <c r="B2558" s="44" t="s">
        <v>5652</v>
      </c>
      <c r="C2558" s="47">
        <v>44250</v>
      </c>
      <c r="D2558" s="44">
        <v>202106</v>
      </c>
      <c r="E2558" s="44">
        <v>1916</v>
      </c>
      <c r="F2558" s="44">
        <v>1916</v>
      </c>
      <c r="G2558" s="44">
        <v>1916</v>
      </c>
      <c r="H2558" s="44">
        <v>1916</v>
      </c>
      <c r="I2558" s="44">
        <v>2.25</v>
      </c>
      <c r="J2558" s="44">
        <v>0.12</v>
      </c>
      <c r="K2558" s="44">
        <v>0</v>
      </c>
      <c r="L2558" s="44">
        <v>1916</v>
      </c>
      <c r="M2558" s="44">
        <v>2</v>
      </c>
    </row>
    <row r="2559" spans="1:13" x14ac:dyDescent="0.25">
      <c r="A2559" s="45" t="s">
        <v>3466</v>
      </c>
      <c r="B2559" s="44" t="s">
        <v>5653</v>
      </c>
      <c r="C2559" s="47">
        <v>44250</v>
      </c>
      <c r="D2559" s="44">
        <v>202109</v>
      </c>
      <c r="E2559" s="44">
        <v>1917.5</v>
      </c>
      <c r="F2559" s="44">
        <v>1917.5</v>
      </c>
      <c r="G2559" s="44">
        <v>1917.5</v>
      </c>
      <c r="H2559" s="44">
        <v>1917.5</v>
      </c>
      <c r="I2559" s="44">
        <v>2.25</v>
      </c>
      <c r="J2559" s="44">
        <v>0.12</v>
      </c>
      <c r="K2559" s="44">
        <v>0</v>
      </c>
      <c r="L2559" s="44">
        <v>1917.5</v>
      </c>
      <c r="M2559" s="44">
        <v>0</v>
      </c>
    </row>
    <row r="2560" spans="1:13" x14ac:dyDescent="0.25">
      <c r="A2560" s="45" t="s">
        <v>3467</v>
      </c>
      <c r="B2560" s="44" t="s">
        <v>5654</v>
      </c>
      <c r="C2560" s="47">
        <v>44250</v>
      </c>
      <c r="D2560" s="44">
        <v>202112</v>
      </c>
      <c r="E2560" s="44">
        <v>1897</v>
      </c>
      <c r="F2560" s="44">
        <v>1897</v>
      </c>
      <c r="G2560" s="44">
        <v>1897</v>
      </c>
      <c r="H2560" s="44">
        <v>1897</v>
      </c>
      <c r="I2560" s="44">
        <v>2.25</v>
      </c>
      <c r="J2560" s="44">
        <v>0.12</v>
      </c>
      <c r="K2560" s="44">
        <v>0</v>
      </c>
      <c r="L2560" s="44">
        <v>1897</v>
      </c>
      <c r="M2560" s="44">
        <v>1</v>
      </c>
    </row>
    <row r="2561" spans="1:13" x14ac:dyDescent="0.25">
      <c r="A2561" s="45" t="s">
        <v>3468</v>
      </c>
      <c r="B2561" s="44" t="s">
        <v>5655</v>
      </c>
      <c r="C2561" s="47">
        <v>44250</v>
      </c>
      <c r="D2561" s="44">
        <v>202102</v>
      </c>
      <c r="E2561" s="44">
        <v>679.96</v>
      </c>
      <c r="F2561" s="44">
        <v>679.96</v>
      </c>
      <c r="G2561" s="44">
        <v>679.96</v>
      </c>
      <c r="H2561" s="44">
        <v>679.96</v>
      </c>
      <c r="I2561" s="44">
        <v>-1.41</v>
      </c>
      <c r="J2561" s="44">
        <v>-0.21</v>
      </c>
    </row>
    <row r="2562" spans="1:13" x14ac:dyDescent="0.25">
      <c r="A2562" s="45" t="s">
        <v>3469</v>
      </c>
      <c r="B2562" s="44" t="s">
        <v>5656</v>
      </c>
      <c r="C2562" s="47">
        <v>44250</v>
      </c>
      <c r="D2562" s="44">
        <v>202103</v>
      </c>
      <c r="E2562" s="44">
        <v>16223</v>
      </c>
      <c r="F2562" s="44">
        <v>16451</v>
      </c>
      <c r="G2562" s="44">
        <v>16182</v>
      </c>
      <c r="H2562" s="44">
        <v>16437</v>
      </c>
      <c r="I2562" s="44">
        <v>55</v>
      </c>
      <c r="J2562" s="44">
        <v>0.34</v>
      </c>
      <c r="K2562" s="44">
        <v>136807</v>
      </c>
      <c r="L2562" s="44">
        <v>16434</v>
      </c>
      <c r="M2562" s="44">
        <v>81294</v>
      </c>
    </row>
    <row r="2563" spans="1:13" x14ac:dyDescent="0.25">
      <c r="A2563" s="45" t="s">
        <v>3470</v>
      </c>
      <c r="B2563" s="44" t="s">
        <v>5657</v>
      </c>
      <c r="C2563" s="47">
        <v>44250</v>
      </c>
      <c r="D2563" s="44">
        <v>202103</v>
      </c>
      <c r="E2563" s="44">
        <v>16223</v>
      </c>
      <c r="F2563" s="44">
        <v>16451</v>
      </c>
      <c r="G2563" s="44">
        <v>16182</v>
      </c>
      <c r="H2563" s="44">
        <v>16437</v>
      </c>
      <c r="I2563" s="44">
        <v>55</v>
      </c>
      <c r="J2563" s="44">
        <v>0.34</v>
      </c>
      <c r="K2563" s="44">
        <v>136807</v>
      </c>
      <c r="L2563" s="44">
        <v>16434</v>
      </c>
      <c r="M2563" s="44">
        <v>81294</v>
      </c>
    </row>
    <row r="2564" spans="1:13" x14ac:dyDescent="0.25">
      <c r="A2564" s="45" t="s">
        <v>3471</v>
      </c>
      <c r="B2564" s="44" t="s">
        <v>5658</v>
      </c>
      <c r="C2564" s="47"/>
    </row>
    <row r="2565" spans="1:13" x14ac:dyDescent="0.25">
      <c r="A2565" s="45" t="s">
        <v>3472</v>
      </c>
      <c r="B2565" s="44" t="s">
        <v>5659</v>
      </c>
      <c r="C2565" s="47">
        <v>44250</v>
      </c>
      <c r="D2565" s="44">
        <v>202104</v>
      </c>
      <c r="E2565" s="44">
        <v>16169</v>
      </c>
      <c r="F2565" s="44">
        <v>16381</v>
      </c>
      <c r="G2565" s="44">
        <v>16120</v>
      </c>
      <c r="H2565" s="44">
        <v>16369</v>
      </c>
      <c r="I2565" s="44">
        <v>50</v>
      </c>
      <c r="J2565" s="44">
        <v>0.31</v>
      </c>
      <c r="K2565" s="44">
        <v>1723</v>
      </c>
      <c r="L2565" s="44">
        <v>16367</v>
      </c>
      <c r="M2565" s="44">
        <v>5636</v>
      </c>
    </row>
    <row r="2566" spans="1:13" x14ac:dyDescent="0.25">
      <c r="A2566" s="45" t="s">
        <v>3473</v>
      </c>
      <c r="B2566" s="44" t="s">
        <v>5660</v>
      </c>
      <c r="C2566" s="47">
        <v>44250</v>
      </c>
      <c r="D2566" s="44">
        <v>202104</v>
      </c>
      <c r="E2566" s="44">
        <v>16169</v>
      </c>
      <c r="F2566" s="44">
        <v>16381</v>
      </c>
      <c r="G2566" s="44">
        <v>16120</v>
      </c>
      <c r="H2566" s="44">
        <v>16369</v>
      </c>
      <c r="I2566" s="44">
        <v>50</v>
      </c>
      <c r="J2566" s="44">
        <v>0.31</v>
      </c>
      <c r="K2566" s="44">
        <v>1723</v>
      </c>
      <c r="L2566" s="44">
        <v>16367</v>
      </c>
      <c r="M2566" s="44">
        <v>5636</v>
      </c>
    </row>
    <row r="2567" spans="1:13" x14ac:dyDescent="0.25">
      <c r="A2567" s="45" t="s">
        <v>3474</v>
      </c>
      <c r="B2567" s="44" t="s">
        <v>5661</v>
      </c>
      <c r="C2567" s="47"/>
    </row>
    <row r="2568" spans="1:13" x14ac:dyDescent="0.25">
      <c r="A2568" s="45" t="s">
        <v>3475</v>
      </c>
      <c r="C2568" s="47"/>
    </row>
    <row r="2569" spans="1:13" x14ac:dyDescent="0.25">
      <c r="A2569" s="45" t="s">
        <v>3476</v>
      </c>
      <c r="C2569" s="47"/>
    </row>
    <row r="2570" spans="1:13" x14ac:dyDescent="0.25">
      <c r="A2570" s="45" t="s">
        <v>3477</v>
      </c>
      <c r="C2570" s="47"/>
    </row>
    <row r="2571" spans="1:13" x14ac:dyDescent="0.25">
      <c r="A2571" s="45" t="s">
        <v>3478</v>
      </c>
      <c r="C2571" s="47"/>
    </row>
    <row r="2572" spans="1:13" x14ac:dyDescent="0.25">
      <c r="A2572" s="45" t="s">
        <v>3479</v>
      </c>
      <c r="C2572" s="47"/>
    </row>
    <row r="2573" spans="1:13" x14ac:dyDescent="0.25">
      <c r="A2573" s="45" t="s">
        <v>3480</v>
      </c>
      <c r="C2573" s="47"/>
    </row>
    <row r="2574" spans="1:13" x14ac:dyDescent="0.25">
      <c r="A2574" s="45" t="s">
        <v>3481</v>
      </c>
      <c r="C2574" s="47"/>
    </row>
    <row r="2575" spans="1:13" x14ac:dyDescent="0.25">
      <c r="A2575" s="45" t="s">
        <v>3482</v>
      </c>
      <c r="C2575" s="47"/>
    </row>
    <row r="2576" spans="1:13" x14ac:dyDescent="0.25">
      <c r="A2576" s="45" t="s">
        <v>3483</v>
      </c>
      <c r="C2576" s="47"/>
    </row>
    <row r="2577" spans="1:13" x14ac:dyDescent="0.25">
      <c r="A2577" s="45" t="s">
        <v>3484</v>
      </c>
      <c r="C2577" s="47"/>
    </row>
    <row r="2578" spans="1:13" x14ac:dyDescent="0.25">
      <c r="A2578" s="45" t="s">
        <v>3485</v>
      </c>
      <c r="C2578" s="47"/>
    </row>
    <row r="2579" spans="1:13" x14ac:dyDescent="0.25">
      <c r="A2579" s="45" t="s">
        <v>3486</v>
      </c>
      <c r="C2579" s="47"/>
    </row>
    <row r="2580" spans="1:13" x14ac:dyDescent="0.25">
      <c r="A2580" s="45" t="s">
        <v>3487</v>
      </c>
      <c r="B2580" s="44" t="s">
        <v>5662</v>
      </c>
      <c r="C2580" s="47">
        <v>44250</v>
      </c>
      <c r="D2580" s="44">
        <v>202103</v>
      </c>
      <c r="E2580" s="44">
        <v>16223</v>
      </c>
      <c r="F2580" s="44">
        <v>16451</v>
      </c>
      <c r="G2580" s="44">
        <v>16182</v>
      </c>
      <c r="H2580" s="44">
        <v>16437</v>
      </c>
      <c r="I2580" s="44">
        <v>55</v>
      </c>
      <c r="J2580" s="44">
        <v>0.34</v>
      </c>
      <c r="K2580" s="44">
        <v>136807</v>
      </c>
      <c r="L2580" s="44">
        <v>16434</v>
      </c>
      <c r="M2580" s="44">
        <v>81294</v>
      </c>
    </row>
    <row r="2581" spans="1:13" x14ac:dyDescent="0.25">
      <c r="A2581" s="45" t="s">
        <v>3488</v>
      </c>
      <c r="B2581" s="44" t="s">
        <v>5663</v>
      </c>
      <c r="C2581" s="47">
        <v>44250</v>
      </c>
      <c r="D2581" s="44" t="s">
        <v>5794</v>
      </c>
      <c r="E2581" s="44">
        <v>-64</v>
      </c>
      <c r="F2581" s="44">
        <v>-63</v>
      </c>
      <c r="G2581" s="44">
        <v>-67</v>
      </c>
      <c r="H2581" s="44">
        <v>-67</v>
      </c>
      <c r="K2581" s="44">
        <v>573</v>
      </c>
    </row>
    <row r="2582" spans="1:13" x14ac:dyDescent="0.25">
      <c r="A2582" s="45" t="s">
        <v>3489</v>
      </c>
      <c r="B2582" s="44" t="s">
        <v>5664</v>
      </c>
      <c r="C2582" s="47">
        <v>44250</v>
      </c>
      <c r="D2582" s="44" t="s">
        <v>5792</v>
      </c>
      <c r="E2582" s="44">
        <v>0</v>
      </c>
      <c r="F2582" s="44">
        <v>0</v>
      </c>
      <c r="G2582" s="44">
        <v>0</v>
      </c>
      <c r="H2582" s="44">
        <v>0</v>
      </c>
      <c r="K2582" s="44">
        <v>0</v>
      </c>
    </row>
    <row r="2583" spans="1:13" x14ac:dyDescent="0.25">
      <c r="A2583" s="45" t="s">
        <v>3490</v>
      </c>
      <c r="B2583" s="44" t="s">
        <v>5665</v>
      </c>
      <c r="C2583" s="47"/>
    </row>
    <row r="2584" spans="1:13" x14ac:dyDescent="0.25">
      <c r="A2584" s="45" t="s">
        <v>3491</v>
      </c>
      <c r="B2584" s="44" t="s">
        <v>5666</v>
      </c>
      <c r="C2584" s="47"/>
    </row>
    <row r="2585" spans="1:13" x14ac:dyDescent="0.25">
      <c r="A2585" s="45" t="s">
        <v>3492</v>
      </c>
      <c r="B2585" s="44" t="s">
        <v>5667</v>
      </c>
      <c r="C2585" s="47">
        <v>44250</v>
      </c>
      <c r="D2585" s="44">
        <v>202104</v>
      </c>
      <c r="E2585" s="44">
        <v>16169</v>
      </c>
      <c r="F2585" s="44">
        <v>16381</v>
      </c>
      <c r="G2585" s="44">
        <v>16120</v>
      </c>
      <c r="H2585" s="44">
        <v>16369</v>
      </c>
      <c r="I2585" s="44">
        <v>50</v>
      </c>
      <c r="J2585" s="44">
        <v>0.31</v>
      </c>
      <c r="K2585" s="44">
        <v>1723</v>
      </c>
      <c r="L2585" s="44">
        <v>16367</v>
      </c>
      <c r="M2585" s="44">
        <v>5636</v>
      </c>
    </row>
    <row r="2586" spans="1:13" x14ac:dyDescent="0.25">
      <c r="A2586" s="45" t="s">
        <v>3493</v>
      </c>
      <c r="B2586" s="44" t="s">
        <v>5668</v>
      </c>
      <c r="C2586" s="47"/>
    </row>
    <row r="2587" spans="1:13" x14ac:dyDescent="0.25">
      <c r="A2587" s="45" t="s">
        <v>3494</v>
      </c>
      <c r="B2587" s="44" t="s">
        <v>5669</v>
      </c>
      <c r="C2587" s="47">
        <v>44250</v>
      </c>
      <c r="D2587" s="44">
        <v>202106</v>
      </c>
      <c r="E2587" s="44">
        <v>16059</v>
      </c>
      <c r="F2587" s="44">
        <v>16260</v>
      </c>
      <c r="G2587" s="44">
        <v>16000</v>
      </c>
      <c r="H2587" s="44">
        <v>16247</v>
      </c>
      <c r="I2587" s="44">
        <v>48</v>
      </c>
      <c r="J2587" s="44">
        <v>0.3</v>
      </c>
      <c r="K2587" s="44">
        <v>106</v>
      </c>
      <c r="L2587" s="44">
        <v>16247</v>
      </c>
      <c r="M2587" s="44">
        <v>3492</v>
      </c>
    </row>
    <row r="2588" spans="1:13" x14ac:dyDescent="0.25">
      <c r="A2588" s="45" t="s">
        <v>3495</v>
      </c>
      <c r="B2588" s="44" t="s">
        <v>5670</v>
      </c>
      <c r="C2588" s="47">
        <v>44250</v>
      </c>
      <c r="D2588" s="44" t="s">
        <v>5790</v>
      </c>
      <c r="E2588" s="44">
        <v>0</v>
      </c>
      <c r="F2588" s="44">
        <v>0</v>
      </c>
      <c r="G2588" s="44">
        <v>0</v>
      </c>
      <c r="H2588" s="44">
        <v>0</v>
      </c>
      <c r="K2588" s="44">
        <v>0</v>
      </c>
    </row>
    <row r="2589" spans="1:13" x14ac:dyDescent="0.25">
      <c r="A2589" s="45" t="s">
        <v>3496</v>
      </c>
      <c r="B2589" s="44" t="s">
        <v>5671</v>
      </c>
      <c r="C2589" s="47"/>
    </row>
    <row r="2590" spans="1:13" x14ac:dyDescent="0.25">
      <c r="A2590" s="45" t="s">
        <v>3497</v>
      </c>
      <c r="B2590" s="44" t="s">
        <v>5672</v>
      </c>
      <c r="C2590" s="47">
        <v>44250</v>
      </c>
      <c r="D2590" s="44">
        <v>202109</v>
      </c>
      <c r="E2590" s="44">
        <v>15623</v>
      </c>
      <c r="F2590" s="44">
        <v>15827</v>
      </c>
      <c r="G2590" s="44">
        <v>15574</v>
      </c>
      <c r="H2590" s="44">
        <v>15813</v>
      </c>
      <c r="I2590" s="44">
        <v>40</v>
      </c>
      <c r="J2590" s="44">
        <v>0.25</v>
      </c>
      <c r="K2590" s="44">
        <v>33</v>
      </c>
      <c r="L2590" s="44">
        <v>15813</v>
      </c>
      <c r="M2590" s="44">
        <v>1662</v>
      </c>
    </row>
    <row r="2591" spans="1:13" x14ac:dyDescent="0.25">
      <c r="A2591" s="45" t="s">
        <v>3498</v>
      </c>
      <c r="C2591" s="47"/>
    </row>
    <row r="2592" spans="1:13" x14ac:dyDescent="0.25">
      <c r="A2592" s="45" t="s">
        <v>3499</v>
      </c>
      <c r="B2592" s="44" t="s">
        <v>5673</v>
      </c>
      <c r="C2592" s="47"/>
    </row>
    <row r="2593" spans="1:13" x14ac:dyDescent="0.25">
      <c r="A2593" s="45" t="s">
        <v>3500</v>
      </c>
      <c r="B2593" s="44" t="s">
        <v>5674</v>
      </c>
      <c r="C2593" s="47">
        <v>44250</v>
      </c>
      <c r="D2593" s="44">
        <v>202112</v>
      </c>
      <c r="E2593" s="44">
        <v>15462</v>
      </c>
      <c r="F2593" s="44">
        <v>15670</v>
      </c>
      <c r="G2593" s="44">
        <v>15456</v>
      </c>
      <c r="H2593" s="44">
        <v>15646</v>
      </c>
      <c r="I2593" s="44">
        <v>27</v>
      </c>
      <c r="J2593" s="44">
        <v>0.17</v>
      </c>
      <c r="K2593" s="44">
        <v>15</v>
      </c>
      <c r="L2593" s="44">
        <v>15656</v>
      </c>
      <c r="M2593" s="44">
        <v>488</v>
      </c>
    </row>
    <row r="2594" spans="1:13" x14ac:dyDescent="0.25">
      <c r="A2594" s="45" t="s">
        <v>3501</v>
      </c>
      <c r="B2594" s="44" t="s">
        <v>5675</v>
      </c>
      <c r="C2594" s="47"/>
    </row>
    <row r="2595" spans="1:13" x14ac:dyDescent="0.25">
      <c r="A2595" s="45" t="s">
        <v>3502</v>
      </c>
      <c r="B2595" s="44" t="s">
        <v>5676</v>
      </c>
      <c r="C2595" s="47"/>
    </row>
    <row r="2596" spans="1:13" x14ac:dyDescent="0.25">
      <c r="A2596" s="45" t="s">
        <v>3503</v>
      </c>
      <c r="B2596" s="44" t="s">
        <v>5677</v>
      </c>
      <c r="C2596" s="47">
        <v>44250</v>
      </c>
      <c r="D2596" s="44">
        <v>202105</v>
      </c>
      <c r="E2596" s="44">
        <v>16101</v>
      </c>
      <c r="F2596" s="44">
        <v>16320</v>
      </c>
      <c r="G2596" s="44">
        <v>16063</v>
      </c>
      <c r="H2596" s="44">
        <v>16299</v>
      </c>
      <c r="I2596" s="44">
        <v>32</v>
      </c>
      <c r="J2596" s="44">
        <v>0.2</v>
      </c>
      <c r="K2596" s="44">
        <v>146</v>
      </c>
      <c r="L2596" s="44">
        <v>16310</v>
      </c>
      <c r="M2596" s="44">
        <v>239</v>
      </c>
    </row>
    <row r="2597" spans="1:13" x14ac:dyDescent="0.25">
      <c r="A2597" s="45" t="s">
        <v>3504</v>
      </c>
      <c r="B2597" s="44" t="s">
        <v>5678</v>
      </c>
      <c r="C2597" s="47">
        <v>44250</v>
      </c>
      <c r="D2597" s="44">
        <v>202105</v>
      </c>
      <c r="E2597" s="44">
        <v>16101</v>
      </c>
      <c r="F2597" s="44">
        <v>16320</v>
      </c>
      <c r="G2597" s="44">
        <v>16063</v>
      </c>
      <c r="H2597" s="44">
        <v>16299</v>
      </c>
      <c r="I2597" s="44">
        <v>32</v>
      </c>
      <c r="J2597" s="44">
        <v>0.2</v>
      </c>
      <c r="K2597" s="44">
        <v>146</v>
      </c>
      <c r="L2597" s="44">
        <v>16310</v>
      </c>
      <c r="M2597" s="44">
        <v>239</v>
      </c>
    </row>
    <row r="2598" spans="1:13" x14ac:dyDescent="0.25">
      <c r="A2598" s="45" t="s">
        <v>3505</v>
      </c>
      <c r="B2598" s="44" t="s">
        <v>5679</v>
      </c>
      <c r="C2598" s="47"/>
    </row>
    <row r="2599" spans="1:13" x14ac:dyDescent="0.25">
      <c r="A2599" s="45" t="s">
        <v>3506</v>
      </c>
      <c r="B2599" s="44" t="s">
        <v>5680</v>
      </c>
      <c r="C2599" s="47"/>
    </row>
    <row r="2600" spans="1:13" x14ac:dyDescent="0.25">
      <c r="A2600" s="45" t="s">
        <v>3507</v>
      </c>
      <c r="B2600" s="44" t="s">
        <v>5681</v>
      </c>
      <c r="C2600" s="47">
        <v>44250</v>
      </c>
      <c r="D2600" s="44">
        <v>202103</v>
      </c>
      <c r="E2600" s="44">
        <v>31500</v>
      </c>
      <c r="F2600" s="44">
        <v>31610</v>
      </c>
      <c r="G2600" s="44">
        <v>31461</v>
      </c>
      <c r="H2600" s="44">
        <v>31598</v>
      </c>
      <c r="I2600" s="44">
        <v>218</v>
      </c>
      <c r="J2600" s="44">
        <v>0.69</v>
      </c>
      <c r="K2600" s="44">
        <v>598</v>
      </c>
      <c r="L2600" s="44">
        <v>31598</v>
      </c>
      <c r="M2600" s="44">
        <v>1737</v>
      </c>
    </row>
    <row r="2601" spans="1:13" x14ac:dyDescent="0.25">
      <c r="A2601" s="45" t="s">
        <v>3508</v>
      </c>
      <c r="B2601" s="44" t="s">
        <v>5682</v>
      </c>
      <c r="C2601" s="47">
        <v>44250</v>
      </c>
      <c r="D2601" s="44">
        <v>202103</v>
      </c>
      <c r="E2601" s="44">
        <v>31500</v>
      </c>
      <c r="F2601" s="44">
        <v>31610</v>
      </c>
      <c r="G2601" s="44">
        <v>31461</v>
      </c>
      <c r="H2601" s="44">
        <v>31598</v>
      </c>
      <c r="I2601" s="44">
        <v>218</v>
      </c>
      <c r="J2601" s="44">
        <v>0.69</v>
      </c>
      <c r="K2601" s="44">
        <v>598</v>
      </c>
      <c r="L2601" s="44">
        <v>31598</v>
      </c>
      <c r="M2601" s="44">
        <v>1737</v>
      </c>
    </row>
    <row r="2602" spans="1:13" x14ac:dyDescent="0.25">
      <c r="A2602" s="45" t="s">
        <v>3509</v>
      </c>
      <c r="B2602" s="44" t="s">
        <v>5683</v>
      </c>
      <c r="C2602" s="47"/>
    </row>
    <row r="2603" spans="1:13" x14ac:dyDescent="0.25">
      <c r="A2603" s="45" t="s">
        <v>3510</v>
      </c>
      <c r="B2603" s="44" t="s">
        <v>5684</v>
      </c>
      <c r="C2603" s="47">
        <v>44250</v>
      </c>
      <c r="D2603" s="44">
        <v>202106</v>
      </c>
      <c r="E2603" s="44">
        <v>31364</v>
      </c>
      <c r="F2603" s="44">
        <v>31452</v>
      </c>
      <c r="G2603" s="44">
        <v>31364</v>
      </c>
      <c r="H2603" s="44">
        <v>31452</v>
      </c>
      <c r="I2603" s="44">
        <v>172</v>
      </c>
      <c r="J2603" s="44">
        <v>0.55000000000000004</v>
      </c>
      <c r="K2603" s="44">
        <v>18</v>
      </c>
      <c r="L2603" s="44">
        <v>31488</v>
      </c>
      <c r="M2603" s="44">
        <v>111</v>
      </c>
    </row>
    <row r="2604" spans="1:13" x14ac:dyDescent="0.25">
      <c r="A2604" s="45" t="s">
        <v>3511</v>
      </c>
      <c r="B2604" s="44" t="s">
        <v>5685</v>
      </c>
      <c r="C2604" s="47">
        <v>44250</v>
      </c>
      <c r="D2604" s="44">
        <v>202106</v>
      </c>
      <c r="E2604" s="44">
        <v>31364</v>
      </c>
      <c r="F2604" s="44">
        <v>31452</v>
      </c>
      <c r="G2604" s="44">
        <v>31364</v>
      </c>
      <c r="H2604" s="44">
        <v>31452</v>
      </c>
      <c r="I2604" s="44">
        <v>172</v>
      </c>
      <c r="J2604" s="44">
        <v>0.55000000000000004</v>
      </c>
      <c r="K2604" s="44">
        <v>18</v>
      </c>
      <c r="L2604" s="44">
        <v>31488</v>
      </c>
      <c r="M2604" s="44">
        <v>111</v>
      </c>
    </row>
    <row r="2605" spans="1:13" x14ac:dyDescent="0.25">
      <c r="A2605" s="45" t="s">
        <v>3512</v>
      </c>
      <c r="B2605" s="44" t="s">
        <v>5686</v>
      </c>
      <c r="C2605" s="47">
        <v>44250</v>
      </c>
      <c r="D2605" s="44">
        <v>202103</v>
      </c>
      <c r="E2605" s="44">
        <v>31500</v>
      </c>
      <c r="F2605" s="44">
        <v>31610</v>
      </c>
      <c r="G2605" s="44">
        <v>31461</v>
      </c>
      <c r="H2605" s="44">
        <v>31598</v>
      </c>
      <c r="I2605" s="44">
        <v>218</v>
      </c>
      <c r="J2605" s="44">
        <v>0.69</v>
      </c>
      <c r="K2605" s="44">
        <v>598</v>
      </c>
      <c r="L2605" s="44">
        <v>31598</v>
      </c>
      <c r="M2605" s="44">
        <v>1737</v>
      </c>
    </row>
    <row r="2606" spans="1:13" x14ac:dyDescent="0.25">
      <c r="A2606" s="45" t="s">
        <v>3513</v>
      </c>
      <c r="B2606" s="44" t="s">
        <v>5687</v>
      </c>
      <c r="C2606" s="47">
        <v>44250</v>
      </c>
      <c r="D2606" s="44" t="s">
        <v>5788</v>
      </c>
      <c r="E2606" s="44">
        <v>0</v>
      </c>
      <c r="F2606" s="44">
        <v>0</v>
      </c>
      <c r="G2606" s="44">
        <v>0</v>
      </c>
      <c r="H2606" s="44">
        <v>0</v>
      </c>
      <c r="K2606" s="44">
        <v>0</v>
      </c>
    </row>
    <row r="2607" spans="1:13" x14ac:dyDescent="0.25">
      <c r="A2607" s="45" t="s">
        <v>3514</v>
      </c>
      <c r="B2607" s="44" t="s">
        <v>5688</v>
      </c>
      <c r="C2607" s="47"/>
    </row>
    <row r="2608" spans="1:13" x14ac:dyDescent="0.25">
      <c r="A2608" s="45" t="s">
        <v>3515</v>
      </c>
      <c r="B2608" s="44" t="s">
        <v>5689</v>
      </c>
      <c r="C2608" s="47"/>
    </row>
    <row r="2609" spans="1:13" x14ac:dyDescent="0.25">
      <c r="A2609" s="45" t="s">
        <v>3516</v>
      </c>
      <c r="B2609" s="44" t="s">
        <v>5690</v>
      </c>
      <c r="C2609" s="47">
        <v>44250</v>
      </c>
      <c r="D2609" s="44">
        <v>202106</v>
      </c>
      <c r="E2609" s="44">
        <v>31364</v>
      </c>
      <c r="F2609" s="44">
        <v>31452</v>
      </c>
      <c r="G2609" s="44">
        <v>31364</v>
      </c>
      <c r="H2609" s="44">
        <v>31452</v>
      </c>
      <c r="I2609" s="44">
        <v>172</v>
      </c>
      <c r="J2609" s="44">
        <v>0.55000000000000004</v>
      </c>
      <c r="K2609" s="44">
        <v>18</v>
      </c>
      <c r="L2609" s="44">
        <v>31488</v>
      </c>
      <c r="M2609" s="44">
        <v>111</v>
      </c>
    </row>
    <row r="2610" spans="1:13" x14ac:dyDescent="0.25">
      <c r="A2610" s="45" t="s">
        <v>3517</v>
      </c>
      <c r="B2610" s="44" t="s">
        <v>5691</v>
      </c>
      <c r="C2610" s="47"/>
    </row>
    <row r="2611" spans="1:13" x14ac:dyDescent="0.25">
      <c r="A2611" s="45" t="s">
        <v>3518</v>
      </c>
      <c r="B2611" s="44" t="s">
        <v>5692</v>
      </c>
      <c r="C2611" s="47">
        <v>44250</v>
      </c>
      <c r="D2611" s="44">
        <v>202109</v>
      </c>
      <c r="E2611" s="44">
        <v>31474</v>
      </c>
      <c r="F2611" s="44">
        <v>31474</v>
      </c>
      <c r="G2611" s="44">
        <v>31474</v>
      </c>
      <c r="H2611" s="44">
        <v>31474</v>
      </c>
      <c r="I2611" s="44">
        <v>218</v>
      </c>
      <c r="J2611" s="44">
        <v>0.7</v>
      </c>
      <c r="K2611" s="44">
        <v>0</v>
      </c>
      <c r="L2611" s="44">
        <v>31474</v>
      </c>
      <c r="M2611" s="44">
        <v>2</v>
      </c>
    </row>
    <row r="2612" spans="1:13" x14ac:dyDescent="0.25">
      <c r="A2612" s="45" t="s">
        <v>3519</v>
      </c>
      <c r="B2612" s="44" t="s">
        <v>5693</v>
      </c>
      <c r="C2612" s="47"/>
    </row>
    <row r="2613" spans="1:13" x14ac:dyDescent="0.25">
      <c r="A2613" s="45" t="s">
        <v>3520</v>
      </c>
      <c r="B2613" s="44" t="s">
        <v>5694</v>
      </c>
      <c r="C2613" s="47">
        <v>44250</v>
      </c>
      <c r="D2613" s="44">
        <v>202112</v>
      </c>
      <c r="E2613" s="44">
        <v>31464</v>
      </c>
      <c r="F2613" s="44">
        <v>31464</v>
      </c>
      <c r="G2613" s="44">
        <v>31464</v>
      </c>
      <c r="H2613" s="44">
        <v>31464</v>
      </c>
      <c r="I2613" s="44">
        <v>218</v>
      </c>
      <c r="J2613" s="44">
        <v>0.7</v>
      </c>
      <c r="K2613" s="44">
        <v>0</v>
      </c>
      <c r="L2613" s="44">
        <v>31464</v>
      </c>
      <c r="M2613" s="44">
        <v>0</v>
      </c>
    </row>
    <row r="2614" spans="1:13" x14ac:dyDescent="0.25">
      <c r="A2614" s="45" t="s">
        <v>3521</v>
      </c>
      <c r="B2614" s="44" t="s">
        <v>5695</v>
      </c>
      <c r="C2614" s="47"/>
    </row>
    <row r="2615" spans="1:13" x14ac:dyDescent="0.25">
      <c r="A2615" s="45" t="s">
        <v>3522</v>
      </c>
      <c r="B2615" s="44" t="s">
        <v>5696</v>
      </c>
      <c r="C2615" s="47"/>
    </row>
    <row r="2616" spans="1:13" x14ac:dyDescent="0.25">
      <c r="A2616" s="45" t="s">
        <v>3523</v>
      </c>
      <c r="B2616" s="44" t="s">
        <v>5697</v>
      </c>
      <c r="C2616" s="47"/>
    </row>
    <row r="2617" spans="1:13" x14ac:dyDescent="0.25">
      <c r="A2617" s="45" t="s">
        <v>3524</v>
      </c>
      <c r="B2617" s="44" t="s">
        <v>5698</v>
      </c>
      <c r="C2617" s="47">
        <v>44250</v>
      </c>
      <c r="D2617" s="44">
        <v>202103</v>
      </c>
      <c r="E2617" s="44">
        <v>13220</v>
      </c>
      <c r="F2617" s="44">
        <v>13335</v>
      </c>
      <c r="G2617" s="44">
        <v>13207</v>
      </c>
      <c r="H2617" s="44">
        <v>13319</v>
      </c>
      <c r="I2617" s="44">
        <v>-211</v>
      </c>
      <c r="J2617" s="44">
        <v>-1.56</v>
      </c>
      <c r="K2617" s="44">
        <v>575</v>
      </c>
      <c r="L2617" s="44">
        <v>13318</v>
      </c>
      <c r="M2617" s="44">
        <v>1050</v>
      </c>
    </row>
    <row r="2618" spans="1:13" x14ac:dyDescent="0.25">
      <c r="A2618" s="45" t="s">
        <v>3525</v>
      </c>
      <c r="B2618" s="44" t="s">
        <v>5699</v>
      </c>
      <c r="C2618" s="47">
        <v>44250</v>
      </c>
      <c r="D2618" s="44">
        <v>202103</v>
      </c>
      <c r="E2618" s="44">
        <v>13220</v>
      </c>
      <c r="F2618" s="44">
        <v>13335</v>
      </c>
      <c r="G2618" s="44">
        <v>13207</v>
      </c>
      <c r="H2618" s="44">
        <v>13319</v>
      </c>
      <c r="I2618" s="44">
        <v>-211</v>
      </c>
      <c r="J2618" s="44">
        <v>-1.56</v>
      </c>
      <c r="K2618" s="44">
        <v>575</v>
      </c>
      <c r="L2618" s="44">
        <v>13318</v>
      </c>
      <c r="M2618" s="44">
        <v>1050</v>
      </c>
    </row>
    <row r="2619" spans="1:13" x14ac:dyDescent="0.25">
      <c r="A2619" s="45" t="s">
        <v>3526</v>
      </c>
      <c r="B2619" s="44" t="s">
        <v>5700</v>
      </c>
      <c r="C2619" s="47"/>
    </row>
    <row r="2620" spans="1:13" x14ac:dyDescent="0.25">
      <c r="A2620" s="45" t="s">
        <v>3527</v>
      </c>
      <c r="B2620" s="44" t="s">
        <v>5701</v>
      </c>
      <c r="C2620" s="47">
        <v>44250</v>
      </c>
      <c r="D2620" s="44">
        <v>202106</v>
      </c>
      <c r="E2620" s="44">
        <v>13216</v>
      </c>
      <c r="F2620" s="44">
        <v>13313</v>
      </c>
      <c r="G2620" s="44">
        <v>13199</v>
      </c>
      <c r="H2620" s="44">
        <v>13313</v>
      </c>
      <c r="I2620" s="44">
        <v>-207</v>
      </c>
      <c r="J2620" s="44">
        <v>-1.53</v>
      </c>
      <c r="K2620" s="44">
        <v>16</v>
      </c>
      <c r="L2620" s="44">
        <v>13313</v>
      </c>
      <c r="M2620" s="44">
        <v>123</v>
      </c>
    </row>
    <row r="2621" spans="1:13" x14ac:dyDescent="0.25">
      <c r="A2621" s="45" t="s">
        <v>3528</v>
      </c>
      <c r="B2621" s="44" t="s">
        <v>5702</v>
      </c>
      <c r="C2621" s="47">
        <v>44250</v>
      </c>
      <c r="D2621" s="44">
        <v>202106</v>
      </c>
      <c r="E2621" s="44">
        <v>13216</v>
      </c>
      <c r="F2621" s="44">
        <v>13313</v>
      </c>
      <c r="G2621" s="44">
        <v>13199</v>
      </c>
      <c r="H2621" s="44">
        <v>13313</v>
      </c>
      <c r="I2621" s="44">
        <v>-207</v>
      </c>
      <c r="J2621" s="44">
        <v>-1.53</v>
      </c>
      <c r="K2621" s="44">
        <v>16</v>
      </c>
      <c r="L2621" s="44">
        <v>13313</v>
      </c>
      <c r="M2621" s="44">
        <v>123</v>
      </c>
    </row>
    <row r="2622" spans="1:13" x14ac:dyDescent="0.25">
      <c r="A2622" s="45" t="s">
        <v>3529</v>
      </c>
      <c r="B2622" s="44" t="s">
        <v>5703</v>
      </c>
      <c r="C2622" s="47">
        <v>44250</v>
      </c>
      <c r="D2622" s="44">
        <v>202103</v>
      </c>
      <c r="E2622" s="44">
        <v>13220</v>
      </c>
      <c r="F2622" s="44">
        <v>13335</v>
      </c>
      <c r="G2622" s="44">
        <v>13207</v>
      </c>
      <c r="H2622" s="44">
        <v>13319</v>
      </c>
      <c r="I2622" s="44">
        <v>-211</v>
      </c>
      <c r="J2622" s="44">
        <v>-1.56</v>
      </c>
      <c r="K2622" s="44">
        <v>575</v>
      </c>
      <c r="L2622" s="44">
        <v>13318</v>
      </c>
      <c r="M2622" s="44">
        <v>1050</v>
      </c>
    </row>
    <row r="2623" spans="1:13" x14ac:dyDescent="0.25">
      <c r="A2623" s="45" t="s">
        <v>3530</v>
      </c>
      <c r="B2623" s="44" t="s">
        <v>5704</v>
      </c>
      <c r="C2623" s="47">
        <v>44250</v>
      </c>
      <c r="D2623" s="44" t="s">
        <v>5788</v>
      </c>
      <c r="E2623" s="44">
        <v>0</v>
      </c>
      <c r="F2623" s="44">
        <v>0</v>
      </c>
      <c r="G2623" s="44">
        <v>0</v>
      </c>
      <c r="H2623" s="44">
        <v>0</v>
      </c>
      <c r="K2623" s="44">
        <v>0</v>
      </c>
    </row>
    <row r="2624" spans="1:13" x14ac:dyDescent="0.25">
      <c r="A2624" s="45" t="s">
        <v>3531</v>
      </c>
      <c r="B2624" s="44" t="s">
        <v>5705</v>
      </c>
      <c r="C2624" s="47"/>
    </row>
    <row r="2625" spans="1:13" x14ac:dyDescent="0.25">
      <c r="A2625" s="45" t="s">
        <v>3532</v>
      </c>
      <c r="B2625" s="44" t="s">
        <v>5706</v>
      </c>
      <c r="C2625" s="47"/>
    </row>
    <row r="2626" spans="1:13" x14ac:dyDescent="0.25">
      <c r="A2626" s="45" t="s">
        <v>3533</v>
      </c>
      <c r="B2626" s="44" t="s">
        <v>5707</v>
      </c>
      <c r="C2626" s="47">
        <v>44250</v>
      </c>
      <c r="D2626" s="44">
        <v>202106</v>
      </c>
      <c r="E2626" s="44">
        <v>13216</v>
      </c>
      <c r="F2626" s="44">
        <v>13313</v>
      </c>
      <c r="G2626" s="44">
        <v>13199</v>
      </c>
      <c r="H2626" s="44">
        <v>13313</v>
      </c>
      <c r="I2626" s="44">
        <v>-207</v>
      </c>
      <c r="J2626" s="44">
        <v>-1.53</v>
      </c>
      <c r="K2626" s="44">
        <v>16</v>
      </c>
      <c r="L2626" s="44">
        <v>13313</v>
      </c>
      <c r="M2626" s="44">
        <v>123</v>
      </c>
    </row>
    <row r="2627" spans="1:13" x14ac:dyDescent="0.25">
      <c r="A2627" s="45" t="s">
        <v>3534</v>
      </c>
      <c r="B2627" s="44" t="s">
        <v>5708</v>
      </c>
      <c r="C2627" s="47"/>
    </row>
    <row r="2628" spans="1:13" x14ac:dyDescent="0.25">
      <c r="A2628" s="45" t="s">
        <v>3535</v>
      </c>
      <c r="B2628" s="44" t="s">
        <v>5709</v>
      </c>
      <c r="C2628" s="47">
        <v>44250</v>
      </c>
      <c r="D2628" s="44">
        <v>202109</v>
      </c>
      <c r="E2628" s="44">
        <v>13301</v>
      </c>
      <c r="F2628" s="44">
        <v>13301</v>
      </c>
      <c r="G2628" s="44">
        <v>13301</v>
      </c>
      <c r="H2628" s="44">
        <v>13301</v>
      </c>
      <c r="I2628" s="44">
        <v>-212</v>
      </c>
      <c r="J2628" s="44">
        <v>-1.57</v>
      </c>
      <c r="K2628" s="44">
        <v>0</v>
      </c>
      <c r="L2628" s="44">
        <v>13301</v>
      </c>
      <c r="M2628" s="44">
        <v>1</v>
      </c>
    </row>
    <row r="2629" spans="1:13" x14ac:dyDescent="0.25">
      <c r="A2629" s="45" t="s">
        <v>3536</v>
      </c>
      <c r="B2629" s="44" t="s">
        <v>5710</v>
      </c>
      <c r="C2629" s="47"/>
    </row>
    <row r="2630" spans="1:13" x14ac:dyDescent="0.25">
      <c r="A2630" s="45" t="s">
        <v>3537</v>
      </c>
      <c r="B2630" s="44" t="s">
        <v>5711</v>
      </c>
      <c r="C2630" s="47">
        <v>44250</v>
      </c>
      <c r="D2630" s="44">
        <v>202112</v>
      </c>
      <c r="E2630" s="44">
        <v>13189</v>
      </c>
      <c r="F2630" s="44">
        <v>13189</v>
      </c>
      <c r="G2630" s="44">
        <v>13189</v>
      </c>
      <c r="H2630" s="44">
        <v>13189</v>
      </c>
      <c r="I2630" s="44">
        <v>-212</v>
      </c>
      <c r="J2630" s="44">
        <v>-1.58</v>
      </c>
      <c r="K2630" s="44">
        <v>0</v>
      </c>
      <c r="L2630" s="44">
        <v>13189</v>
      </c>
      <c r="M2630" s="44">
        <v>1</v>
      </c>
    </row>
    <row r="2631" spans="1:13" x14ac:dyDescent="0.25">
      <c r="A2631" s="45" t="s">
        <v>3538</v>
      </c>
      <c r="B2631" s="44" t="s">
        <v>5712</v>
      </c>
      <c r="C2631" s="47"/>
    </row>
    <row r="2632" spans="1:13" x14ac:dyDescent="0.25">
      <c r="A2632" s="45" t="s">
        <v>3539</v>
      </c>
      <c r="B2632" s="44" t="s">
        <v>5713</v>
      </c>
      <c r="C2632" s="47">
        <v>44250</v>
      </c>
      <c r="D2632" s="44">
        <v>202203</v>
      </c>
      <c r="E2632" s="44">
        <v>13295</v>
      </c>
      <c r="F2632" s="44">
        <v>13295</v>
      </c>
      <c r="G2632" s="44">
        <v>13295</v>
      </c>
      <c r="H2632" s="44">
        <v>13295</v>
      </c>
      <c r="I2632" s="44">
        <v>-212</v>
      </c>
      <c r="J2632" s="44">
        <v>-1.57</v>
      </c>
      <c r="K2632" s="44">
        <v>0</v>
      </c>
      <c r="L2632" s="44">
        <v>13295</v>
      </c>
      <c r="M2632" s="44">
        <v>0</v>
      </c>
    </row>
    <row r="2633" spans="1:13" x14ac:dyDescent="0.25">
      <c r="A2633" s="45" t="s">
        <v>3540</v>
      </c>
      <c r="B2633" s="44" t="s">
        <v>5714</v>
      </c>
      <c r="C2633" s="47"/>
    </row>
    <row r="2634" spans="1:13" x14ac:dyDescent="0.25">
      <c r="A2634" s="45" t="s">
        <v>3541</v>
      </c>
      <c r="B2634" s="44" t="s">
        <v>5715</v>
      </c>
      <c r="C2634" s="47"/>
    </row>
    <row r="2635" spans="1:13" x14ac:dyDescent="0.25">
      <c r="A2635" s="45" t="s">
        <v>3542</v>
      </c>
      <c r="B2635" s="44" t="s">
        <v>5716</v>
      </c>
      <c r="C2635" s="47"/>
    </row>
    <row r="2636" spans="1:13" x14ac:dyDescent="0.25">
      <c r="A2636" s="45" t="s">
        <v>3543</v>
      </c>
      <c r="B2636" s="44" t="s">
        <v>5717</v>
      </c>
      <c r="C2636" s="47">
        <v>44250</v>
      </c>
      <c r="D2636" s="44">
        <v>202103</v>
      </c>
      <c r="E2636" s="44">
        <v>0.79210000000000003</v>
      </c>
      <c r="F2636" s="44">
        <v>0.79220000000000002</v>
      </c>
      <c r="G2636" s="44">
        <v>0.79210000000000003</v>
      </c>
      <c r="H2636" s="44">
        <v>0.79220000000000002</v>
      </c>
      <c r="I2636" s="44">
        <v>4.8999999999999998E-3</v>
      </c>
      <c r="J2636" s="44">
        <v>0.62</v>
      </c>
      <c r="K2636" s="44">
        <v>2</v>
      </c>
      <c r="L2636" s="44">
        <v>0.79220000000000002</v>
      </c>
      <c r="M2636" s="44">
        <v>410</v>
      </c>
    </row>
    <row r="2637" spans="1:13" x14ac:dyDescent="0.25">
      <c r="A2637" s="45" t="s">
        <v>3544</v>
      </c>
      <c r="B2637" s="44" t="s">
        <v>5718</v>
      </c>
      <c r="C2637" s="47">
        <v>44250</v>
      </c>
      <c r="D2637" s="44">
        <v>202103</v>
      </c>
      <c r="E2637" s="44">
        <v>0.79210000000000003</v>
      </c>
      <c r="F2637" s="44">
        <v>0.79220000000000002</v>
      </c>
      <c r="G2637" s="44">
        <v>0.79210000000000003</v>
      </c>
      <c r="H2637" s="44">
        <v>0.79220000000000002</v>
      </c>
      <c r="I2637" s="44">
        <v>4.8999999999999998E-3</v>
      </c>
      <c r="J2637" s="44">
        <v>0.62</v>
      </c>
      <c r="K2637" s="44">
        <v>2</v>
      </c>
      <c r="L2637" s="44">
        <v>0.79220000000000002</v>
      </c>
      <c r="M2637" s="44">
        <v>410</v>
      </c>
    </row>
    <row r="2638" spans="1:13" x14ac:dyDescent="0.25">
      <c r="A2638" s="45" t="s">
        <v>3545</v>
      </c>
      <c r="B2638" s="44" t="s">
        <v>5719</v>
      </c>
      <c r="C2638" s="47"/>
    </row>
    <row r="2639" spans="1:13" x14ac:dyDescent="0.25">
      <c r="A2639" s="45" t="s">
        <v>3546</v>
      </c>
      <c r="B2639" s="44" t="s">
        <v>5720</v>
      </c>
      <c r="C2639" s="47">
        <v>44250</v>
      </c>
      <c r="D2639" s="44">
        <v>202106</v>
      </c>
      <c r="E2639" s="44">
        <v>0.79190000000000005</v>
      </c>
      <c r="F2639" s="44">
        <v>0.79190000000000005</v>
      </c>
      <c r="G2639" s="44">
        <v>0.79190000000000005</v>
      </c>
      <c r="H2639" s="44">
        <v>0.79190000000000005</v>
      </c>
      <c r="I2639" s="44">
        <v>4.4000000000000003E-3</v>
      </c>
      <c r="J2639" s="44">
        <v>0.56000000000000005</v>
      </c>
      <c r="K2639" s="44">
        <v>51</v>
      </c>
      <c r="L2639" s="44">
        <v>0.79190000000000005</v>
      </c>
      <c r="M2639" s="44">
        <v>50</v>
      </c>
    </row>
    <row r="2640" spans="1:13" x14ac:dyDescent="0.25">
      <c r="A2640" s="45" t="s">
        <v>3547</v>
      </c>
      <c r="B2640" s="44" t="s">
        <v>5721</v>
      </c>
      <c r="C2640" s="47">
        <v>44250</v>
      </c>
      <c r="D2640" s="44">
        <v>202106</v>
      </c>
      <c r="E2640" s="44">
        <v>0.79190000000000005</v>
      </c>
      <c r="F2640" s="44">
        <v>0.79190000000000005</v>
      </c>
      <c r="G2640" s="44">
        <v>0.79190000000000005</v>
      </c>
      <c r="H2640" s="44">
        <v>0.79190000000000005</v>
      </c>
      <c r="I2640" s="44">
        <v>4.4000000000000003E-3</v>
      </c>
      <c r="J2640" s="44">
        <v>0.56000000000000005</v>
      </c>
      <c r="K2640" s="44">
        <v>51</v>
      </c>
      <c r="L2640" s="44">
        <v>0.79190000000000005</v>
      </c>
      <c r="M2640" s="44">
        <v>50</v>
      </c>
    </row>
    <row r="2641" spans="1:13" x14ac:dyDescent="0.25">
      <c r="A2641" s="45" t="s">
        <v>3548</v>
      </c>
      <c r="B2641" s="44" t="s">
        <v>5722</v>
      </c>
      <c r="C2641" s="47">
        <v>44250</v>
      </c>
      <c r="D2641" s="44">
        <v>202103</v>
      </c>
      <c r="E2641" s="44">
        <v>0.79210000000000003</v>
      </c>
      <c r="F2641" s="44">
        <v>0.79220000000000002</v>
      </c>
      <c r="G2641" s="44">
        <v>0.79210000000000003</v>
      </c>
      <c r="H2641" s="44">
        <v>0.79220000000000002</v>
      </c>
      <c r="I2641" s="44">
        <v>4.8999999999999998E-3</v>
      </c>
      <c r="J2641" s="44">
        <v>0.62</v>
      </c>
      <c r="K2641" s="44">
        <v>2</v>
      </c>
      <c r="L2641" s="44">
        <v>0.79220000000000002</v>
      </c>
      <c r="M2641" s="44">
        <v>410</v>
      </c>
    </row>
    <row r="2642" spans="1:13" x14ac:dyDescent="0.25">
      <c r="A2642" s="45" t="s">
        <v>3549</v>
      </c>
      <c r="B2642" s="44" t="s">
        <v>5723</v>
      </c>
      <c r="C2642" s="47"/>
    </row>
    <row r="2643" spans="1:13" x14ac:dyDescent="0.25">
      <c r="A2643" s="45" t="s">
        <v>3550</v>
      </c>
      <c r="B2643" s="44" t="s">
        <v>5724</v>
      </c>
      <c r="C2643" s="47">
        <v>44250</v>
      </c>
      <c r="D2643" s="44">
        <v>202106</v>
      </c>
      <c r="E2643" s="44">
        <v>0.79190000000000005</v>
      </c>
      <c r="F2643" s="44">
        <v>0.79190000000000005</v>
      </c>
      <c r="G2643" s="44">
        <v>0.79190000000000005</v>
      </c>
      <c r="H2643" s="44">
        <v>0.79190000000000005</v>
      </c>
      <c r="I2643" s="44">
        <v>4.4000000000000003E-3</v>
      </c>
      <c r="J2643" s="44">
        <v>0.56000000000000005</v>
      </c>
      <c r="K2643" s="44">
        <v>51</v>
      </c>
      <c r="L2643" s="44">
        <v>0.79190000000000005</v>
      </c>
      <c r="M2643" s="44">
        <v>50</v>
      </c>
    </row>
    <row r="2644" spans="1:13" x14ac:dyDescent="0.25">
      <c r="A2644" s="45" t="s">
        <v>3551</v>
      </c>
      <c r="B2644" s="44" t="s">
        <v>5725</v>
      </c>
      <c r="C2644" s="47"/>
    </row>
    <row r="2645" spans="1:13" x14ac:dyDescent="0.25">
      <c r="A2645" s="45" t="s">
        <v>3552</v>
      </c>
      <c r="B2645" s="44" t="s">
        <v>5726</v>
      </c>
      <c r="C2645" s="47">
        <v>44250</v>
      </c>
      <c r="D2645" s="44">
        <v>202109</v>
      </c>
      <c r="E2645" s="44">
        <v>0.7913</v>
      </c>
      <c r="F2645" s="44">
        <v>0.7913</v>
      </c>
      <c r="G2645" s="44">
        <v>0.7913</v>
      </c>
      <c r="H2645" s="44">
        <v>0.7913</v>
      </c>
      <c r="I2645" s="44">
        <v>4.8999999999999998E-3</v>
      </c>
      <c r="J2645" s="44">
        <v>0.62</v>
      </c>
      <c r="K2645" s="44">
        <v>0</v>
      </c>
      <c r="L2645" s="44">
        <v>0.7913</v>
      </c>
      <c r="M2645" s="44">
        <v>0</v>
      </c>
    </row>
    <row r="2646" spans="1:13" x14ac:dyDescent="0.25">
      <c r="A2646" s="45" t="s">
        <v>3553</v>
      </c>
      <c r="B2646" s="44" t="s">
        <v>5727</v>
      </c>
      <c r="C2646" s="47"/>
    </row>
    <row r="2647" spans="1:13" x14ac:dyDescent="0.25">
      <c r="A2647" s="45" t="s">
        <v>3554</v>
      </c>
      <c r="B2647" s="44" t="s">
        <v>5728</v>
      </c>
      <c r="C2647" s="47">
        <v>44250</v>
      </c>
      <c r="D2647" s="44">
        <v>202112</v>
      </c>
      <c r="E2647" s="44">
        <v>0.79520000000000002</v>
      </c>
      <c r="F2647" s="44">
        <v>0.79520000000000002</v>
      </c>
      <c r="G2647" s="44">
        <v>0.79520000000000002</v>
      </c>
      <c r="H2647" s="44">
        <v>0.79520000000000002</v>
      </c>
      <c r="I2647" s="44">
        <v>4.8999999999999998E-3</v>
      </c>
      <c r="J2647" s="44">
        <v>0.62</v>
      </c>
      <c r="K2647" s="44">
        <v>0</v>
      </c>
      <c r="L2647" s="44">
        <v>0.79520000000000002</v>
      </c>
      <c r="M2647" s="44">
        <v>0</v>
      </c>
    </row>
    <row r="2648" spans="1:13" x14ac:dyDescent="0.25">
      <c r="A2648" s="45" t="s">
        <v>3555</v>
      </c>
      <c r="B2648" s="44" t="s">
        <v>5729</v>
      </c>
      <c r="C2648" s="47"/>
    </row>
    <row r="2649" spans="1:13" x14ac:dyDescent="0.25">
      <c r="A2649" s="45" t="s">
        <v>3556</v>
      </c>
      <c r="B2649" s="44" t="s">
        <v>5730</v>
      </c>
      <c r="C2649" s="47"/>
    </row>
    <row r="2650" spans="1:13" x14ac:dyDescent="0.25">
      <c r="A2650" s="45" t="s">
        <v>3557</v>
      </c>
      <c r="B2650" s="44" t="s">
        <v>5731</v>
      </c>
      <c r="C2650" s="47"/>
    </row>
    <row r="2651" spans="1:13" x14ac:dyDescent="0.25">
      <c r="A2651" s="45" t="s">
        <v>3558</v>
      </c>
      <c r="B2651" s="44" t="s">
        <v>5732</v>
      </c>
      <c r="C2651" s="47">
        <v>44250</v>
      </c>
      <c r="D2651" s="44">
        <v>202103</v>
      </c>
      <c r="E2651" s="44">
        <v>1.4073</v>
      </c>
      <c r="F2651" s="44">
        <v>1.4079999999999999</v>
      </c>
      <c r="G2651" s="44">
        <v>1.4073</v>
      </c>
      <c r="H2651" s="44">
        <v>1.4079999999999999</v>
      </c>
      <c r="I2651" s="44">
        <v>7.7000000000000002E-3</v>
      </c>
      <c r="J2651" s="44">
        <v>0.55000000000000004</v>
      </c>
      <c r="K2651" s="44">
        <v>204</v>
      </c>
      <c r="L2651" s="44">
        <v>1.4079999999999999</v>
      </c>
      <c r="M2651" s="44">
        <v>206</v>
      </c>
    </row>
    <row r="2652" spans="1:13" x14ac:dyDescent="0.25">
      <c r="A2652" s="45" t="s">
        <v>3559</v>
      </c>
      <c r="B2652" s="44" t="s">
        <v>5733</v>
      </c>
      <c r="C2652" s="47">
        <v>44250</v>
      </c>
      <c r="D2652" s="44">
        <v>202103</v>
      </c>
      <c r="E2652" s="44">
        <v>1.4073</v>
      </c>
      <c r="F2652" s="44">
        <v>1.4079999999999999</v>
      </c>
      <c r="G2652" s="44">
        <v>1.4073</v>
      </c>
      <c r="H2652" s="44">
        <v>1.4079999999999999</v>
      </c>
      <c r="I2652" s="44">
        <v>7.7000000000000002E-3</v>
      </c>
      <c r="J2652" s="44">
        <v>0.55000000000000004</v>
      </c>
      <c r="K2652" s="44">
        <v>204</v>
      </c>
      <c r="L2652" s="44">
        <v>1.4079999999999999</v>
      </c>
      <c r="M2652" s="44">
        <v>206</v>
      </c>
    </row>
    <row r="2653" spans="1:13" x14ac:dyDescent="0.25">
      <c r="A2653" s="45" t="s">
        <v>3560</v>
      </c>
      <c r="B2653" s="44" t="s">
        <v>5734</v>
      </c>
      <c r="C2653" s="47"/>
    </row>
    <row r="2654" spans="1:13" x14ac:dyDescent="0.25">
      <c r="A2654" s="45" t="s">
        <v>3561</v>
      </c>
      <c r="B2654" s="44" t="s">
        <v>5735</v>
      </c>
      <c r="C2654" s="47">
        <v>44250</v>
      </c>
      <c r="D2654" s="44">
        <v>202106</v>
      </c>
      <c r="E2654" s="44">
        <v>1.4084000000000001</v>
      </c>
      <c r="F2654" s="44">
        <v>1.4084000000000001</v>
      </c>
      <c r="G2654" s="44">
        <v>1.4084000000000001</v>
      </c>
      <c r="H2654" s="44">
        <v>1.4084000000000001</v>
      </c>
      <c r="I2654" s="44">
        <v>7.7000000000000002E-3</v>
      </c>
      <c r="J2654" s="44">
        <v>0.55000000000000004</v>
      </c>
      <c r="K2654" s="44">
        <v>0</v>
      </c>
      <c r="L2654" s="44">
        <v>1.4084000000000001</v>
      </c>
      <c r="M2654" s="44">
        <v>229</v>
      </c>
    </row>
    <row r="2655" spans="1:13" x14ac:dyDescent="0.25">
      <c r="A2655" s="45" t="s">
        <v>3562</v>
      </c>
      <c r="B2655" s="44" t="s">
        <v>5736</v>
      </c>
      <c r="C2655" s="47">
        <v>44250</v>
      </c>
      <c r="D2655" s="44">
        <v>202106</v>
      </c>
      <c r="E2655" s="44">
        <v>1.4084000000000001</v>
      </c>
      <c r="F2655" s="44">
        <v>1.4084000000000001</v>
      </c>
      <c r="G2655" s="44">
        <v>1.4084000000000001</v>
      </c>
      <c r="H2655" s="44">
        <v>1.4084000000000001</v>
      </c>
      <c r="I2655" s="44">
        <v>7.7000000000000002E-3</v>
      </c>
      <c r="J2655" s="44">
        <v>0.55000000000000004</v>
      </c>
      <c r="K2655" s="44">
        <v>0</v>
      </c>
      <c r="L2655" s="44">
        <v>1.4084000000000001</v>
      </c>
      <c r="M2655" s="44">
        <v>229</v>
      </c>
    </row>
    <row r="2656" spans="1:13" x14ac:dyDescent="0.25">
      <c r="A2656" s="45" t="s">
        <v>3563</v>
      </c>
      <c r="B2656" s="44" t="s">
        <v>5737</v>
      </c>
      <c r="C2656" s="47">
        <v>44250</v>
      </c>
      <c r="D2656" s="44">
        <v>202103</v>
      </c>
      <c r="E2656" s="44">
        <v>1.4073</v>
      </c>
      <c r="F2656" s="44">
        <v>1.4079999999999999</v>
      </c>
      <c r="G2656" s="44">
        <v>1.4073</v>
      </c>
      <c r="H2656" s="44">
        <v>1.4079999999999999</v>
      </c>
      <c r="I2656" s="44">
        <v>7.7000000000000002E-3</v>
      </c>
      <c r="J2656" s="44">
        <v>0.55000000000000004</v>
      </c>
      <c r="K2656" s="44">
        <v>204</v>
      </c>
      <c r="L2656" s="44">
        <v>1.4079999999999999</v>
      </c>
      <c r="M2656" s="44">
        <v>206</v>
      </c>
    </row>
    <row r="2657" spans="1:13" x14ac:dyDescent="0.25">
      <c r="A2657" s="45" t="s">
        <v>3564</v>
      </c>
      <c r="B2657" s="44" t="s">
        <v>5738</v>
      </c>
      <c r="C2657" s="47"/>
    </row>
    <row r="2658" spans="1:13" x14ac:dyDescent="0.25">
      <c r="A2658" s="45" t="s">
        <v>3565</v>
      </c>
      <c r="B2658" s="44" t="s">
        <v>5739</v>
      </c>
      <c r="C2658" s="47">
        <v>44250</v>
      </c>
      <c r="D2658" s="44">
        <v>202106</v>
      </c>
      <c r="E2658" s="44">
        <v>1.4084000000000001</v>
      </c>
      <c r="F2658" s="44">
        <v>1.4084000000000001</v>
      </c>
      <c r="G2658" s="44">
        <v>1.4084000000000001</v>
      </c>
      <c r="H2658" s="44">
        <v>1.4084000000000001</v>
      </c>
      <c r="I2658" s="44">
        <v>7.7000000000000002E-3</v>
      </c>
      <c r="J2658" s="44">
        <v>0.55000000000000004</v>
      </c>
      <c r="K2658" s="44">
        <v>0</v>
      </c>
      <c r="L2658" s="44">
        <v>1.4084000000000001</v>
      </c>
      <c r="M2658" s="44">
        <v>229</v>
      </c>
    </row>
    <row r="2659" spans="1:13" x14ac:dyDescent="0.25">
      <c r="A2659" s="45" t="s">
        <v>3566</v>
      </c>
      <c r="B2659" s="44" t="s">
        <v>5740</v>
      </c>
      <c r="C2659" s="47"/>
    </row>
    <row r="2660" spans="1:13" x14ac:dyDescent="0.25">
      <c r="A2660" s="45" t="s">
        <v>3567</v>
      </c>
      <c r="B2660" s="44" t="s">
        <v>5741</v>
      </c>
      <c r="C2660" s="47">
        <v>44250</v>
      </c>
      <c r="D2660" s="44">
        <v>202109</v>
      </c>
      <c r="E2660" s="44">
        <v>1.4086000000000001</v>
      </c>
      <c r="F2660" s="44">
        <v>1.4086000000000001</v>
      </c>
      <c r="G2660" s="44">
        <v>1.4086000000000001</v>
      </c>
      <c r="H2660" s="44">
        <v>1.4086000000000001</v>
      </c>
      <c r="I2660" s="44">
        <v>7.7000000000000002E-3</v>
      </c>
      <c r="J2660" s="44">
        <v>0.55000000000000004</v>
      </c>
      <c r="K2660" s="44">
        <v>0</v>
      </c>
      <c r="L2660" s="44">
        <v>1.4086000000000001</v>
      </c>
      <c r="M2660" s="44">
        <v>0</v>
      </c>
    </row>
    <row r="2661" spans="1:13" x14ac:dyDescent="0.25">
      <c r="A2661" s="45" t="s">
        <v>3568</v>
      </c>
      <c r="B2661" s="44" t="s">
        <v>5742</v>
      </c>
      <c r="C2661" s="47"/>
    </row>
    <row r="2662" spans="1:13" x14ac:dyDescent="0.25">
      <c r="A2662" s="45" t="s">
        <v>3569</v>
      </c>
      <c r="B2662" s="44" t="s">
        <v>5743</v>
      </c>
      <c r="C2662" s="47">
        <v>44250</v>
      </c>
      <c r="D2662" s="44">
        <v>202112</v>
      </c>
      <c r="E2662" s="44">
        <v>1.4117999999999999</v>
      </c>
      <c r="F2662" s="44">
        <v>1.4117999999999999</v>
      </c>
      <c r="G2662" s="44">
        <v>1.4117999999999999</v>
      </c>
      <c r="H2662" s="44">
        <v>1.4117999999999999</v>
      </c>
      <c r="I2662" s="44">
        <v>7.7000000000000002E-3</v>
      </c>
      <c r="J2662" s="44">
        <v>0.55000000000000004</v>
      </c>
      <c r="K2662" s="44">
        <v>0</v>
      </c>
      <c r="L2662" s="44">
        <v>1.4117999999999999</v>
      </c>
      <c r="M2662" s="44">
        <v>0</v>
      </c>
    </row>
    <row r="2663" spans="1:13" x14ac:dyDescent="0.25">
      <c r="A2663" s="45" t="s">
        <v>3570</v>
      </c>
      <c r="B2663" s="44" t="s">
        <v>5744</v>
      </c>
      <c r="C2663" s="47"/>
    </row>
    <row r="2664" spans="1:13" x14ac:dyDescent="0.25">
      <c r="A2664" s="45" t="s">
        <v>3571</v>
      </c>
      <c r="B2664" s="44" t="s">
        <v>5745</v>
      </c>
      <c r="C2664" s="47"/>
    </row>
    <row r="2665" spans="1:13" x14ac:dyDescent="0.25">
      <c r="A2665" s="45" t="s">
        <v>3572</v>
      </c>
      <c r="B2665" s="44" t="s">
        <v>5746</v>
      </c>
      <c r="C2665" s="47"/>
    </row>
    <row r="2666" spans="1:13" x14ac:dyDescent="0.25">
      <c r="A2666" s="45" t="s">
        <v>3573</v>
      </c>
      <c r="B2666" s="44" t="s">
        <v>5747</v>
      </c>
      <c r="C2666" s="47">
        <v>44250</v>
      </c>
      <c r="D2666" s="44">
        <v>202103</v>
      </c>
      <c r="E2666" s="44">
        <v>1.2177</v>
      </c>
      <c r="F2666" s="44">
        <v>1.2183999999999999</v>
      </c>
      <c r="G2666" s="44">
        <v>1.2172000000000001</v>
      </c>
      <c r="H2666" s="44">
        <v>1.2183999999999999</v>
      </c>
      <c r="I2666" s="44">
        <v>5.8999999999999999E-3</v>
      </c>
      <c r="J2666" s="44">
        <v>0.49</v>
      </c>
      <c r="K2666" s="44">
        <v>309</v>
      </c>
      <c r="L2666" s="44">
        <v>1.2183999999999999</v>
      </c>
      <c r="M2666" s="44">
        <v>170</v>
      </c>
    </row>
    <row r="2667" spans="1:13" x14ac:dyDescent="0.25">
      <c r="A2667" s="45" t="s">
        <v>3574</v>
      </c>
      <c r="B2667" s="44" t="s">
        <v>5748</v>
      </c>
      <c r="C2667" s="47">
        <v>44250</v>
      </c>
      <c r="D2667" s="44">
        <v>202103</v>
      </c>
      <c r="E2667" s="44">
        <v>1.2177</v>
      </c>
      <c r="F2667" s="44">
        <v>1.2183999999999999</v>
      </c>
      <c r="G2667" s="44">
        <v>1.2172000000000001</v>
      </c>
      <c r="H2667" s="44">
        <v>1.2183999999999999</v>
      </c>
      <c r="I2667" s="44">
        <v>5.8999999999999999E-3</v>
      </c>
      <c r="J2667" s="44">
        <v>0.49</v>
      </c>
      <c r="K2667" s="44">
        <v>309</v>
      </c>
      <c r="L2667" s="44">
        <v>1.2183999999999999</v>
      </c>
      <c r="M2667" s="44">
        <v>170</v>
      </c>
    </row>
    <row r="2668" spans="1:13" x14ac:dyDescent="0.25">
      <c r="A2668" s="45" t="s">
        <v>3575</v>
      </c>
      <c r="B2668" s="44" t="s">
        <v>5749</v>
      </c>
      <c r="C2668" s="47"/>
    </row>
    <row r="2669" spans="1:13" x14ac:dyDescent="0.25">
      <c r="A2669" s="45" t="s">
        <v>3576</v>
      </c>
      <c r="B2669" s="44" t="s">
        <v>5750</v>
      </c>
      <c r="C2669" s="47">
        <v>44250</v>
      </c>
      <c r="D2669" s="44">
        <v>202106</v>
      </c>
      <c r="E2669" s="44">
        <v>1.22</v>
      </c>
      <c r="F2669" s="44">
        <v>1.2201</v>
      </c>
      <c r="G2669" s="44">
        <v>1.22</v>
      </c>
      <c r="H2669" s="44">
        <v>1.2201</v>
      </c>
      <c r="I2669" s="44">
        <v>5.3E-3</v>
      </c>
      <c r="J2669" s="44">
        <v>0.44</v>
      </c>
      <c r="K2669" s="44">
        <v>50</v>
      </c>
      <c r="L2669" s="44">
        <v>1.2201</v>
      </c>
      <c r="M2669" s="44">
        <v>275</v>
      </c>
    </row>
    <row r="2670" spans="1:13" x14ac:dyDescent="0.25">
      <c r="A2670" s="45" t="s">
        <v>3577</v>
      </c>
      <c r="B2670" s="44" t="s">
        <v>5751</v>
      </c>
      <c r="C2670" s="47">
        <v>44250</v>
      </c>
      <c r="D2670" s="44">
        <v>202106</v>
      </c>
      <c r="E2670" s="44">
        <v>1.22</v>
      </c>
      <c r="F2670" s="44">
        <v>1.2201</v>
      </c>
      <c r="G2670" s="44">
        <v>1.22</v>
      </c>
      <c r="H2670" s="44">
        <v>1.2201</v>
      </c>
      <c r="I2670" s="44">
        <v>5.3E-3</v>
      </c>
      <c r="J2670" s="44">
        <v>0.44</v>
      </c>
      <c r="K2670" s="44">
        <v>50</v>
      </c>
      <c r="L2670" s="44">
        <v>1.2201</v>
      </c>
      <c r="M2670" s="44">
        <v>275</v>
      </c>
    </row>
    <row r="2671" spans="1:13" x14ac:dyDescent="0.25">
      <c r="A2671" s="45" t="s">
        <v>3578</v>
      </c>
      <c r="B2671" s="44" t="s">
        <v>5752</v>
      </c>
      <c r="C2671" s="47">
        <v>44250</v>
      </c>
      <c r="D2671" s="44">
        <v>202103</v>
      </c>
      <c r="E2671" s="44">
        <v>1.2177</v>
      </c>
      <c r="F2671" s="44">
        <v>1.2183999999999999</v>
      </c>
      <c r="G2671" s="44">
        <v>1.2172000000000001</v>
      </c>
      <c r="H2671" s="44">
        <v>1.2183999999999999</v>
      </c>
      <c r="I2671" s="44">
        <v>5.8999999999999999E-3</v>
      </c>
      <c r="J2671" s="44">
        <v>0.49</v>
      </c>
      <c r="K2671" s="44">
        <v>309</v>
      </c>
      <c r="L2671" s="44">
        <v>1.2183999999999999</v>
      </c>
      <c r="M2671" s="44">
        <v>170</v>
      </c>
    </row>
    <row r="2672" spans="1:13" x14ac:dyDescent="0.25">
      <c r="A2672" s="45" t="s">
        <v>3579</v>
      </c>
      <c r="B2672" s="44" t="s">
        <v>5753</v>
      </c>
      <c r="C2672" s="47"/>
    </row>
    <row r="2673" spans="1:13" x14ac:dyDescent="0.25">
      <c r="A2673" s="45" t="s">
        <v>3580</v>
      </c>
      <c r="B2673" s="44" t="s">
        <v>5754</v>
      </c>
      <c r="C2673" s="47">
        <v>44250</v>
      </c>
      <c r="D2673" s="44">
        <v>202106</v>
      </c>
      <c r="E2673" s="44">
        <v>1.22</v>
      </c>
      <c r="F2673" s="44">
        <v>1.2201</v>
      </c>
      <c r="G2673" s="44">
        <v>1.22</v>
      </c>
      <c r="H2673" s="44">
        <v>1.2201</v>
      </c>
      <c r="I2673" s="44">
        <v>5.3E-3</v>
      </c>
      <c r="J2673" s="44">
        <v>0.44</v>
      </c>
      <c r="K2673" s="44">
        <v>50</v>
      </c>
      <c r="L2673" s="44">
        <v>1.2201</v>
      </c>
      <c r="M2673" s="44">
        <v>275</v>
      </c>
    </row>
    <row r="2674" spans="1:13" x14ac:dyDescent="0.25">
      <c r="A2674" s="45" t="s">
        <v>3581</v>
      </c>
      <c r="B2674" s="44" t="s">
        <v>5755</v>
      </c>
      <c r="C2674" s="47"/>
    </row>
    <row r="2675" spans="1:13" x14ac:dyDescent="0.25">
      <c r="A2675" s="45" t="s">
        <v>3582</v>
      </c>
      <c r="B2675" s="44" t="s">
        <v>5756</v>
      </c>
      <c r="C2675" s="47">
        <v>44250</v>
      </c>
      <c r="D2675" s="44">
        <v>202109</v>
      </c>
      <c r="E2675" s="44">
        <v>1.2226999999999999</v>
      </c>
      <c r="F2675" s="44">
        <v>1.2226999999999999</v>
      </c>
      <c r="G2675" s="44">
        <v>1.2226999999999999</v>
      </c>
      <c r="H2675" s="44">
        <v>1.2226999999999999</v>
      </c>
      <c r="I2675" s="44">
        <v>5.8999999999999999E-3</v>
      </c>
      <c r="J2675" s="44">
        <v>0.48</v>
      </c>
      <c r="K2675" s="44">
        <v>0</v>
      </c>
      <c r="L2675" s="44">
        <v>1.2226999999999999</v>
      </c>
      <c r="M2675" s="44">
        <v>0</v>
      </c>
    </row>
    <row r="2676" spans="1:13" x14ac:dyDescent="0.25">
      <c r="A2676" s="45" t="s">
        <v>3583</v>
      </c>
      <c r="B2676" s="44" t="s">
        <v>5757</v>
      </c>
      <c r="C2676" s="47"/>
    </row>
    <row r="2677" spans="1:13" x14ac:dyDescent="0.25">
      <c r="A2677" s="45" t="s">
        <v>3584</v>
      </c>
      <c r="B2677" s="44" t="s">
        <v>5758</v>
      </c>
      <c r="C2677" s="47">
        <v>44250</v>
      </c>
      <c r="D2677" s="44">
        <v>202112</v>
      </c>
      <c r="E2677" s="44">
        <v>1.2273000000000001</v>
      </c>
      <c r="F2677" s="44">
        <v>1.2273000000000001</v>
      </c>
      <c r="G2677" s="44">
        <v>1.2273000000000001</v>
      </c>
      <c r="H2677" s="44">
        <v>1.2273000000000001</v>
      </c>
      <c r="I2677" s="44">
        <v>5.8999999999999999E-3</v>
      </c>
      <c r="J2677" s="44">
        <v>0.48</v>
      </c>
      <c r="K2677" s="44">
        <v>0</v>
      </c>
      <c r="L2677" s="44">
        <v>1.2273000000000001</v>
      </c>
      <c r="M2677" s="44">
        <v>0</v>
      </c>
    </row>
    <row r="2678" spans="1:13" x14ac:dyDescent="0.25">
      <c r="A2678" s="45" t="s">
        <v>3585</v>
      </c>
      <c r="B2678" s="44" t="s">
        <v>5759</v>
      </c>
      <c r="C2678" s="47"/>
    </row>
    <row r="2679" spans="1:13" x14ac:dyDescent="0.25">
      <c r="A2679" s="45" t="s">
        <v>3586</v>
      </c>
      <c r="B2679" s="44" t="s">
        <v>5760</v>
      </c>
      <c r="C2679" s="47"/>
    </row>
    <row r="2680" spans="1:13" x14ac:dyDescent="0.25">
      <c r="A2680" s="45" t="s">
        <v>3587</v>
      </c>
      <c r="B2680" s="44" t="s">
        <v>5761</v>
      </c>
      <c r="C2680" s="47"/>
    </row>
    <row r="2681" spans="1:13" x14ac:dyDescent="0.25">
      <c r="A2681" s="45" t="s">
        <v>3588</v>
      </c>
      <c r="B2681" s="44" t="s">
        <v>5762</v>
      </c>
      <c r="C2681" s="47">
        <v>44250</v>
      </c>
      <c r="D2681" s="44">
        <v>202103</v>
      </c>
      <c r="E2681" s="44">
        <v>13700</v>
      </c>
      <c r="F2681" s="44">
        <v>13930</v>
      </c>
      <c r="G2681" s="44">
        <v>13614</v>
      </c>
      <c r="H2681" s="44">
        <v>13897</v>
      </c>
      <c r="I2681" s="44">
        <v>296</v>
      </c>
      <c r="J2681" s="44">
        <v>2.1800000000000002</v>
      </c>
      <c r="K2681" s="44">
        <v>143</v>
      </c>
      <c r="L2681" s="44">
        <v>13897</v>
      </c>
      <c r="M2681" s="44">
        <v>212</v>
      </c>
    </row>
    <row r="2682" spans="1:13" x14ac:dyDescent="0.25">
      <c r="A2682" s="45" t="s">
        <v>3589</v>
      </c>
      <c r="B2682" s="44" t="s">
        <v>5763</v>
      </c>
      <c r="C2682" s="47">
        <v>44250</v>
      </c>
      <c r="D2682" s="44">
        <v>202103</v>
      </c>
      <c r="E2682" s="44">
        <v>13700</v>
      </c>
      <c r="F2682" s="44">
        <v>13930</v>
      </c>
      <c r="G2682" s="44">
        <v>13614</v>
      </c>
      <c r="H2682" s="44">
        <v>13897</v>
      </c>
      <c r="I2682" s="44">
        <v>296</v>
      </c>
      <c r="J2682" s="44">
        <v>2.1800000000000002</v>
      </c>
      <c r="K2682" s="44">
        <v>143</v>
      </c>
      <c r="L2682" s="44">
        <v>13897</v>
      </c>
      <c r="M2682" s="44">
        <v>212</v>
      </c>
    </row>
    <row r="2683" spans="1:13" x14ac:dyDescent="0.25">
      <c r="A2683" s="45" t="s">
        <v>3590</v>
      </c>
      <c r="B2683" s="44" t="s">
        <v>5764</v>
      </c>
      <c r="C2683" s="47">
        <v>44250</v>
      </c>
      <c r="D2683" s="44">
        <v>202104</v>
      </c>
      <c r="E2683" s="44">
        <v>13753</v>
      </c>
      <c r="F2683" s="44">
        <v>13833</v>
      </c>
      <c r="G2683" s="44">
        <v>13753</v>
      </c>
      <c r="H2683" s="44">
        <v>13795</v>
      </c>
      <c r="I2683" s="44">
        <v>250</v>
      </c>
      <c r="J2683" s="44">
        <v>1.85</v>
      </c>
      <c r="K2683" s="44">
        <v>27</v>
      </c>
      <c r="L2683" s="44">
        <v>13841</v>
      </c>
      <c r="M2683" s="44">
        <v>25</v>
      </c>
    </row>
    <row r="2684" spans="1:13" x14ac:dyDescent="0.25">
      <c r="A2684" s="45" t="s">
        <v>3591</v>
      </c>
      <c r="B2684" s="44" t="s">
        <v>5765</v>
      </c>
      <c r="C2684" s="47">
        <v>44250</v>
      </c>
      <c r="D2684" s="44">
        <v>202104</v>
      </c>
      <c r="E2684" s="44">
        <v>13753</v>
      </c>
      <c r="F2684" s="44">
        <v>13833</v>
      </c>
      <c r="G2684" s="44">
        <v>13753</v>
      </c>
      <c r="H2684" s="44">
        <v>13795</v>
      </c>
      <c r="I2684" s="44">
        <v>250</v>
      </c>
      <c r="J2684" s="44">
        <v>1.85</v>
      </c>
      <c r="K2684" s="44">
        <v>27</v>
      </c>
      <c r="L2684" s="44">
        <v>13841</v>
      </c>
      <c r="M2684" s="44">
        <v>25</v>
      </c>
    </row>
    <row r="2685" spans="1:13" x14ac:dyDescent="0.25">
      <c r="A2685" s="45" t="s">
        <v>3592</v>
      </c>
      <c r="C2685" s="47"/>
    </row>
    <row r="2686" spans="1:13" x14ac:dyDescent="0.25">
      <c r="A2686" s="45" t="s">
        <v>3593</v>
      </c>
      <c r="B2686" s="44" t="s">
        <v>5766</v>
      </c>
      <c r="C2686" s="47">
        <v>44250</v>
      </c>
      <c r="D2686" s="44">
        <v>202103</v>
      </c>
      <c r="E2686" s="44">
        <v>13700</v>
      </c>
      <c r="F2686" s="44">
        <v>13930</v>
      </c>
      <c r="G2686" s="44">
        <v>13614</v>
      </c>
      <c r="H2686" s="44">
        <v>13897</v>
      </c>
      <c r="I2686" s="44">
        <v>296</v>
      </c>
      <c r="J2686" s="44">
        <v>2.1800000000000002</v>
      </c>
      <c r="K2686" s="44">
        <v>143</v>
      </c>
      <c r="L2686" s="44">
        <v>13897</v>
      </c>
      <c r="M2686" s="44">
        <v>212</v>
      </c>
    </row>
    <row r="2687" spans="1:13" x14ac:dyDescent="0.25">
      <c r="A2687" s="45" t="s">
        <v>3594</v>
      </c>
      <c r="B2687" s="44" t="s">
        <v>5767</v>
      </c>
      <c r="C2687" s="47">
        <v>44250</v>
      </c>
      <c r="D2687" s="44">
        <v>202104</v>
      </c>
      <c r="E2687" s="44">
        <v>13753</v>
      </c>
      <c r="F2687" s="44">
        <v>13833</v>
      </c>
      <c r="G2687" s="44">
        <v>13753</v>
      </c>
      <c r="H2687" s="44">
        <v>13795</v>
      </c>
      <c r="I2687" s="44">
        <v>250</v>
      </c>
      <c r="J2687" s="44">
        <v>1.85</v>
      </c>
      <c r="K2687" s="44">
        <v>27</v>
      </c>
      <c r="L2687" s="44">
        <v>13841</v>
      </c>
      <c r="M2687" s="44">
        <v>25</v>
      </c>
    </row>
    <row r="2688" spans="1:13" x14ac:dyDescent="0.25">
      <c r="A2688" s="45" t="s">
        <v>3595</v>
      </c>
      <c r="B2688" s="44" t="s">
        <v>5768</v>
      </c>
      <c r="C2688" s="47">
        <v>44250</v>
      </c>
      <c r="D2688" s="44">
        <v>202106</v>
      </c>
      <c r="E2688" s="44">
        <v>13836</v>
      </c>
      <c r="F2688" s="44">
        <v>13836</v>
      </c>
      <c r="G2688" s="44">
        <v>13836</v>
      </c>
      <c r="H2688" s="44">
        <v>13836</v>
      </c>
      <c r="I2688" s="44">
        <v>296</v>
      </c>
      <c r="J2688" s="44">
        <v>2.19</v>
      </c>
      <c r="K2688" s="44">
        <v>0</v>
      </c>
      <c r="L2688" s="44">
        <v>13836</v>
      </c>
      <c r="M2688" s="44">
        <v>0</v>
      </c>
    </row>
    <row r="2689" spans="1:13" x14ac:dyDescent="0.25">
      <c r="A2689" s="45" t="s">
        <v>3596</v>
      </c>
      <c r="B2689" s="44" t="s">
        <v>5769</v>
      </c>
      <c r="C2689" s="47">
        <v>44250</v>
      </c>
      <c r="D2689" s="44">
        <v>202109</v>
      </c>
      <c r="E2689" s="44">
        <v>13411</v>
      </c>
      <c r="F2689" s="44">
        <v>13411</v>
      </c>
      <c r="G2689" s="44">
        <v>13411</v>
      </c>
      <c r="H2689" s="44">
        <v>13411</v>
      </c>
      <c r="I2689" s="44">
        <v>296</v>
      </c>
      <c r="J2689" s="44">
        <v>2.2599999999999998</v>
      </c>
      <c r="K2689" s="44">
        <v>0</v>
      </c>
      <c r="L2689" s="44">
        <v>13411</v>
      </c>
      <c r="M2689" s="44">
        <v>0</v>
      </c>
    </row>
    <row r="2690" spans="1:13" x14ac:dyDescent="0.25">
      <c r="A2690" s="45" t="s">
        <v>3597</v>
      </c>
      <c r="B2690" s="44" t="s">
        <v>5770</v>
      </c>
      <c r="C2690" s="47">
        <v>44250</v>
      </c>
      <c r="D2690" s="44">
        <v>202112</v>
      </c>
      <c r="E2690" s="44">
        <v>13326</v>
      </c>
      <c r="F2690" s="44">
        <v>13326</v>
      </c>
      <c r="G2690" s="44">
        <v>13326</v>
      </c>
      <c r="H2690" s="44">
        <v>13326</v>
      </c>
      <c r="I2690" s="44">
        <v>296</v>
      </c>
      <c r="J2690" s="44">
        <v>2.27</v>
      </c>
      <c r="K2690" s="44">
        <v>0</v>
      </c>
      <c r="L2690" s="44">
        <v>13326</v>
      </c>
      <c r="M2690" s="44">
        <v>0</v>
      </c>
    </row>
    <row r="2691" spans="1:13" x14ac:dyDescent="0.25">
      <c r="A2691" s="45" t="s">
        <v>3598</v>
      </c>
      <c r="B2691" s="44" t="s">
        <v>5771</v>
      </c>
      <c r="C2691" s="47">
        <v>44250</v>
      </c>
      <c r="D2691" s="44">
        <v>202105</v>
      </c>
      <c r="E2691" s="44">
        <v>13625</v>
      </c>
      <c r="F2691" s="44">
        <v>13625</v>
      </c>
      <c r="G2691" s="44">
        <v>13625</v>
      </c>
      <c r="H2691" s="44">
        <v>13625</v>
      </c>
      <c r="I2691" s="44">
        <v>296</v>
      </c>
      <c r="J2691" s="44">
        <v>2.2200000000000002</v>
      </c>
      <c r="K2691" s="44">
        <v>0</v>
      </c>
      <c r="L2691" s="44">
        <v>13625</v>
      </c>
      <c r="M2691" s="44">
        <v>0</v>
      </c>
    </row>
    <row r="2692" spans="1:13" x14ac:dyDescent="0.25">
      <c r="A2692" s="45" t="s">
        <v>3599</v>
      </c>
      <c r="B2692" s="44" t="s">
        <v>5772</v>
      </c>
      <c r="C2692" s="47">
        <v>44250</v>
      </c>
      <c r="D2692" s="44">
        <v>202105</v>
      </c>
      <c r="E2692" s="44">
        <v>13625</v>
      </c>
      <c r="F2692" s="44">
        <v>13625</v>
      </c>
      <c r="G2692" s="44">
        <v>13625</v>
      </c>
      <c r="H2692" s="44">
        <v>13625</v>
      </c>
      <c r="I2692" s="44">
        <v>296</v>
      </c>
      <c r="J2692" s="44">
        <v>2.2200000000000002</v>
      </c>
      <c r="K2692" s="44">
        <v>0</v>
      </c>
      <c r="L2692" s="44">
        <v>13625</v>
      </c>
      <c r="M2692" s="44">
        <v>0</v>
      </c>
    </row>
    <row r="2693" spans="1:13" x14ac:dyDescent="0.25">
      <c r="A2693" s="45" t="s">
        <v>3600</v>
      </c>
      <c r="B2693" s="44" t="s">
        <v>5773</v>
      </c>
      <c r="C2693" s="47">
        <v>44250</v>
      </c>
      <c r="D2693" s="44">
        <v>202103</v>
      </c>
      <c r="E2693" s="44">
        <v>104.92</v>
      </c>
      <c r="F2693" s="44">
        <v>105.08</v>
      </c>
      <c r="G2693" s="44">
        <v>104.92</v>
      </c>
      <c r="H2693" s="44">
        <v>105.08</v>
      </c>
      <c r="I2693" s="44">
        <v>-0.67</v>
      </c>
      <c r="J2693" s="44">
        <v>-0.63</v>
      </c>
      <c r="K2693" s="44">
        <v>73</v>
      </c>
      <c r="L2693" s="44">
        <v>105.08</v>
      </c>
      <c r="M2693" s="44">
        <v>317</v>
      </c>
    </row>
    <row r="2694" spans="1:13" x14ac:dyDescent="0.25">
      <c r="A2694" s="45" t="s">
        <v>3601</v>
      </c>
      <c r="B2694" s="44" t="s">
        <v>5774</v>
      </c>
      <c r="C2694" s="47">
        <v>44250</v>
      </c>
      <c r="D2694" s="44">
        <v>202103</v>
      </c>
      <c r="E2694" s="44">
        <v>104.92</v>
      </c>
      <c r="F2694" s="44">
        <v>105.08</v>
      </c>
      <c r="G2694" s="44">
        <v>104.92</v>
      </c>
      <c r="H2694" s="44">
        <v>105.08</v>
      </c>
      <c r="I2694" s="44">
        <v>-0.67</v>
      </c>
      <c r="J2694" s="44">
        <v>-0.63</v>
      </c>
      <c r="K2694" s="44">
        <v>73</v>
      </c>
      <c r="L2694" s="44">
        <v>105.08</v>
      </c>
      <c r="M2694" s="44">
        <v>317</v>
      </c>
    </row>
    <row r="2695" spans="1:13" x14ac:dyDescent="0.25">
      <c r="A2695" s="45" t="s">
        <v>3602</v>
      </c>
      <c r="B2695" s="44" t="s">
        <v>5775</v>
      </c>
      <c r="C2695" s="47"/>
    </row>
    <row r="2696" spans="1:13" x14ac:dyDescent="0.25">
      <c r="A2696" s="45" t="s">
        <v>3603</v>
      </c>
      <c r="B2696" s="44" t="s">
        <v>5776</v>
      </c>
      <c r="C2696" s="47">
        <v>44250</v>
      </c>
      <c r="D2696" s="44">
        <v>202106</v>
      </c>
      <c r="E2696" s="44">
        <v>104.97</v>
      </c>
      <c r="F2696" s="44">
        <v>104.97</v>
      </c>
      <c r="G2696" s="44">
        <v>104.97</v>
      </c>
      <c r="H2696" s="44">
        <v>104.97</v>
      </c>
      <c r="I2696" s="44">
        <v>-0.67</v>
      </c>
      <c r="J2696" s="44">
        <v>-0.63</v>
      </c>
      <c r="K2696" s="44">
        <v>0</v>
      </c>
      <c r="L2696" s="44">
        <v>104.97</v>
      </c>
      <c r="M2696" s="44">
        <v>172</v>
      </c>
    </row>
    <row r="2697" spans="1:13" x14ac:dyDescent="0.25">
      <c r="A2697" s="45" t="s">
        <v>3604</v>
      </c>
      <c r="B2697" s="44" t="s">
        <v>5777</v>
      </c>
      <c r="C2697" s="47">
        <v>44250</v>
      </c>
      <c r="D2697" s="44">
        <v>202106</v>
      </c>
      <c r="E2697" s="44">
        <v>104.97</v>
      </c>
      <c r="F2697" s="44">
        <v>104.97</v>
      </c>
      <c r="G2697" s="44">
        <v>104.97</v>
      </c>
      <c r="H2697" s="44">
        <v>104.97</v>
      </c>
      <c r="I2697" s="44">
        <v>-0.67</v>
      </c>
      <c r="J2697" s="44">
        <v>-0.63</v>
      </c>
      <c r="K2697" s="44">
        <v>0</v>
      </c>
      <c r="L2697" s="44">
        <v>104.97</v>
      </c>
      <c r="M2697" s="44">
        <v>172</v>
      </c>
    </row>
    <row r="2698" spans="1:13" x14ac:dyDescent="0.25">
      <c r="A2698" s="45" t="s">
        <v>3605</v>
      </c>
      <c r="B2698" s="44" t="s">
        <v>5778</v>
      </c>
      <c r="C2698" s="47">
        <v>44250</v>
      </c>
      <c r="D2698" s="44">
        <v>202103</v>
      </c>
      <c r="E2698" s="44">
        <v>104.92</v>
      </c>
      <c r="F2698" s="44">
        <v>105.08</v>
      </c>
      <c r="G2698" s="44">
        <v>104.92</v>
      </c>
      <c r="H2698" s="44">
        <v>105.08</v>
      </c>
      <c r="I2698" s="44">
        <v>-0.67</v>
      </c>
      <c r="J2698" s="44">
        <v>-0.63</v>
      </c>
      <c r="K2698" s="44">
        <v>73</v>
      </c>
      <c r="L2698" s="44">
        <v>105.08</v>
      </c>
      <c r="M2698" s="44">
        <v>317</v>
      </c>
    </row>
    <row r="2699" spans="1:13" x14ac:dyDescent="0.25">
      <c r="A2699" s="45" t="s">
        <v>3606</v>
      </c>
      <c r="B2699" s="44" t="s">
        <v>5779</v>
      </c>
      <c r="C2699" s="47"/>
    </row>
    <row r="2700" spans="1:13" x14ac:dyDescent="0.25">
      <c r="A2700" s="45" t="s">
        <v>3607</v>
      </c>
      <c r="B2700" s="44" t="s">
        <v>5780</v>
      </c>
      <c r="C2700" s="47">
        <v>44250</v>
      </c>
      <c r="D2700" s="44">
        <v>202106</v>
      </c>
      <c r="E2700" s="44">
        <v>104.97</v>
      </c>
      <c r="F2700" s="44">
        <v>104.97</v>
      </c>
      <c r="G2700" s="44">
        <v>104.97</v>
      </c>
      <c r="H2700" s="44">
        <v>104.97</v>
      </c>
      <c r="I2700" s="44">
        <v>-0.67</v>
      </c>
      <c r="J2700" s="44">
        <v>-0.63</v>
      </c>
      <c r="K2700" s="44">
        <v>0</v>
      </c>
      <c r="L2700" s="44">
        <v>104.97</v>
      </c>
      <c r="M2700" s="44">
        <v>172</v>
      </c>
    </row>
    <row r="2701" spans="1:13" x14ac:dyDescent="0.25">
      <c r="A2701" s="45" t="s">
        <v>3608</v>
      </c>
      <c r="B2701" s="44" t="s">
        <v>5781</v>
      </c>
      <c r="C2701" s="47"/>
    </row>
    <row r="2702" spans="1:13" x14ac:dyDescent="0.25">
      <c r="A2702" s="45" t="s">
        <v>3609</v>
      </c>
      <c r="B2702" s="44" t="s">
        <v>5782</v>
      </c>
      <c r="C2702" s="47">
        <v>44250</v>
      </c>
      <c r="D2702" s="44">
        <v>202109</v>
      </c>
      <c r="E2702" s="44">
        <v>104.9</v>
      </c>
      <c r="F2702" s="44">
        <v>104.9</v>
      </c>
      <c r="G2702" s="44">
        <v>104.9</v>
      </c>
      <c r="H2702" s="44">
        <v>104.9</v>
      </c>
      <c r="I2702" s="44">
        <v>-0.67</v>
      </c>
      <c r="J2702" s="44">
        <v>-0.63</v>
      </c>
      <c r="K2702" s="44">
        <v>0</v>
      </c>
      <c r="L2702" s="44">
        <v>104.9</v>
      </c>
      <c r="M2702" s="44">
        <v>0</v>
      </c>
    </row>
    <row r="2703" spans="1:13" x14ac:dyDescent="0.25">
      <c r="A2703" s="45" t="s">
        <v>3610</v>
      </c>
      <c r="B2703" s="44" t="s">
        <v>5783</v>
      </c>
      <c r="C2703" s="47"/>
    </row>
    <row r="2704" spans="1:13" x14ac:dyDescent="0.25">
      <c r="A2704" s="45" t="s">
        <v>3611</v>
      </c>
      <c r="B2704" s="44" t="s">
        <v>5784</v>
      </c>
      <c r="C2704" s="47">
        <v>44250</v>
      </c>
      <c r="D2704" s="44">
        <v>202112</v>
      </c>
      <c r="E2704" s="44">
        <v>104.65</v>
      </c>
      <c r="F2704" s="44">
        <v>104.65</v>
      </c>
      <c r="G2704" s="44">
        <v>104.65</v>
      </c>
      <c r="H2704" s="44">
        <v>104.65</v>
      </c>
      <c r="I2704" s="44">
        <v>-0.67</v>
      </c>
      <c r="J2704" s="44">
        <v>-0.64</v>
      </c>
      <c r="K2704" s="44">
        <v>0</v>
      </c>
      <c r="L2704" s="44">
        <v>104.65</v>
      </c>
      <c r="M2704" s="44">
        <v>0</v>
      </c>
    </row>
    <row r="2705" spans="1:3" x14ac:dyDescent="0.25">
      <c r="A2705" s="45" t="s">
        <v>3612</v>
      </c>
      <c r="B2705" s="44" t="s">
        <v>5785</v>
      </c>
      <c r="C2705" s="47"/>
    </row>
    <row r="2706" spans="1:3" x14ac:dyDescent="0.25">
      <c r="A2706" s="45" t="s">
        <v>3613</v>
      </c>
      <c r="B2706" s="44" t="s">
        <v>5786</v>
      </c>
      <c r="C2706" s="47"/>
    </row>
    <row r="2707" spans="1:3" x14ac:dyDescent="0.25">
      <c r="A2707" s="45" t="s">
        <v>3614</v>
      </c>
      <c r="B2707" s="44" t="s">
        <v>5787</v>
      </c>
      <c r="C2707" s="47"/>
    </row>
    <row r="2708" spans="1:3" x14ac:dyDescent="0.25">
      <c r="C2708" s="4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workbookViewId="0">
      <pane xSplit="2" ySplit="3" topLeftCell="C214" activePane="bottomRight" state="frozen"/>
      <selection pane="topRight" activeCell="C1" sqref="C1"/>
      <selection pane="bottomLeft" activeCell="A4" sqref="A4"/>
      <selection pane="bottomRight" activeCell="B234" sqref="B234"/>
    </sheetView>
  </sheetViews>
  <sheetFormatPr defaultRowHeight="20.25" customHeight="1" x14ac:dyDescent="0.25"/>
  <cols>
    <col min="2" max="2" width="37.875" customWidth="1"/>
  </cols>
  <sheetData>
    <row r="1" spans="1:14" ht="20.25" customHeight="1" x14ac:dyDescent="0.25">
      <c r="A1" s="56" t="s">
        <v>36</v>
      </c>
      <c r="B1" s="56"/>
      <c r="C1" s="56"/>
      <c r="D1" s="56"/>
      <c r="E1" s="57"/>
      <c r="F1" s="57"/>
      <c r="G1" s="16"/>
      <c r="H1" s="16"/>
      <c r="I1" s="16"/>
      <c r="J1" s="27"/>
      <c r="K1" s="1"/>
    </row>
    <row r="2" spans="1:14" ht="20.25" customHeight="1" x14ac:dyDescent="0.25">
      <c r="A2" s="58" t="s">
        <v>37</v>
      </c>
      <c r="B2" s="58" t="s">
        <v>38</v>
      </c>
      <c r="C2" s="58" t="s">
        <v>39</v>
      </c>
      <c r="D2" s="58" t="s">
        <v>40</v>
      </c>
      <c r="E2" s="61" t="s">
        <v>41</v>
      </c>
      <c r="F2" s="62"/>
      <c r="G2" s="52" t="s">
        <v>42</v>
      </c>
      <c r="H2" s="53"/>
      <c r="I2" s="53"/>
      <c r="J2" s="63" t="s">
        <v>43</v>
      </c>
      <c r="K2" s="2"/>
    </row>
    <row r="3" spans="1:14" ht="20.25" customHeight="1" x14ac:dyDescent="0.25">
      <c r="A3" s="59"/>
      <c r="B3" s="59"/>
      <c r="C3" s="59"/>
      <c r="D3" s="60"/>
      <c r="E3" s="18" t="s">
        <v>44</v>
      </c>
      <c r="F3" s="19" t="s">
        <v>45</v>
      </c>
      <c r="G3" s="20" t="s">
        <v>46</v>
      </c>
      <c r="H3" s="26" t="s">
        <v>47</v>
      </c>
      <c r="I3" s="26" t="s">
        <v>48</v>
      </c>
      <c r="J3" s="64"/>
      <c r="K3" s="2" t="s">
        <v>817</v>
      </c>
      <c r="L3" t="s">
        <v>820</v>
      </c>
      <c r="M3" t="s">
        <v>822</v>
      </c>
      <c r="N3" t="s">
        <v>827</v>
      </c>
    </row>
    <row r="4" spans="1:14" ht="20.25" customHeight="1" x14ac:dyDescent="0.25">
      <c r="A4" s="33" t="s">
        <v>49</v>
      </c>
      <c r="B4" s="34" t="s">
        <v>50</v>
      </c>
      <c r="C4" s="33">
        <v>1303</v>
      </c>
      <c r="D4" s="34" t="s">
        <v>51</v>
      </c>
      <c r="E4" s="35" t="s">
        <v>52</v>
      </c>
      <c r="F4" s="36" t="s">
        <v>52</v>
      </c>
      <c r="G4" s="23" t="s">
        <v>53</v>
      </c>
      <c r="H4" s="37"/>
      <c r="I4" s="30"/>
      <c r="J4" s="31">
        <v>2000</v>
      </c>
      <c r="K4" s="3" t="str">
        <f t="shared" ref="K4:K67" si="0">IF(LEFT(C4,2)="00","00","")&amp;TEXT(C4,"@")</f>
        <v>1303</v>
      </c>
      <c r="L4" t="str">
        <f>$A4&amp;"F"</f>
        <v>CAF</v>
      </c>
      <c r="M4" s="4">
        <f>$J4</f>
        <v>2000</v>
      </c>
      <c r="N4" t="str">
        <f>D4</f>
        <v>南亞</v>
      </c>
    </row>
    <row r="5" spans="1:14" ht="20.25" customHeight="1" x14ac:dyDescent="0.25">
      <c r="A5" s="33" t="s">
        <v>54</v>
      </c>
      <c r="B5" s="34" t="s">
        <v>55</v>
      </c>
      <c r="C5" s="33">
        <v>2002</v>
      </c>
      <c r="D5" s="34" t="s">
        <v>56</v>
      </c>
      <c r="E5" s="35" t="s">
        <v>52</v>
      </c>
      <c r="F5" s="36" t="s">
        <v>52</v>
      </c>
      <c r="G5" s="23" t="s">
        <v>53</v>
      </c>
      <c r="H5" s="34"/>
      <c r="I5" s="30"/>
      <c r="J5" s="31">
        <v>2000</v>
      </c>
      <c r="K5" s="3" t="str">
        <f t="shared" si="0"/>
        <v>2002</v>
      </c>
      <c r="L5" t="str">
        <f t="shared" ref="L5:L68" si="1">$A5&amp;"F"</f>
        <v>CBF</v>
      </c>
      <c r="M5" s="4">
        <f t="shared" ref="M5:M68" si="2">$J5</f>
        <v>2000</v>
      </c>
      <c r="N5" t="str">
        <f t="shared" ref="N5:N68" si="3">D5</f>
        <v>中鋼</v>
      </c>
    </row>
    <row r="6" spans="1:14" ht="20.25" customHeight="1" x14ac:dyDescent="0.25">
      <c r="A6" s="33" t="s">
        <v>57</v>
      </c>
      <c r="B6" s="34" t="s">
        <v>58</v>
      </c>
      <c r="C6" s="33">
        <v>2303</v>
      </c>
      <c r="D6" s="34" t="s">
        <v>59</v>
      </c>
      <c r="E6" s="35" t="s">
        <v>52</v>
      </c>
      <c r="F6" s="36" t="s">
        <v>52</v>
      </c>
      <c r="G6" s="23" t="s">
        <v>53</v>
      </c>
      <c r="H6" s="34"/>
      <c r="I6" s="30"/>
      <c r="J6" s="31">
        <v>2000</v>
      </c>
      <c r="K6" s="3" t="str">
        <f t="shared" si="0"/>
        <v>2303</v>
      </c>
      <c r="L6" t="str">
        <f t="shared" si="1"/>
        <v>CCF</v>
      </c>
      <c r="M6" s="4">
        <f t="shared" si="2"/>
        <v>2000</v>
      </c>
      <c r="N6" t="str">
        <f t="shared" si="3"/>
        <v>聯電</v>
      </c>
    </row>
    <row r="7" spans="1:14" ht="20.25" customHeight="1" x14ac:dyDescent="0.25">
      <c r="A7" s="33" t="s">
        <v>60</v>
      </c>
      <c r="B7" s="34" t="s">
        <v>61</v>
      </c>
      <c r="C7" s="33">
        <v>2330</v>
      </c>
      <c r="D7" s="34" t="s">
        <v>62</v>
      </c>
      <c r="E7" s="35" t="s">
        <v>52</v>
      </c>
      <c r="F7" s="36" t="s">
        <v>52</v>
      </c>
      <c r="G7" s="23" t="s">
        <v>53</v>
      </c>
      <c r="H7" s="34"/>
      <c r="I7" s="30"/>
      <c r="J7" s="31">
        <v>2000</v>
      </c>
      <c r="K7" s="3" t="str">
        <f t="shared" si="0"/>
        <v>2330</v>
      </c>
      <c r="L7" t="str">
        <f t="shared" si="1"/>
        <v>CDF</v>
      </c>
      <c r="M7" s="4">
        <f t="shared" si="2"/>
        <v>2000</v>
      </c>
      <c r="N7" t="str">
        <f t="shared" si="3"/>
        <v>台積電</v>
      </c>
    </row>
    <row r="8" spans="1:14" ht="20.25" customHeight="1" x14ac:dyDescent="0.25">
      <c r="A8" s="33" t="s">
        <v>63</v>
      </c>
      <c r="B8" s="34" t="s">
        <v>64</v>
      </c>
      <c r="C8" s="33">
        <v>2881</v>
      </c>
      <c r="D8" s="34" t="s">
        <v>65</v>
      </c>
      <c r="E8" s="35" t="s">
        <v>52</v>
      </c>
      <c r="F8" s="36" t="s">
        <v>52</v>
      </c>
      <c r="G8" s="23" t="s">
        <v>53</v>
      </c>
      <c r="H8" s="34"/>
      <c r="I8" s="30"/>
      <c r="J8" s="31">
        <v>2000</v>
      </c>
      <c r="K8" s="3" t="str">
        <f t="shared" si="0"/>
        <v>2881</v>
      </c>
      <c r="L8" t="str">
        <f t="shared" si="1"/>
        <v>CEF</v>
      </c>
      <c r="M8" s="4">
        <f t="shared" si="2"/>
        <v>2000</v>
      </c>
      <c r="N8" t="str">
        <f t="shared" si="3"/>
        <v>富邦金</v>
      </c>
    </row>
    <row r="9" spans="1:14" ht="20.25" customHeight="1" x14ac:dyDescent="0.25">
      <c r="A9" s="33" t="s">
        <v>66</v>
      </c>
      <c r="B9" s="34" t="s">
        <v>67</v>
      </c>
      <c r="C9" s="33">
        <v>1301</v>
      </c>
      <c r="D9" s="34" t="s">
        <v>68</v>
      </c>
      <c r="E9" s="35" t="s">
        <v>52</v>
      </c>
      <c r="F9" s="36" t="s">
        <v>52</v>
      </c>
      <c r="G9" s="23" t="s">
        <v>53</v>
      </c>
      <c r="H9" s="34"/>
      <c r="I9" s="30"/>
      <c r="J9" s="31">
        <v>2000</v>
      </c>
      <c r="K9" s="3" t="str">
        <f t="shared" si="0"/>
        <v>1301</v>
      </c>
      <c r="L9" t="str">
        <f t="shared" si="1"/>
        <v>CFF</v>
      </c>
      <c r="M9" s="4">
        <f t="shared" si="2"/>
        <v>2000</v>
      </c>
      <c r="N9" t="str">
        <f t="shared" si="3"/>
        <v>台塑</v>
      </c>
    </row>
    <row r="10" spans="1:14" ht="20.25" customHeight="1" x14ac:dyDescent="0.25">
      <c r="A10" s="33" t="s">
        <v>69</v>
      </c>
      <c r="B10" s="34" t="s">
        <v>70</v>
      </c>
      <c r="C10" s="33">
        <v>2324</v>
      </c>
      <c r="D10" s="34" t="s">
        <v>71</v>
      </c>
      <c r="E10" s="35" t="s">
        <v>52</v>
      </c>
      <c r="F10" s="36" t="s">
        <v>52</v>
      </c>
      <c r="G10" s="23" t="s">
        <v>53</v>
      </c>
      <c r="H10" s="34"/>
      <c r="I10" s="30"/>
      <c r="J10" s="31">
        <v>2000</v>
      </c>
      <c r="K10" s="3" t="str">
        <f t="shared" si="0"/>
        <v>2324</v>
      </c>
      <c r="L10" t="str">
        <f t="shared" si="1"/>
        <v>CGF</v>
      </c>
      <c r="M10" s="4">
        <f t="shared" si="2"/>
        <v>2000</v>
      </c>
      <c r="N10" t="str">
        <f t="shared" si="3"/>
        <v>仁寶</v>
      </c>
    </row>
    <row r="11" spans="1:14" ht="20.25" customHeight="1" x14ac:dyDescent="0.25">
      <c r="A11" s="21" t="s">
        <v>72</v>
      </c>
      <c r="B11" s="22" t="s">
        <v>73</v>
      </c>
      <c r="C11" s="21">
        <v>2409</v>
      </c>
      <c r="D11" s="22" t="s">
        <v>74</v>
      </c>
      <c r="E11" s="14" t="s">
        <v>52</v>
      </c>
      <c r="F11" s="15" t="s">
        <v>52</v>
      </c>
      <c r="G11" s="23" t="s">
        <v>53</v>
      </c>
      <c r="H11" s="22"/>
      <c r="I11" s="30"/>
      <c r="J11" s="31">
        <v>2000</v>
      </c>
      <c r="K11" s="3" t="str">
        <f t="shared" si="0"/>
        <v>2409</v>
      </c>
      <c r="L11" t="str">
        <f t="shared" si="1"/>
        <v>CHF</v>
      </c>
      <c r="M11" s="4">
        <f t="shared" si="2"/>
        <v>2000</v>
      </c>
      <c r="N11" t="str">
        <f t="shared" si="3"/>
        <v>友達</v>
      </c>
    </row>
    <row r="12" spans="1:14" ht="20.25" customHeight="1" x14ac:dyDescent="0.25">
      <c r="A12" s="21" t="s">
        <v>75</v>
      </c>
      <c r="B12" s="22" t="s">
        <v>76</v>
      </c>
      <c r="C12" s="21">
        <v>2880</v>
      </c>
      <c r="D12" s="22" t="s">
        <v>77</v>
      </c>
      <c r="E12" s="14" t="s">
        <v>52</v>
      </c>
      <c r="F12" s="15" t="s">
        <v>52</v>
      </c>
      <c r="G12" s="23" t="s">
        <v>53</v>
      </c>
      <c r="H12" s="22"/>
      <c r="I12" s="30"/>
      <c r="J12" s="31">
        <v>2000</v>
      </c>
      <c r="K12" s="3" t="str">
        <f t="shared" si="0"/>
        <v>2880</v>
      </c>
      <c r="L12" t="str">
        <f t="shared" si="1"/>
        <v>CJF</v>
      </c>
      <c r="M12" s="4">
        <f t="shared" si="2"/>
        <v>2000</v>
      </c>
      <c r="N12" t="str">
        <f t="shared" si="3"/>
        <v>華南金</v>
      </c>
    </row>
    <row r="13" spans="1:14" ht="20.25" customHeight="1" x14ac:dyDescent="0.25">
      <c r="A13" s="21" t="s">
        <v>78</v>
      </c>
      <c r="B13" s="22" t="s">
        <v>79</v>
      </c>
      <c r="C13" s="21">
        <v>2882</v>
      </c>
      <c r="D13" s="22" t="s">
        <v>80</v>
      </c>
      <c r="E13" s="14" t="s">
        <v>52</v>
      </c>
      <c r="F13" s="15" t="s">
        <v>52</v>
      </c>
      <c r="G13" s="23" t="s">
        <v>53</v>
      </c>
      <c r="H13" s="22"/>
      <c r="I13" s="30"/>
      <c r="J13" s="31">
        <v>2000</v>
      </c>
      <c r="K13" s="3" t="str">
        <f t="shared" si="0"/>
        <v>2882</v>
      </c>
      <c r="L13" t="str">
        <f t="shared" si="1"/>
        <v>CKF</v>
      </c>
      <c r="M13" s="4">
        <f t="shared" si="2"/>
        <v>2000</v>
      </c>
      <c r="N13" t="str">
        <f t="shared" si="3"/>
        <v>國泰金</v>
      </c>
    </row>
    <row r="14" spans="1:14" ht="20.25" customHeight="1" x14ac:dyDescent="0.25">
      <c r="A14" s="21" t="s">
        <v>81</v>
      </c>
      <c r="B14" s="22" t="s">
        <v>82</v>
      </c>
      <c r="C14" s="21">
        <v>2886</v>
      </c>
      <c r="D14" s="22" t="s">
        <v>83</v>
      </c>
      <c r="E14" s="14" t="s">
        <v>52</v>
      </c>
      <c r="F14" s="15" t="s">
        <v>52</v>
      </c>
      <c r="G14" s="23" t="s">
        <v>53</v>
      </c>
      <c r="H14" s="22"/>
      <c r="I14" s="30"/>
      <c r="J14" s="31">
        <v>2000</v>
      </c>
      <c r="K14" s="3" t="str">
        <f t="shared" si="0"/>
        <v>2886</v>
      </c>
      <c r="L14" t="str">
        <f t="shared" si="1"/>
        <v>CLF</v>
      </c>
      <c r="M14" s="4">
        <f t="shared" si="2"/>
        <v>2000</v>
      </c>
      <c r="N14" t="str">
        <f t="shared" si="3"/>
        <v>兆豐金</v>
      </c>
    </row>
    <row r="15" spans="1:14" ht="20.25" customHeight="1" x14ac:dyDescent="0.25">
      <c r="A15" s="21" t="s">
        <v>84</v>
      </c>
      <c r="B15" s="22" t="s">
        <v>85</v>
      </c>
      <c r="C15" s="21">
        <v>2887</v>
      </c>
      <c r="D15" s="22" t="s">
        <v>86</v>
      </c>
      <c r="E15" s="14" t="s">
        <v>52</v>
      </c>
      <c r="F15" s="15" t="s">
        <v>52</v>
      </c>
      <c r="G15" s="23" t="s">
        <v>53</v>
      </c>
      <c r="H15" s="22"/>
      <c r="I15" s="30"/>
      <c r="J15" s="31">
        <v>2000</v>
      </c>
      <c r="K15" s="3" t="str">
        <f t="shared" si="0"/>
        <v>2887</v>
      </c>
      <c r="L15" t="str">
        <f t="shared" si="1"/>
        <v>CMF</v>
      </c>
      <c r="M15" s="4">
        <f t="shared" si="2"/>
        <v>2000</v>
      </c>
      <c r="N15" t="str">
        <f t="shared" si="3"/>
        <v>台新金</v>
      </c>
    </row>
    <row r="16" spans="1:14" ht="20.25" customHeight="1" x14ac:dyDescent="0.25">
      <c r="A16" s="21" t="s">
        <v>87</v>
      </c>
      <c r="B16" s="22" t="s">
        <v>88</v>
      </c>
      <c r="C16" s="21">
        <v>2891</v>
      </c>
      <c r="D16" s="22" t="s">
        <v>89</v>
      </c>
      <c r="E16" s="14" t="s">
        <v>52</v>
      </c>
      <c r="F16" s="15" t="s">
        <v>52</v>
      </c>
      <c r="G16" s="23" t="s">
        <v>53</v>
      </c>
      <c r="H16" s="22"/>
      <c r="I16" s="30"/>
      <c r="J16" s="31">
        <v>2000</v>
      </c>
      <c r="K16" s="3" t="str">
        <f t="shared" si="0"/>
        <v>2891</v>
      </c>
      <c r="L16" t="str">
        <f t="shared" si="1"/>
        <v>CNF</v>
      </c>
      <c r="M16" s="4">
        <f t="shared" si="2"/>
        <v>2000</v>
      </c>
      <c r="N16" t="str">
        <f t="shared" si="3"/>
        <v>中信金</v>
      </c>
    </row>
    <row r="17" spans="1:14" ht="20.25" customHeight="1" x14ac:dyDescent="0.25">
      <c r="A17" s="21" t="s">
        <v>90</v>
      </c>
      <c r="B17" s="22" t="s">
        <v>91</v>
      </c>
      <c r="C17" s="21">
        <v>1216</v>
      </c>
      <c r="D17" s="22" t="s">
        <v>92</v>
      </c>
      <c r="E17" s="14" t="s">
        <v>52</v>
      </c>
      <c r="F17" s="15" t="s">
        <v>52</v>
      </c>
      <c r="G17" s="23" t="s">
        <v>53</v>
      </c>
      <c r="H17" s="22"/>
      <c r="I17" s="30"/>
      <c r="J17" s="31">
        <v>2000</v>
      </c>
      <c r="K17" s="3" t="str">
        <f t="shared" si="0"/>
        <v>1216</v>
      </c>
      <c r="L17" t="str">
        <f t="shared" si="1"/>
        <v>CQF</v>
      </c>
      <c r="M17" s="4">
        <f t="shared" si="2"/>
        <v>2000</v>
      </c>
      <c r="N17" t="str">
        <f t="shared" si="3"/>
        <v>統一</v>
      </c>
    </row>
    <row r="18" spans="1:14" ht="20.25" customHeight="1" x14ac:dyDescent="0.25">
      <c r="A18" s="21" t="s">
        <v>93</v>
      </c>
      <c r="B18" s="22" t="s">
        <v>94</v>
      </c>
      <c r="C18" s="21">
        <v>1402</v>
      </c>
      <c r="D18" s="22" t="s">
        <v>95</v>
      </c>
      <c r="E18" s="14" t="s">
        <v>52</v>
      </c>
      <c r="F18" s="15" t="s">
        <v>52</v>
      </c>
      <c r="G18" s="23" t="s">
        <v>53</v>
      </c>
      <c r="H18" s="22"/>
      <c r="I18" s="30"/>
      <c r="J18" s="31">
        <v>2000</v>
      </c>
      <c r="K18" s="3" t="str">
        <f t="shared" si="0"/>
        <v>1402</v>
      </c>
      <c r="L18" t="str">
        <f t="shared" si="1"/>
        <v>CRF</v>
      </c>
      <c r="M18" s="4">
        <f t="shared" si="2"/>
        <v>2000</v>
      </c>
      <c r="N18" t="str">
        <f t="shared" si="3"/>
        <v>遠東新</v>
      </c>
    </row>
    <row r="19" spans="1:14" ht="20.25" customHeight="1" x14ac:dyDescent="0.25">
      <c r="A19" s="21" t="s">
        <v>96</v>
      </c>
      <c r="B19" s="22" t="s">
        <v>97</v>
      </c>
      <c r="C19" s="21">
        <v>1605</v>
      </c>
      <c r="D19" s="22" t="s">
        <v>98</v>
      </c>
      <c r="E19" s="14" t="s">
        <v>52</v>
      </c>
      <c r="F19" s="15" t="s">
        <v>52</v>
      </c>
      <c r="G19" s="23" t="s">
        <v>53</v>
      </c>
      <c r="H19" s="22"/>
      <c r="I19" s="30"/>
      <c r="J19" s="31">
        <v>2000</v>
      </c>
      <c r="K19" s="3" t="str">
        <f t="shared" si="0"/>
        <v>1605</v>
      </c>
      <c r="L19" t="str">
        <f t="shared" si="1"/>
        <v>CSF</v>
      </c>
      <c r="M19" s="4">
        <f t="shared" si="2"/>
        <v>2000</v>
      </c>
      <c r="N19" t="str">
        <f t="shared" si="3"/>
        <v>華新</v>
      </c>
    </row>
    <row r="20" spans="1:14" ht="20.25" customHeight="1" x14ac:dyDescent="0.25">
      <c r="A20" s="21" t="s">
        <v>99</v>
      </c>
      <c r="B20" s="22" t="s">
        <v>100</v>
      </c>
      <c r="C20" s="21">
        <v>2323</v>
      </c>
      <c r="D20" s="22" t="s">
        <v>101</v>
      </c>
      <c r="E20" s="14" t="s">
        <v>52</v>
      </c>
      <c r="F20" s="15"/>
      <c r="G20" s="23" t="s">
        <v>53</v>
      </c>
      <c r="H20" s="22"/>
      <c r="I20" s="30"/>
      <c r="J20" s="31">
        <v>2000</v>
      </c>
      <c r="K20" s="3" t="str">
        <f t="shared" si="0"/>
        <v>2323</v>
      </c>
      <c r="L20" t="str">
        <f t="shared" si="1"/>
        <v>CUF</v>
      </c>
      <c r="M20" s="4">
        <f t="shared" si="2"/>
        <v>2000</v>
      </c>
      <c r="N20" t="str">
        <f t="shared" si="3"/>
        <v>中環</v>
      </c>
    </row>
    <row r="21" spans="1:14" ht="20.25" customHeight="1" x14ac:dyDescent="0.25">
      <c r="A21" s="21" t="s">
        <v>102</v>
      </c>
      <c r="B21" s="22" t="s">
        <v>103</v>
      </c>
      <c r="C21" s="21">
        <v>2352</v>
      </c>
      <c r="D21" s="22" t="s">
        <v>104</v>
      </c>
      <c r="E21" s="14" t="s">
        <v>52</v>
      </c>
      <c r="F21" s="15"/>
      <c r="G21" s="23" t="s">
        <v>53</v>
      </c>
      <c r="H21" s="22"/>
      <c r="I21" s="30"/>
      <c r="J21" s="31">
        <v>2000</v>
      </c>
      <c r="K21" s="3" t="str">
        <f t="shared" si="0"/>
        <v>2352</v>
      </c>
      <c r="L21" t="str">
        <f t="shared" si="1"/>
        <v>CWF</v>
      </c>
      <c r="M21" s="4">
        <f t="shared" si="2"/>
        <v>2000</v>
      </c>
      <c r="N21" t="str">
        <f t="shared" si="3"/>
        <v>佳世達</v>
      </c>
    </row>
    <row r="22" spans="1:14" ht="20.25" customHeight="1" x14ac:dyDescent="0.25">
      <c r="A22" s="21" t="s">
        <v>105</v>
      </c>
      <c r="B22" s="22" t="s">
        <v>106</v>
      </c>
      <c r="C22" s="21">
        <v>2371</v>
      </c>
      <c r="D22" s="22" t="s">
        <v>107</v>
      </c>
      <c r="E22" s="14" t="s">
        <v>52</v>
      </c>
      <c r="F22" s="15" t="s">
        <v>52</v>
      </c>
      <c r="G22" s="23" t="s">
        <v>53</v>
      </c>
      <c r="H22" s="22"/>
      <c r="I22" s="30"/>
      <c r="J22" s="31">
        <v>2000</v>
      </c>
      <c r="K22" s="3" t="str">
        <f t="shared" si="0"/>
        <v>2371</v>
      </c>
      <c r="L22" t="str">
        <f t="shared" si="1"/>
        <v>CXF</v>
      </c>
      <c r="M22" s="4">
        <f t="shared" si="2"/>
        <v>2000</v>
      </c>
      <c r="N22" t="str">
        <f t="shared" si="3"/>
        <v>大同</v>
      </c>
    </row>
    <row r="23" spans="1:14" ht="20.25" customHeight="1" x14ac:dyDescent="0.25">
      <c r="A23" s="21" t="s">
        <v>108</v>
      </c>
      <c r="B23" s="22" t="s">
        <v>109</v>
      </c>
      <c r="C23" s="21">
        <v>2408</v>
      </c>
      <c r="D23" s="22" t="s">
        <v>110</v>
      </c>
      <c r="E23" s="14" t="s">
        <v>52</v>
      </c>
      <c r="F23" s="15"/>
      <c r="G23" s="23" t="s">
        <v>53</v>
      </c>
      <c r="H23" s="22"/>
      <c r="I23" s="30"/>
      <c r="J23" s="31">
        <v>2000</v>
      </c>
      <c r="K23" s="3" t="str">
        <f t="shared" si="0"/>
        <v>2408</v>
      </c>
      <c r="L23" t="str">
        <f t="shared" si="1"/>
        <v>CYF</v>
      </c>
      <c r="M23" s="4">
        <f t="shared" si="2"/>
        <v>2000</v>
      </c>
      <c r="N23" t="str">
        <f t="shared" si="3"/>
        <v>南亞科</v>
      </c>
    </row>
    <row r="24" spans="1:14" ht="20.25" customHeight="1" x14ac:dyDescent="0.25">
      <c r="A24" s="21" t="s">
        <v>111</v>
      </c>
      <c r="B24" s="22" t="s">
        <v>112</v>
      </c>
      <c r="C24" s="21">
        <v>2603</v>
      </c>
      <c r="D24" s="22" t="s">
        <v>113</v>
      </c>
      <c r="E24" s="14" t="s">
        <v>52</v>
      </c>
      <c r="F24" s="15" t="s">
        <v>52</v>
      </c>
      <c r="G24" s="23" t="s">
        <v>53</v>
      </c>
      <c r="H24" s="22"/>
      <c r="I24" s="30"/>
      <c r="J24" s="31">
        <v>2000</v>
      </c>
      <c r="K24" s="3" t="str">
        <f t="shared" si="0"/>
        <v>2603</v>
      </c>
      <c r="L24" t="str">
        <f t="shared" si="1"/>
        <v>CZF</v>
      </c>
      <c r="M24" s="4">
        <f t="shared" si="2"/>
        <v>2000</v>
      </c>
      <c r="N24" t="str">
        <f t="shared" si="3"/>
        <v>長榮</v>
      </c>
    </row>
    <row r="25" spans="1:14" ht="20.25" customHeight="1" x14ac:dyDescent="0.25">
      <c r="A25" s="21" t="s">
        <v>114</v>
      </c>
      <c r="B25" s="22" t="s">
        <v>115</v>
      </c>
      <c r="C25" s="21">
        <v>2801</v>
      </c>
      <c r="D25" s="22" t="s">
        <v>116</v>
      </c>
      <c r="E25" s="14" t="s">
        <v>52</v>
      </c>
      <c r="F25" s="15" t="s">
        <v>52</v>
      </c>
      <c r="G25" s="23" t="s">
        <v>53</v>
      </c>
      <c r="H25" s="22"/>
      <c r="I25" s="30"/>
      <c r="J25" s="31">
        <v>2000</v>
      </c>
      <c r="K25" s="3" t="str">
        <f t="shared" si="0"/>
        <v>2801</v>
      </c>
      <c r="L25" t="str">
        <f t="shared" si="1"/>
        <v>DCF</v>
      </c>
      <c r="M25" s="4">
        <f t="shared" si="2"/>
        <v>2000</v>
      </c>
      <c r="N25" t="str">
        <f t="shared" si="3"/>
        <v>彰銀</v>
      </c>
    </row>
    <row r="26" spans="1:14" ht="20.25" customHeight="1" x14ac:dyDescent="0.25">
      <c r="A26" s="21" t="s">
        <v>117</v>
      </c>
      <c r="B26" s="22" t="s">
        <v>118</v>
      </c>
      <c r="C26" s="21">
        <v>2888</v>
      </c>
      <c r="D26" s="22" t="s">
        <v>119</v>
      </c>
      <c r="E26" s="14" t="s">
        <v>52</v>
      </c>
      <c r="F26" s="15"/>
      <c r="G26" s="23" t="s">
        <v>53</v>
      </c>
      <c r="H26" s="22"/>
      <c r="I26" s="30"/>
      <c r="J26" s="31">
        <v>2000</v>
      </c>
      <c r="K26" s="3" t="str">
        <f t="shared" si="0"/>
        <v>2888</v>
      </c>
      <c r="L26" t="str">
        <f t="shared" si="1"/>
        <v>DDF</v>
      </c>
      <c r="M26" s="4">
        <f t="shared" si="2"/>
        <v>2000</v>
      </c>
      <c r="N26" t="str">
        <f t="shared" si="3"/>
        <v>新光金</v>
      </c>
    </row>
    <row r="27" spans="1:14" ht="20.25" customHeight="1" x14ac:dyDescent="0.25">
      <c r="A27" s="21" t="s">
        <v>120</v>
      </c>
      <c r="B27" s="22" t="s">
        <v>121</v>
      </c>
      <c r="C27" s="21">
        <v>2890</v>
      </c>
      <c r="D27" s="22" t="s">
        <v>122</v>
      </c>
      <c r="E27" s="14" t="s">
        <v>52</v>
      </c>
      <c r="F27" s="15" t="s">
        <v>52</v>
      </c>
      <c r="G27" s="23" t="s">
        <v>53</v>
      </c>
      <c r="H27" s="22"/>
      <c r="I27" s="30"/>
      <c r="J27" s="31">
        <v>2000</v>
      </c>
      <c r="K27" s="3" t="str">
        <f t="shared" si="0"/>
        <v>2890</v>
      </c>
      <c r="L27" t="str">
        <f t="shared" si="1"/>
        <v>DEF</v>
      </c>
      <c r="M27" s="4">
        <f t="shared" si="2"/>
        <v>2000</v>
      </c>
      <c r="N27" t="str">
        <f t="shared" si="3"/>
        <v>永豐金</v>
      </c>
    </row>
    <row r="28" spans="1:14" ht="20.25" customHeight="1" x14ac:dyDescent="0.25">
      <c r="A28" s="21" t="s">
        <v>123</v>
      </c>
      <c r="B28" s="22" t="s">
        <v>124</v>
      </c>
      <c r="C28" s="21">
        <v>1101</v>
      </c>
      <c r="D28" s="22" t="s">
        <v>125</v>
      </c>
      <c r="E28" s="14" t="s">
        <v>52</v>
      </c>
      <c r="F28" s="15" t="s">
        <v>52</v>
      </c>
      <c r="G28" s="23" t="s">
        <v>53</v>
      </c>
      <c r="H28" s="22"/>
      <c r="I28" s="30"/>
      <c r="J28" s="31">
        <v>2000</v>
      </c>
      <c r="K28" s="3" t="str">
        <f t="shared" si="0"/>
        <v>1101</v>
      </c>
      <c r="L28" t="str">
        <f t="shared" si="1"/>
        <v>DFF</v>
      </c>
      <c r="M28" s="4">
        <f t="shared" si="2"/>
        <v>2000</v>
      </c>
      <c r="N28" t="str">
        <f t="shared" si="3"/>
        <v>台泥</v>
      </c>
    </row>
    <row r="29" spans="1:14" ht="20.25" customHeight="1" x14ac:dyDescent="0.25">
      <c r="A29" s="21" t="s">
        <v>126</v>
      </c>
      <c r="B29" s="22" t="s">
        <v>127</v>
      </c>
      <c r="C29" s="21">
        <v>1326</v>
      </c>
      <c r="D29" s="22" t="s">
        <v>128</v>
      </c>
      <c r="E29" s="14" t="s">
        <v>52</v>
      </c>
      <c r="F29" s="15" t="s">
        <v>52</v>
      </c>
      <c r="G29" s="23" t="s">
        <v>53</v>
      </c>
      <c r="H29" s="22"/>
      <c r="I29" s="30"/>
      <c r="J29" s="31">
        <v>2000</v>
      </c>
      <c r="K29" s="3" t="str">
        <f t="shared" si="0"/>
        <v>1326</v>
      </c>
      <c r="L29" t="str">
        <f t="shared" si="1"/>
        <v>DGF</v>
      </c>
      <c r="M29" s="4">
        <f t="shared" si="2"/>
        <v>2000</v>
      </c>
      <c r="N29" t="str">
        <f t="shared" si="3"/>
        <v>台化</v>
      </c>
    </row>
    <row r="30" spans="1:14" ht="20.25" customHeight="1" x14ac:dyDescent="0.25">
      <c r="A30" s="21" t="s">
        <v>129</v>
      </c>
      <c r="B30" s="22" t="s">
        <v>130</v>
      </c>
      <c r="C30" s="21">
        <v>2317</v>
      </c>
      <c r="D30" s="22" t="s">
        <v>131</v>
      </c>
      <c r="E30" s="14" t="s">
        <v>52</v>
      </c>
      <c r="F30" s="15" t="s">
        <v>52</v>
      </c>
      <c r="G30" s="23" t="s">
        <v>53</v>
      </c>
      <c r="H30" s="22"/>
      <c r="I30" s="30"/>
      <c r="J30" s="31">
        <v>2000</v>
      </c>
      <c r="K30" s="3" t="str">
        <f t="shared" si="0"/>
        <v>2317</v>
      </c>
      <c r="L30" t="str">
        <f t="shared" si="1"/>
        <v>DHF</v>
      </c>
      <c r="M30" s="4">
        <f t="shared" si="2"/>
        <v>2000</v>
      </c>
      <c r="N30" t="str">
        <f t="shared" si="3"/>
        <v>鴻海</v>
      </c>
    </row>
    <row r="31" spans="1:14" ht="20.25" customHeight="1" x14ac:dyDescent="0.25">
      <c r="A31" s="21" t="s">
        <v>132</v>
      </c>
      <c r="B31" s="22" t="s">
        <v>133</v>
      </c>
      <c r="C31" s="21">
        <v>2337</v>
      </c>
      <c r="D31" s="22" t="s">
        <v>134</v>
      </c>
      <c r="E31" s="14" t="s">
        <v>52</v>
      </c>
      <c r="F31" s="15"/>
      <c r="G31" s="23" t="s">
        <v>53</v>
      </c>
      <c r="H31" s="22"/>
      <c r="I31" s="30"/>
      <c r="J31" s="31">
        <v>2000</v>
      </c>
      <c r="K31" s="3" t="str">
        <f t="shared" si="0"/>
        <v>2337</v>
      </c>
      <c r="L31" t="str">
        <f t="shared" si="1"/>
        <v>DIF</v>
      </c>
      <c r="M31" s="4">
        <f t="shared" si="2"/>
        <v>2000</v>
      </c>
      <c r="N31" t="str">
        <f t="shared" si="3"/>
        <v>旺宏</v>
      </c>
    </row>
    <row r="32" spans="1:14" ht="20.25" customHeight="1" x14ac:dyDescent="0.25">
      <c r="A32" s="21" t="s">
        <v>135</v>
      </c>
      <c r="B32" s="22" t="s">
        <v>136</v>
      </c>
      <c r="C32" s="21">
        <v>2357</v>
      </c>
      <c r="D32" s="22" t="s">
        <v>137</v>
      </c>
      <c r="E32" s="14" t="s">
        <v>52</v>
      </c>
      <c r="F32" s="15" t="s">
        <v>52</v>
      </c>
      <c r="G32" s="23" t="s">
        <v>53</v>
      </c>
      <c r="H32" s="22"/>
      <c r="I32" s="30"/>
      <c r="J32" s="31">
        <v>2000</v>
      </c>
      <c r="K32" s="3" t="str">
        <f t="shared" si="0"/>
        <v>2357</v>
      </c>
      <c r="L32" t="str">
        <f t="shared" si="1"/>
        <v>DJF</v>
      </c>
      <c r="M32" s="4">
        <f t="shared" si="2"/>
        <v>2000</v>
      </c>
      <c r="N32" t="str">
        <f t="shared" si="3"/>
        <v>華碩</v>
      </c>
    </row>
    <row r="33" spans="1:14" ht="20.25" customHeight="1" x14ac:dyDescent="0.25">
      <c r="A33" s="21" t="s">
        <v>138</v>
      </c>
      <c r="B33" s="22" t="s">
        <v>139</v>
      </c>
      <c r="C33" s="21">
        <v>2382</v>
      </c>
      <c r="D33" s="22" t="s">
        <v>140</v>
      </c>
      <c r="E33" s="14" t="s">
        <v>52</v>
      </c>
      <c r="F33" s="15" t="s">
        <v>52</v>
      </c>
      <c r="G33" s="23" t="s">
        <v>53</v>
      </c>
      <c r="H33" s="22"/>
      <c r="I33" s="30"/>
      <c r="J33" s="31">
        <v>2000</v>
      </c>
      <c r="K33" s="3" t="str">
        <f t="shared" si="0"/>
        <v>2382</v>
      </c>
      <c r="L33" t="str">
        <f t="shared" si="1"/>
        <v>DKF</v>
      </c>
      <c r="M33" s="4">
        <f t="shared" si="2"/>
        <v>2000</v>
      </c>
      <c r="N33" t="str">
        <f t="shared" si="3"/>
        <v>廣達</v>
      </c>
    </row>
    <row r="34" spans="1:14" ht="20.25" customHeight="1" x14ac:dyDescent="0.25">
      <c r="A34" s="21" t="s">
        <v>141</v>
      </c>
      <c r="B34" s="22" t="s">
        <v>142</v>
      </c>
      <c r="C34" s="21">
        <v>2412</v>
      </c>
      <c r="D34" s="22" t="s">
        <v>143</v>
      </c>
      <c r="E34" s="14" t="s">
        <v>52</v>
      </c>
      <c r="F34" s="15" t="s">
        <v>52</v>
      </c>
      <c r="G34" s="23" t="s">
        <v>53</v>
      </c>
      <c r="H34" s="22"/>
      <c r="I34" s="30"/>
      <c r="J34" s="31">
        <v>2000</v>
      </c>
      <c r="K34" s="3" t="str">
        <f t="shared" si="0"/>
        <v>2412</v>
      </c>
      <c r="L34" t="str">
        <f t="shared" si="1"/>
        <v>DLF</v>
      </c>
      <c r="M34" s="4">
        <f t="shared" si="2"/>
        <v>2000</v>
      </c>
      <c r="N34" t="str">
        <f t="shared" si="3"/>
        <v>中華電</v>
      </c>
    </row>
    <row r="35" spans="1:14" ht="20.25" customHeight="1" x14ac:dyDescent="0.25">
      <c r="A35" s="21" t="s">
        <v>144</v>
      </c>
      <c r="B35" s="22" t="s">
        <v>145</v>
      </c>
      <c r="C35" s="21">
        <v>2884</v>
      </c>
      <c r="D35" s="22" t="s">
        <v>146</v>
      </c>
      <c r="E35" s="14" t="s">
        <v>52</v>
      </c>
      <c r="F35" s="15" t="s">
        <v>52</v>
      </c>
      <c r="G35" s="23" t="s">
        <v>53</v>
      </c>
      <c r="H35" s="22"/>
      <c r="I35" s="30"/>
      <c r="J35" s="31">
        <v>2000</v>
      </c>
      <c r="K35" s="3" t="str">
        <f t="shared" si="0"/>
        <v>2884</v>
      </c>
      <c r="L35" t="str">
        <f t="shared" si="1"/>
        <v>DNF</v>
      </c>
      <c r="M35" s="4">
        <f t="shared" si="2"/>
        <v>2000</v>
      </c>
      <c r="N35" t="str">
        <f t="shared" si="3"/>
        <v>玉山金</v>
      </c>
    </row>
    <row r="36" spans="1:14" ht="20.25" customHeight="1" x14ac:dyDescent="0.25">
      <c r="A36" s="21" t="s">
        <v>147</v>
      </c>
      <c r="B36" s="22" t="s">
        <v>148</v>
      </c>
      <c r="C36" s="21">
        <v>2885</v>
      </c>
      <c r="D36" s="22" t="s">
        <v>149</v>
      </c>
      <c r="E36" s="14" t="s">
        <v>52</v>
      </c>
      <c r="F36" s="15" t="s">
        <v>52</v>
      </c>
      <c r="G36" s="23" t="s">
        <v>53</v>
      </c>
      <c r="H36" s="22"/>
      <c r="I36" s="30"/>
      <c r="J36" s="31">
        <v>2000</v>
      </c>
      <c r="K36" s="3" t="str">
        <f t="shared" si="0"/>
        <v>2885</v>
      </c>
      <c r="L36" t="str">
        <f t="shared" si="1"/>
        <v>DOF</v>
      </c>
      <c r="M36" s="4">
        <f t="shared" si="2"/>
        <v>2000</v>
      </c>
      <c r="N36" t="str">
        <f t="shared" si="3"/>
        <v>元大金</v>
      </c>
    </row>
    <row r="37" spans="1:14" ht="20.25" customHeight="1" x14ac:dyDescent="0.25">
      <c r="A37" s="21" t="s">
        <v>150</v>
      </c>
      <c r="B37" s="22" t="s">
        <v>151</v>
      </c>
      <c r="C37" s="21">
        <v>2892</v>
      </c>
      <c r="D37" s="22" t="s">
        <v>152</v>
      </c>
      <c r="E37" s="14" t="s">
        <v>52</v>
      </c>
      <c r="F37" s="15" t="s">
        <v>52</v>
      </c>
      <c r="G37" s="23" t="s">
        <v>53</v>
      </c>
      <c r="H37" s="22"/>
      <c r="I37" s="30"/>
      <c r="J37" s="31">
        <v>2000</v>
      </c>
      <c r="K37" s="3" t="str">
        <f t="shared" si="0"/>
        <v>2892</v>
      </c>
      <c r="L37" t="str">
        <f t="shared" si="1"/>
        <v>DPF</v>
      </c>
      <c r="M37" s="4">
        <f t="shared" si="2"/>
        <v>2000</v>
      </c>
      <c r="N37" t="str">
        <f t="shared" si="3"/>
        <v>第一金</v>
      </c>
    </row>
    <row r="38" spans="1:14" ht="20.25" customHeight="1" x14ac:dyDescent="0.25">
      <c r="A38" s="21" t="s">
        <v>153</v>
      </c>
      <c r="B38" s="22" t="s">
        <v>154</v>
      </c>
      <c r="C38" s="21">
        <v>3481</v>
      </c>
      <c r="D38" s="22" t="s">
        <v>155</v>
      </c>
      <c r="E38" s="14" t="s">
        <v>52</v>
      </c>
      <c r="F38" s="15" t="s">
        <v>52</v>
      </c>
      <c r="G38" s="23" t="s">
        <v>53</v>
      </c>
      <c r="H38" s="22"/>
      <c r="I38" s="30"/>
      <c r="J38" s="31">
        <v>2000</v>
      </c>
      <c r="K38" s="3" t="str">
        <f t="shared" si="0"/>
        <v>3481</v>
      </c>
      <c r="L38" t="str">
        <f t="shared" si="1"/>
        <v>DQF</v>
      </c>
      <c r="M38" s="4">
        <f t="shared" si="2"/>
        <v>2000</v>
      </c>
      <c r="N38" t="str">
        <f t="shared" si="3"/>
        <v>群創</v>
      </c>
    </row>
    <row r="39" spans="1:14" ht="20.25" customHeight="1" x14ac:dyDescent="0.25">
      <c r="A39" s="21" t="s">
        <v>156</v>
      </c>
      <c r="B39" s="22" t="s">
        <v>157</v>
      </c>
      <c r="C39" s="21">
        <v>2353</v>
      </c>
      <c r="D39" s="22" t="s">
        <v>158</v>
      </c>
      <c r="E39" s="14" t="s">
        <v>52</v>
      </c>
      <c r="F39" s="15" t="s">
        <v>52</v>
      </c>
      <c r="G39" s="23" t="s">
        <v>53</v>
      </c>
      <c r="H39" s="22"/>
      <c r="I39" s="30"/>
      <c r="J39" s="31">
        <v>2000</v>
      </c>
      <c r="K39" s="3" t="str">
        <f t="shared" si="0"/>
        <v>2353</v>
      </c>
      <c r="L39" t="str">
        <f t="shared" si="1"/>
        <v>DSF</v>
      </c>
      <c r="M39" s="4">
        <f t="shared" si="2"/>
        <v>2000</v>
      </c>
      <c r="N39" t="str">
        <f t="shared" si="3"/>
        <v>宏碁</v>
      </c>
    </row>
    <row r="40" spans="1:14" ht="20.25" customHeight="1" x14ac:dyDescent="0.25">
      <c r="A40" s="21" t="s">
        <v>159</v>
      </c>
      <c r="B40" s="22" t="s">
        <v>160</v>
      </c>
      <c r="C40" s="21">
        <v>2454</v>
      </c>
      <c r="D40" s="22" t="s">
        <v>161</v>
      </c>
      <c r="E40" s="14" t="s">
        <v>52</v>
      </c>
      <c r="F40" s="15" t="s">
        <v>52</v>
      </c>
      <c r="G40" s="23" t="s">
        <v>53</v>
      </c>
      <c r="H40" s="22"/>
      <c r="I40" s="30"/>
      <c r="J40" s="31">
        <v>2000</v>
      </c>
      <c r="K40" s="3" t="str">
        <f t="shared" si="0"/>
        <v>2454</v>
      </c>
      <c r="L40" t="str">
        <f t="shared" si="1"/>
        <v>DVF</v>
      </c>
      <c r="M40" s="4">
        <f t="shared" si="2"/>
        <v>2000</v>
      </c>
      <c r="N40" t="str">
        <f t="shared" si="3"/>
        <v>聯發科</v>
      </c>
    </row>
    <row r="41" spans="1:14" ht="20.25" customHeight="1" x14ac:dyDescent="0.25">
      <c r="A41" s="21" t="s">
        <v>162</v>
      </c>
      <c r="B41" s="22" t="s">
        <v>163</v>
      </c>
      <c r="C41" s="21">
        <v>2915</v>
      </c>
      <c r="D41" s="22" t="s">
        <v>164</v>
      </c>
      <c r="E41" s="14" t="s">
        <v>52</v>
      </c>
      <c r="F41" s="15" t="s">
        <v>52</v>
      </c>
      <c r="G41" s="23" t="s">
        <v>53</v>
      </c>
      <c r="H41" s="22"/>
      <c r="I41" s="30"/>
      <c r="J41" s="31">
        <v>2000</v>
      </c>
      <c r="K41" s="3" t="str">
        <f t="shared" si="0"/>
        <v>2915</v>
      </c>
      <c r="L41" t="str">
        <f t="shared" si="1"/>
        <v>DWF</v>
      </c>
      <c r="M41" s="4">
        <f t="shared" si="2"/>
        <v>2000</v>
      </c>
      <c r="N41" t="str">
        <f t="shared" si="3"/>
        <v>潤泰全</v>
      </c>
    </row>
    <row r="42" spans="1:14" ht="20.25" customHeight="1" x14ac:dyDescent="0.25">
      <c r="A42" s="21" t="s">
        <v>165</v>
      </c>
      <c r="B42" s="22" t="s">
        <v>166</v>
      </c>
      <c r="C42" s="21">
        <v>3231</v>
      </c>
      <c r="D42" s="22" t="s">
        <v>167</v>
      </c>
      <c r="E42" s="14" t="s">
        <v>52</v>
      </c>
      <c r="F42" s="15" t="s">
        <v>52</v>
      </c>
      <c r="G42" s="23" t="s">
        <v>53</v>
      </c>
      <c r="H42" s="22"/>
      <c r="I42" s="30"/>
      <c r="J42" s="31">
        <v>2000</v>
      </c>
      <c r="K42" s="3" t="str">
        <f t="shared" si="0"/>
        <v>3231</v>
      </c>
      <c r="L42" t="str">
        <f t="shared" si="1"/>
        <v>DXF</v>
      </c>
      <c r="M42" s="4">
        <f t="shared" si="2"/>
        <v>2000</v>
      </c>
      <c r="N42" t="str">
        <f t="shared" si="3"/>
        <v>緯創</v>
      </c>
    </row>
    <row r="43" spans="1:14" ht="20.25" customHeight="1" x14ac:dyDescent="0.25">
      <c r="A43" s="21" t="s">
        <v>168</v>
      </c>
      <c r="B43" s="22" t="s">
        <v>169</v>
      </c>
      <c r="C43" s="21">
        <v>1102</v>
      </c>
      <c r="D43" s="22" t="s">
        <v>170</v>
      </c>
      <c r="E43" s="14" t="s">
        <v>52</v>
      </c>
      <c r="F43" s="15"/>
      <c r="G43" s="23" t="s">
        <v>53</v>
      </c>
      <c r="H43" s="22"/>
      <c r="I43" s="30"/>
      <c r="J43" s="31">
        <v>2000</v>
      </c>
      <c r="K43" s="3" t="str">
        <f t="shared" si="0"/>
        <v>1102</v>
      </c>
      <c r="L43" t="str">
        <f t="shared" si="1"/>
        <v>DYF</v>
      </c>
      <c r="M43" s="4">
        <f t="shared" si="2"/>
        <v>2000</v>
      </c>
      <c r="N43" t="str">
        <f t="shared" si="3"/>
        <v>亞泥</v>
      </c>
    </row>
    <row r="44" spans="1:14" ht="20.25" customHeight="1" x14ac:dyDescent="0.25">
      <c r="A44" s="21" t="s">
        <v>171</v>
      </c>
      <c r="B44" s="22" t="s">
        <v>172</v>
      </c>
      <c r="C44" s="21">
        <v>1210</v>
      </c>
      <c r="D44" s="22" t="s">
        <v>173</v>
      </c>
      <c r="E44" s="14" t="s">
        <v>52</v>
      </c>
      <c r="F44" s="15"/>
      <c r="G44" s="23" t="s">
        <v>53</v>
      </c>
      <c r="H44" s="22"/>
      <c r="I44" s="30"/>
      <c r="J44" s="31">
        <v>2000</v>
      </c>
      <c r="K44" s="3" t="str">
        <f t="shared" si="0"/>
        <v>1210</v>
      </c>
      <c r="L44" t="str">
        <f t="shared" si="1"/>
        <v>DZF</v>
      </c>
      <c r="M44" s="4">
        <f t="shared" si="2"/>
        <v>2000</v>
      </c>
      <c r="N44" t="str">
        <f t="shared" si="3"/>
        <v>大成</v>
      </c>
    </row>
    <row r="45" spans="1:14" ht="20.25" customHeight="1" x14ac:dyDescent="0.25">
      <c r="A45" s="21" t="s">
        <v>174</v>
      </c>
      <c r="B45" s="22" t="s">
        <v>175</v>
      </c>
      <c r="C45" s="21">
        <v>1312</v>
      </c>
      <c r="D45" s="22" t="s">
        <v>176</v>
      </c>
      <c r="E45" s="14" t="s">
        <v>52</v>
      </c>
      <c r="F45" s="15"/>
      <c r="G45" s="23" t="s">
        <v>53</v>
      </c>
      <c r="H45" s="22"/>
      <c r="I45" s="30"/>
      <c r="J45" s="31">
        <v>2000</v>
      </c>
      <c r="K45" s="3" t="str">
        <f t="shared" si="0"/>
        <v>1312</v>
      </c>
      <c r="L45" t="str">
        <f t="shared" si="1"/>
        <v>EEF</v>
      </c>
      <c r="M45" s="4">
        <f t="shared" si="2"/>
        <v>2000</v>
      </c>
      <c r="N45" t="str">
        <f t="shared" si="3"/>
        <v>國喬</v>
      </c>
    </row>
    <row r="46" spans="1:14" ht="20.25" customHeight="1" x14ac:dyDescent="0.25">
      <c r="A46" s="21" t="s">
        <v>177</v>
      </c>
      <c r="B46" s="22" t="s">
        <v>178</v>
      </c>
      <c r="C46" s="21">
        <v>1314</v>
      </c>
      <c r="D46" s="22" t="s">
        <v>179</v>
      </c>
      <c r="E46" s="14" t="s">
        <v>52</v>
      </c>
      <c r="F46" s="15"/>
      <c r="G46" s="23" t="s">
        <v>53</v>
      </c>
      <c r="H46" s="22"/>
      <c r="I46" s="30"/>
      <c r="J46" s="31">
        <v>2000</v>
      </c>
      <c r="K46" s="3" t="str">
        <f t="shared" si="0"/>
        <v>1314</v>
      </c>
      <c r="L46" t="str">
        <f t="shared" si="1"/>
        <v>EGF</v>
      </c>
      <c r="M46" s="4">
        <f t="shared" si="2"/>
        <v>2000</v>
      </c>
      <c r="N46" t="str">
        <f t="shared" si="3"/>
        <v>中石化</v>
      </c>
    </row>
    <row r="47" spans="1:14" ht="20.25" customHeight="1" x14ac:dyDescent="0.25">
      <c r="A47" s="21" t="s">
        <v>180</v>
      </c>
      <c r="B47" s="22" t="s">
        <v>181</v>
      </c>
      <c r="C47" s="21">
        <v>1319</v>
      </c>
      <c r="D47" s="22" t="s">
        <v>182</v>
      </c>
      <c r="E47" s="14" t="s">
        <v>52</v>
      </c>
      <c r="F47" s="15"/>
      <c r="G47" s="23" t="s">
        <v>53</v>
      </c>
      <c r="H47" s="22"/>
      <c r="I47" s="30"/>
      <c r="J47" s="31">
        <v>2000</v>
      </c>
      <c r="K47" s="3" t="str">
        <f t="shared" si="0"/>
        <v>1319</v>
      </c>
      <c r="L47" t="str">
        <f t="shared" si="1"/>
        <v>EHF</v>
      </c>
      <c r="M47" s="4">
        <f t="shared" si="2"/>
        <v>2000</v>
      </c>
      <c r="N47" t="str">
        <f t="shared" si="3"/>
        <v>東陽</v>
      </c>
    </row>
    <row r="48" spans="1:14" ht="20.25" customHeight="1" x14ac:dyDescent="0.25">
      <c r="A48" s="21" t="s">
        <v>183</v>
      </c>
      <c r="B48" s="22" t="s">
        <v>184</v>
      </c>
      <c r="C48" s="21">
        <v>1504</v>
      </c>
      <c r="D48" s="22" t="s">
        <v>185</v>
      </c>
      <c r="E48" s="14" t="s">
        <v>52</v>
      </c>
      <c r="F48" s="15"/>
      <c r="G48" s="23" t="s">
        <v>53</v>
      </c>
      <c r="H48" s="22"/>
      <c r="I48" s="30"/>
      <c r="J48" s="31">
        <v>2000</v>
      </c>
      <c r="K48" s="3" t="str">
        <f t="shared" si="0"/>
        <v>1504</v>
      </c>
      <c r="L48" t="str">
        <f t="shared" si="1"/>
        <v>EMF</v>
      </c>
      <c r="M48" s="4">
        <f t="shared" si="2"/>
        <v>2000</v>
      </c>
      <c r="N48" t="str">
        <f t="shared" si="3"/>
        <v>東元</v>
      </c>
    </row>
    <row r="49" spans="1:14" ht="20.25" customHeight="1" x14ac:dyDescent="0.25">
      <c r="A49" s="21" t="s">
        <v>186</v>
      </c>
      <c r="B49" s="22" t="s">
        <v>187</v>
      </c>
      <c r="C49" s="21">
        <v>1590</v>
      </c>
      <c r="D49" s="22" t="s">
        <v>188</v>
      </c>
      <c r="E49" s="14" t="s">
        <v>52</v>
      </c>
      <c r="F49" s="15"/>
      <c r="G49" s="23" t="s">
        <v>53</v>
      </c>
      <c r="H49" s="22"/>
      <c r="I49" s="30"/>
      <c r="J49" s="31">
        <v>2000</v>
      </c>
      <c r="K49" s="3" t="str">
        <f t="shared" si="0"/>
        <v>1590</v>
      </c>
      <c r="L49" t="str">
        <f t="shared" si="1"/>
        <v>EPF</v>
      </c>
      <c r="M49" s="4">
        <f t="shared" si="2"/>
        <v>2000</v>
      </c>
      <c r="N49" t="str">
        <f t="shared" si="3"/>
        <v>亞德客-KY</v>
      </c>
    </row>
    <row r="50" spans="1:14" ht="20.25" customHeight="1" x14ac:dyDescent="0.25">
      <c r="A50" s="21" t="s">
        <v>189</v>
      </c>
      <c r="B50" s="22" t="s">
        <v>190</v>
      </c>
      <c r="C50" s="21">
        <v>1702</v>
      </c>
      <c r="D50" s="22" t="s">
        <v>191</v>
      </c>
      <c r="E50" s="14" t="s">
        <v>52</v>
      </c>
      <c r="F50" s="15"/>
      <c r="G50" s="23" t="s">
        <v>53</v>
      </c>
      <c r="H50" s="22"/>
      <c r="I50" s="30"/>
      <c r="J50" s="31">
        <v>2000</v>
      </c>
      <c r="K50" s="3" t="str">
        <f t="shared" si="0"/>
        <v>1702</v>
      </c>
      <c r="L50" t="str">
        <f t="shared" si="1"/>
        <v>ERF</v>
      </c>
      <c r="M50" s="4">
        <f t="shared" si="2"/>
        <v>2000</v>
      </c>
      <c r="N50" t="str">
        <f t="shared" si="3"/>
        <v>南僑</v>
      </c>
    </row>
    <row r="51" spans="1:14" ht="20.25" customHeight="1" x14ac:dyDescent="0.25">
      <c r="A51" s="21" t="s">
        <v>192</v>
      </c>
      <c r="B51" s="22" t="s">
        <v>193</v>
      </c>
      <c r="C51" s="21">
        <v>1718</v>
      </c>
      <c r="D51" s="22" t="s">
        <v>194</v>
      </c>
      <c r="E51" s="14" t="s">
        <v>52</v>
      </c>
      <c r="F51" s="15"/>
      <c r="G51" s="23" t="s">
        <v>53</v>
      </c>
      <c r="H51" s="22"/>
      <c r="I51" s="30"/>
      <c r="J51" s="31">
        <v>2000</v>
      </c>
      <c r="K51" s="3" t="str">
        <f t="shared" si="0"/>
        <v>1718</v>
      </c>
      <c r="L51" t="str">
        <f t="shared" si="1"/>
        <v>EYF</v>
      </c>
      <c r="M51" s="4">
        <f t="shared" si="2"/>
        <v>2000</v>
      </c>
      <c r="N51" t="str">
        <f t="shared" si="3"/>
        <v>中纖</v>
      </c>
    </row>
    <row r="52" spans="1:14" ht="20.25" customHeight="1" x14ac:dyDescent="0.25">
      <c r="A52" s="21" t="s">
        <v>828</v>
      </c>
      <c r="B52" s="22" t="s">
        <v>829</v>
      </c>
      <c r="C52" s="21">
        <v>1722</v>
      </c>
      <c r="D52" s="22" t="s">
        <v>830</v>
      </c>
      <c r="E52" s="14" t="s">
        <v>52</v>
      </c>
      <c r="F52" s="15"/>
      <c r="G52" s="23" t="s">
        <v>53</v>
      </c>
      <c r="H52" s="22"/>
      <c r="I52" s="30"/>
      <c r="J52" s="31">
        <v>2000</v>
      </c>
      <c r="K52" s="3" t="str">
        <f t="shared" si="0"/>
        <v>1722</v>
      </c>
      <c r="L52" t="str">
        <f t="shared" si="1"/>
        <v>EZF</v>
      </c>
      <c r="M52" s="4">
        <f t="shared" si="2"/>
        <v>2000</v>
      </c>
      <c r="N52" t="str">
        <f t="shared" si="3"/>
        <v>台肥</v>
      </c>
    </row>
    <row r="53" spans="1:14" ht="20.25" customHeight="1" x14ac:dyDescent="0.25">
      <c r="A53" s="21" t="s">
        <v>195</v>
      </c>
      <c r="B53" s="22" t="s">
        <v>196</v>
      </c>
      <c r="C53" s="21">
        <v>2027</v>
      </c>
      <c r="D53" s="22" t="s">
        <v>197</v>
      </c>
      <c r="E53" s="14" t="s">
        <v>52</v>
      </c>
      <c r="F53" s="15"/>
      <c r="G53" s="23" t="s">
        <v>53</v>
      </c>
      <c r="H53" s="22"/>
      <c r="I53" s="30"/>
      <c r="J53" s="31">
        <v>2000</v>
      </c>
      <c r="K53" s="3" t="str">
        <f t="shared" si="0"/>
        <v>2027</v>
      </c>
      <c r="L53" t="str">
        <f t="shared" si="1"/>
        <v>FEF</v>
      </c>
      <c r="M53" s="4">
        <f t="shared" si="2"/>
        <v>2000</v>
      </c>
      <c r="N53" t="str">
        <f t="shared" si="3"/>
        <v>大成鋼</v>
      </c>
    </row>
    <row r="54" spans="1:14" ht="20.25" customHeight="1" x14ac:dyDescent="0.25">
      <c r="A54" s="21" t="s">
        <v>198</v>
      </c>
      <c r="B54" s="22" t="s">
        <v>199</v>
      </c>
      <c r="C54" s="21">
        <v>2049</v>
      </c>
      <c r="D54" s="22" t="s">
        <v>200</v>
      </c>
      <c r="E54" s="14" t="s">
        <v>52</v>
      </c>
      <c r="F54" s="15"/>
      <c r="G54" s="23" t="s">
        <v>53</v>
      </c>
      <c r="H54" s="22"/>
      <c r="I54" s="30"/>
      <c r="J54" s="31">
        <v>2000</v>
      </c>
      <c r="K54" s="3" t="str">
        <f t="shared" si="0"/>
        <v>2049</v>
      </c>
      <c r="L54" t="str">
        <f t="shared" si="1"/>
        <v>FFF</v>
      </c>
      <c r="M54" s="4">
        <f t="shared" si="2"/>
        <v>2000</v>
      </c>
      <c r="N54" t="str">
        <f t="shared" si="3"/>
        <v>上銀</v>
      </c>
    </row>
    <row r="55" spans="1:14" ht="20.25" customHeight="1" x14ac:dyDescent="0.25">
      <c r="A55" s="21" t="s">
        <v>201</v>
      </c>
      <c r="B55" s="22" t="s">
        <v>202</v>
      </c>
      <c r="C55" s="21">
        <v>2059</v>
      </c>
      <c r="D55" s="22" t="s">
        <v>203</v>
      </c>
      <c r="E55" s="14" t="s">
        <v>52</v>
      </c>
      <c r="F55" s="15"/>
      <c r="G55" s="23" t="s">
        <v>53</v>
      </c>
      <c r="H55" s="22"/>
      <c r="I55" s="30"/>
      <c r="J55" s="31">
        <v>2000</v>
      </c>
      <c r="K55" s="3" t="str">
        <f t="shared" si="0"/>
        <v>2059</v>
      </c>
      <c r="L55" t="str">
        <f t="shared" si="1"/>
        <v>FGF</v>
      </c>
      <c r="M55" s="4">
        <f t="shared" si="2"/>
        <v>2000</v>
      </c>
      <c r="N55" t="str">
        <f t="shared" si="3"/>
        <v>川湖</v>
      </c>
    </row>
    <row r="56" spans="1:14" ht="20.25" customHeight="1" x14ac:dyDescent="0.25">
      <c r="A56" s="21" t="s">
        <v>204</v>
      </c>
      <c r="B56" s="22" t="s">
        <v>205</v>
      </c>
      <c r="C56" s="21">
        <v>2105</v>
      </c>
      <c r="D56" s="22" t="s">
        <v>206</v>
      </c>
      <c r="E56" s="14" t="s">
        <v>52</v>
      </c>
      <c r="F56" s="15"/>
      <c r="G56" s="23" t="s">
        <v>53</v>
      </c>
      <c r="H56" s="22"/>
      <c r="I56" s="30"/>
      <c r="J56" s="31">
        <v>2000</v>
      </c>
      <c r="K56" s="3" t="str">
        <f t="shared" si="0"/>
        <v>2105</v>
      </c>
      <c r="L56" t="str">
        <f t="shared" si="1"/>
        <v>FKF</v>
      </c>
      <c r="M56" s="4">
        <f t="shared" si="2"/>
        <v>2000</v>
      </c>
      <c r="N56" t="str">
        <f t="shared" si="3"/>
        <v>正新</v>
      </c>
    </row>
    <row r="57" spans="1:14" ht="20.25" customHeight="1" x14ac:dyDescent="0.25">
      <c r="A57" s="21" t="s">
        <v>831</v>
      </c>
      <c r="B57" s="22" t="s">
        <v>832</v>
      </c>
      <c r="C57" s="21">
        <v>2201</v>
      </c>
      <c r="D57" s="22" t="s">
        <v>833</v>
      </c>
      <c r="E57" s="14" t="s">
        <v>52</v>
      </c>
      <c r="F57" s="15"/>
      <c r="G57" s="23" t="s">
        <v>53</v>
      </c>
      <c r="H57" s="22"/>
      <c r="I57" s="30"/>
      <c r="J57" s="31">
        <v>2000</v>
      </c>
      <c r="K57" s="3" t="str">
        <f t="shared" si="0"/>
        <v>2201</v>
      </c>
      <c r="L57" t="str">
        <f t="shared" si="1"/>
        <v>FNF</v>
      </c>
      <c r="M57" s="4">
        <f t="shared" si="2"/>
        <v>2000</v>
      </c>
      <c r="N57" t="str">
        <f t="shared" si="3"/>
        <v>裕隆</v>
      </c>
    </row>
    <row r="58" spans="1:14" ht="20.25" customHeight="1" x14ac:dyDescent="0.25">
      <c r="A58" s="21" t="s">
        <v>207</v>
      </c>
      <c r="B58" s="22" t="s">
        <v>208</v>
      </c>
      <c r="C58" s="21">
        <v>2301</v>
      </c>
      <c r="D58" s="22" t="s">
        <v>209</v>
      </c>
      <c r="E58" s="14" t="s">
        <v>52</v>
      </c>
      <c r="F58" s="15"/>
      <c r="G58" s="23" t="s">
        <v>53</v>
      </c>
      <c r="H58" s="22"/>
      <c r="I58" s="30"/>
      <c r="J58" s="31">
        <v>2000</v>
      </c>
      <c r="K58" s="3" t="str">
        <f t="shared" si="0"/>
        <v>2301</v>
      </c>
      <c r="L58" t="str">
        <f t="shared" si="1"/>
        <v>FQF</v>
      </c>
      <c r="M58" s="4">
        <f t="shared" si="2"/>
        <v>2000</v>
      </c>
      <c r="N58" t="str">
        <f t="shared" si="3"/>
        <v>光寶科</v>
      </c>
    </row>
    <row r="59" spans="1:14" ht="20.25" customHeight="1" x14ac:dyDescent="0.25">
      <c r="A59" s="21" t="s">
        <v>210</v>
      </c>
      <c r="B59" s="22" t="s">
        <v>211</v>
      </c>
      <c r="C59" s="21">
        <v>2308</v>
      </c>
      <c r="D59" s="22" t="s">
        <v>212</v>
      </c>
      <c r="E59" s="14" t="s">
        <v>52</v>
      </c>
      <c r="F59" s="15"/>
      <c r="G59" s="23" t="s">
        <v>53</v>
      </c>
      <c r="H59" s="22"/>
      <c r="I59" s="30"/>
      <c r="J59" s="31">
        <v>2000</v>
      </c>
      <c r="K59" s="3" t="str">
        <f t="shared" si="0"/>
        <v>2308</v>
      </c>
      <c r="L59" t="str">
        <f t="shared" si="1"/>
        <v>FRF</v>
      </c>
      <c r="M59" s="4">
        <f t="shared" si="2"/>
        <v>2000</v>
      </c>
      <c r="N59" t="str">
        <f t="shared" si="3"/>
        <v>台達電</v>
      </c>
    </row>
    <row r="60" spans="1:14" ht="20.25" customHeight="1" x14ac:dyDescent="0.25">
      <c r="A60" s="21" t="s">
        <v>213</v>
      </c>
      <c r="B60" s="22" t="s">
        <v>214</v>
      </c>
      <c r="C60" s="21">
        <v>2313</v>
      </c>
      <c r="D60" s="22" t="s">
        <v>215</v>
      </c>
      <c r="E60" s="14" t="s">
        <v>52</v>
      </c>
      <c r="F60" s="15"/>
      <c r="G60" s="23" t="s">
        <v>53</v>
      </c>
      <c r="H60" s="22"/>
      <c r="I60" s="30"/>
      <c r="J60" s="31">
        <v>2000</v>
      </c>
      <c r="K60" s="3" t="str">
        <f t="shared" si="0"/>
        <v>2313</v>
      </c>
      <c r="L60" t="str">
        <f t="shared" si="1"/>
        <v>FTF</v>
      </c>
      <c r="M60" s="4">
        <f t="shared" si="2"/>
        <v>2000</v>
      </c>
      <c r="N60" t="str">
        <f t="shared" si="3"/>
        <v>華通</v>
      </c>
    </row>
    <row r="61" spans="1:14" ht="20.25" customHeight="1" x14ac:dyDescent="0.25">
      <c r="A61" s="21" t="s">
        <v>216</v>
      </c>
      <c r="B61" s="22" t="s">
        <v>217</v>
      </c>
      <c r="C61" s="21">
        <v>2331</v>
      </c>
      <c r="D61" s="22" t="s">
        <v>218</v>
      </c>
      <c r="E61" s="14" t="s">
        <v>52</v>
      </c>
      <c r="F61" s="15"/>
      <c r="G61" s="23" t="s">
        <v>53</v>
      </c>
      <c r="H61" s="22"/>
      <c r="I61" s="30"/>
      <c r="J61" s="31">
        <v>2000</v>
      </c>
      <c r="K61" s="3" t="str">
        <f t="shared" si="0"/>
        <v>2331</v>
      </c>
      <c r="L61" t="str">
        <f t="shared" si="1"/>
        <v>FVF</v>
      </c>
      <c r="M61" s="4">
        <f t="shared" si="2"/>
        <v>2000</v>
      </c>
      <c r="N61" t="str">
        <f t="shared" si="3"/>
        <v>精英</v>
      </c>
    </row>
    <row r="62" spans="1:14" ht="20.25" customHeight="1" x14ac:dyDescent="0.25">
      <c r="A62" s="21" t="s">
        <v>219</v>
      </c>
      <c r="B62" s="22" t="s">
        <v>220</v>
      </c>
      <c r="C62" s="21">
        <v>2332</v>
      </c>
      <c r="D62" s="22" t="s">
        <v>221</v>
      </c>
      <c r="E62" s="14" t="s">
        <v>52</v>
      </c>
      <c r="F62" s="15"/>
      <c r="G62" s="23" t="s">
        <v>53</v>
      </c>
      <c r="H62" s="22"/>
      <c r="I62" s="30"/>
      <c r="J62" s="31">
        <v>2000</v>
      </c>
      <c r="K62" s="3" t="str">
        <f t="shared" si="0"/>
        <v>2332</v>
      </c>
      <c r="L62" t="str">
        <f t="shared" si="1"/>
        <v>FWF</v>
      </c>
      <c r="M62" s="4">
        <f t="shared" si="2"/>
        <v>2000</v>
      </c>
      <c r="N62" t="str">
        <f t="shared" si="3"/>
        <v>友訊</v>
      </c>
    </row>
    <row r="63" spans="1:14" ht="20.25" customHeight="1" x14ac:dyDescent="0.25">
      <c r="A63" s="21" t="s">
        <v>222</v>
      </c>
      <c r="B63" s="22" t="s">
        <v>223</v>
      </c>
      <c r="C63" s="21">
        <v>2340</v>
      </c>
      <c r="D63" s="22" t="s">
        <v>224</v>
      </c>
      <c r="E63" s="14" t="s">
        <v>52</v>
      </c>
      <c r="F63" s="15"/>
      <c r="G63" s="23" t="s">
        <v>53</v>
      </c>
      <c r="H63" s="22"/>
      <c r="I63" s="30"/>
      <c r="J63" s="31">
        <v>2000</v>
      </c>
      <c r="K63" s="3" t="str">
        <f t="shared" si="0"/>
        <v>2340</v>
      </c>
      <c r="L63" t="str">
        <f t="shared" si="1"/>
        <v>FYF</v>
      </c>
      <c r="M63" s="4">
        <f t="shared" si="2"/>
        <v>2000</v>
      </c>
      <c r="N63" t="str">
        <f t="shared" si="3"/>
        <v>光磊</v>
      </c>
    </row>
    <row r="64" spans="1:14" ht="20.25" customHeight="1" x14ac:dyDescent="0.25">
      <c r="A64" s="21" t="s">
        <v>225</v>
      </c>
      <c r="B64" s="22" t="s">
        <v>226</v>
      </c>
      <c r="C64" s="21">
        <v>2344</v>
      </c>
      <c r="D64" s="22" t="s">
        <v>227</v>
      </c>
      <c r="E64" s="14" t="s">
        <v>52</v>
      </c>
      <c r="F64" s="15"/>
      <c r="G64" s="23" t="s">
        <v>53</v>
      </c>
      <c r="H64" s="22"/>
      <c r="I64" s="30"/>
      <c r="J64" s="31">
        <v>2000</v>
      </c>
      <c r="K64" s="3" t="str">
        <f t="shared" si="0"/>
        <v>2344</v>
      </c>
      <c r="L64" t="str">
        <f t="shared" si="1"/>
        <v>FZF</v>
      </c>
      <c r="M64" s="4">
        <f t="shared" si="2"/>
        <v>2000</v>
      </c>
      <c r="N64" t="str">
        <f t="shared" si="3"/>
        <v>華邦電</v>
      </c>
    </row>
    <row r="65" spans="1:14" ht="20.25" customHeight="1" x14ac:dyDescent="0.25">
      <c r="A65" s="21" t="s">
        <v>228</v>
      </c>
      <c r="B65" s="22" t="s">
        <v>229</v>
      </c>
      <c r="C65" s="21">
        <v>2347</v>
      </c>
      <c r="D65" s="22" t="s">
        <v>230</v>
      </c>
      <c r="E65" s="14" t="s">
        <v>52</v>
      </c>
      <c r="F65" s="15"/>
      <c r="G65" s="23" t="s">
        <v>53</v>
      </c>
      <c r="H65" s="22"/>
      <c r="I65" s="30"/>
      <c r="J65" s="31">
        <v>2000</v>
      </c>
      <c r="K65" s="3" t="str">
        <f t="shared" si="0"/>
        <v>2347</v>
      </c>
      <c r="L65" t="str">
        <f t="shared" si="1"/>
        <v>GAF</v>
      </c>
      <c r="M65" s="4">
        <f t="shared" si="2"/>
        <v>2000</v>
      </c>
      <c r="N65" t="str">
        <f t="shared" si="3"/>
        <v>聯強</v>
      </c>
    </row>
    <row r="66" spans="1:14" ht="20.25" customHeight="1" x14ac:dyDescent="0.25">
      <c r="A66" s="21" t="s">
        <v>231</v>
      </c>
      <c r="B66" s="22" t="s">
        <v>232</v>
      </c>
      <c r="C66" s="21">
        <v>2354</v>
      </c>
      <c r="D66" s="22" t="s">
        <v>233</v>
      </c>
      <c r="E66" s="14" t="s">
        <v>52</v>
      </c>
      <c r="F66" s="15"/>
      <c r="G66" s="23" t="s">
        <v>53</v>
      </c>
      <c r="H66" s="22"/>
      <c r="I66" s="30"/>
      <c r="J66" s="31">
        <v>2000</v>
      </c>
      <c r="K66" s="3" t="str">
        <f t="shared" si="0"/>
        <v>2354</v>
      </c>
      <c r="L66" t="str">
        <f t="shared" si="1"/>
        <v>GCF</v>
      </c>
      <c r="M66" s="4">
        <f t="shared" si="2"/>
        <v>2000</v>
      </c>
      <c r="N66" t="str">
        <f t="shared" si="3"/>
        <v>鴻準</v>
      </c>
    </row>
    <row r="67" spans="1:14" ht="20.25" customHeight="1" x14ac:dyDescent="0.25">
      <c r="A67" s="21" t="s">
        <v>234</v>
      </c>
      <c r="B67" s="22" t="s">
        <v>235</v>
      </c>
      <c r="C67" s="21">
        <v>2376</v>
      </c>
      <c r="D67" s="22" t="s">
        <v>236</v>
      </c>
      <c r="E67" s="14" t="s">
        <v>52</v>
      </c>
      <c r="F67" s="15"/>
      <c r="G67" s="23" t="s">
        <v>53</v>
      </c>
      <c r="H67" s="22"/>
      <c r="I67" s="30"/>
      <c r="J67" s="31">
        <v>2000</v>
      </c>
      <c r="K67" s="3" t="str">
        <f t="shared" si="0"/>
        <v>2376</v>
      </c>
      <c r="L67" t="str">
        <f t="shared" si="1"/>
        <v>GHF</v>
      </c>
      <c r="M67" s="4">
        <f t="shared" si="2"/>
        <v>2000</v>
      </c>
      <c r="N67" t="str">
        <f t="shared" si="3"/>
        <v>技嘉</v>
      </c>
    </row>
    <row r="68" spans="1:14" ht="20.25" customHeight="1" x14ac:dyDescent="0.25">
      <c r="A68" s="21" t="s">
        <v>237</v>
      </c>
      <c r="B68" s="22" t="s">
        <v>238</v>
      </c>
      <c r="C68" s="21">
        <v>2377</v>
      </c>
      <c r="D68" s="22" t="s">
        <v>239</v>
      </c>
      <c r="E68" s="14" t="s">
        <v>52</v>
      </c>
      <c r="F68" s="15" t="s">
        <v>52</v>
      </c>
      <c r="G68" s="23" t="s">
        <v>53</v>
      </c>
      <c r="H68" s="22"/>
      <c r="I68" s="30"/>
      <c r="J68" s="31">
        <v>2000</v>
      </c>
      <c r="K68" s="3" t="str">
        <f t="shared" ref="K68:K131" si="4">IF(LEFT(C68,2)="00","00","")&amp;TEXT(C68,"@")</f>
        <v>2377</v>
      </c>
      <c r="L68" t="str">
        <f t="shared" si="1"/>
        <v>GIF</v>
      </c>
      <c r="M68" s="4">
        <f t="shared" si="2"/>
        <v>2000</v>
      </c>
      <c r="N68" t="str">
        <f t="shared" si="3"/>
        <v>微星</v>
      </c>
    </row>
    <row r="69" spans="1:14" ht="20.25" customHeight="1" x14ac:dyDescent="0.25">
      <c r="A69" s="21" t="s">
        <v>240</v>
      </c>
      <c r="B69" s="22" t="s">
        <v>241</v>
      </c>
      <c r="C69" s="21">
        <v>2379</v>
      </c>
      <c r="D69" s="22" t="s">
        <v>242</v>
      </c>
      <c r="E69" s="14" t="s">
        <v>52</v>
      </c>
      <c r="F69" s="15"/>
      <c r="G69" s="23" t="s">
        <v>53</v>
      </c>
      <c r="H69" s="22"/>
      <c r="I69" s="30"/>
      <c r="J69" s="31">
        <v>2000</v>
      </c>
      <c r="K69" s="3" t="str">
        <f t="shared" si="4"/>
        <v>2379</v>
      </c>
      <c r="L69" t="str">
        <f t="shared" ref="L69:L132" si="5">$A69&amp;"F"</f>
        <v>GJF</v>
      </c>
      <c r="M69" s="4">
        <f t="shared" ref="M69:M132" si="6">$J69</f>
        <v>2000</v>
      </c>
      <c r="N69" t="str">
        <f t="shared" ref="N69:N132" si="7">D69</f>
        <v>瑞昱</v>
      </c>
    </row>
    <row r="70" spans="1:14" ht="20.25" customHeight="1" x14ac:dyDescent="0.25">
      <c r="A70" s="21" t="s">
        <v>243</v>
      </c>
      <c r="B70" s="22" t="s">
        <v>244</v>
      </c>
      <c r="C70" s="21">
        <v>2392</v>
      </c>
      <c r="D70" s="22" t="s">
        <v>245</v>
      </c>
      <c r="E70" s="14" t="s">
        <v>52</v>
      </c>
      <c r="F70" s="15"/>
      <c r="G70" s="23" t="s">
        <v>53</v>
      </c>
      <c r="H70" s="22"/>
      <c r="I70" s="30"/>
      <c r="J70" s="31">
        <v>2000</v>
      </c>
      <c r="K70" s="3" t="str">
        <f t="shared" si="4"/>
        <v>2392</v>
      </c>
      <c r="L70" t="str">
        <f t="shared" si="5"/>
        <v>GLF</v>
      </c>
      <c r="M70" s="4">
        <f t="shared" si="6"/>
        <v>2000</v>
      </c>
      <c r="N70" t="str">
        <f t="shared" si="7"/>
        <v>正崴</v>
      </c>
    </row>
    <row r="71" spans="1:14" ht="20.25" customHeight="1" x14ac:dyDescent="0.25">
      <c r="A71" s="21" t="s">
        <v>246</v>
      </c>
      <c r="B71" s="22" t="s">
        <v>247</v>
      </c>
      <c r="C71" s="21">
        <v>2393</v>
      </c>
      <c r="D71" s="22" t="s">
        <v>248</v>
      </c>
      <c r="E71" s="14" t="s">
        <v>52</v>
      </c>
      <c r="F71" s="15"/>
      <c r="G71" s="23" t="s">
        <v>53</v>
      </c>
      <c r="H71" s="22"/>
      <c r="I71" s="30"/>
      <c r="J71" s="31">
        <v>2000</v>
      </c>
      <c r="K71" s="3" t="str">
        <f t="shared" si="4"/>
        <v>2393</v>
      </c>
      <c r="L71" t="str">
        <f t="shared" si="5"/>
        <v>GMF</v>
      </c>
      <c r="M71" s="4">
        <f t="shared" si="6"/>
        <v>2000</v>
      </c>
      <c r="N71" t="str">
        <f t="shared" si="7"/>
        <v>億光</v>
      </c>
    </row>
    <row r="72" spans="1:14" ht="20.25" customHeight="1" x14ac:dyDescent="0.25">
      <c r="A72" s="21" t="s">
        <v>249</v>
      </c>
      <c r="B72" s="22" t="s">
        <v>250</v>
      </c>
      <c r="C72" s="21">
        <v>2401</v>
      </c>
      <c r="D72" s="22" t="s">
        <v>251</v>
      </c>
      <c r="E72" s="14" t="s">
        <v>52</v>
      </c>
      <c r="F72" s="15"/>
      <c r="G72" s="23" t="s">
        <v>53</v>
      </c>
      <c r="H72" s="22"/>
      <c r="I72" s="30"/>
      <c r="J72" s="31">
        <v>2000</v>
      </c>
      <c r="K72" s="3" t="str">
        <f t="shared" si="4"/>
        <v>2401</v>
      </c>
      <c r="L72" t="str">
        <f t="shared" si="5"/>
        <v>GNF</v>
      </c>
      <c r="M72" s="4">
        <f t="shared" si="6"/>
        <v>2000</v>
      </c>
      <c r="N72" t="str">
        <f t="shared" si="7"/>
        <v>凌陽</v>
      </c>
    </row>
    <row r="73" spans="1:14" ht="20.25" customHeight="1" x14ac:dyDescent="0.25">
      <c r="A73" s="21" t="s">
        <v>252</v>
      </c>
      <c r="B73" s="22" t="s">
        <v>253</v>
      </c>
      <c r="C73" s="21">
        <v>2404</v>
      </c>
      <c r="D73" s="22" t="s">
        <v>254</v>
      </c>
      <c r="E73" s="14" t="s">
        <v>52</v>
      </c>
      <c r="F73" s="15"/>
      <c r="G73" s="23" t="s">
        <v>53</v>
      </c>
      <c r="H73" s="22"/>
      <c r="I73" s="30"/>
      <c r="J73" s="31">
        <v>2000</v>
      </c>
      <c r="K73" s="3" t="str">
        <f t="shared" si="4"/>
        <v>2404</v>
      </c>
      <c r="L73" t="str">
        <f t="shared" si="5"/>
        <v>GOF</v>
      </c>
      <c r="M73" s="4">
        <f t="shared" si="6"/>
        <v>2000</v>
      </c>
      <c r="N73" t="str">
        <f t="shared" si="7"/>
        <v>漢唐</v>
      </c>
    </row>
    <row r="74" spans="1:14" ht="20.25" customHeight="1" x14ac:dyDescent="0.25">
      <c r="A74" s="21" t="s">
        <v>255</v>
      </c>
      <c r="B74" s="22" t="s">
        <v>256</v>
      </c>
      <c r="C74" s="21">
        <v>2449</v>
      </c>
      <c r="D74" s="22" t="s">
        <v>257</v>
      </c>
      <c r="E74" s="14" t="s">
        <v>52</v>
      </c>
      <c r="F74" s="15"/>
      <c r="G74" s="23" t="s">
        <v>53</v>
      </c>
      <c r="H74" s="22"/>
      <c r="I74" s="30"/>
      <c r="J74" s="31">
        <v>2000</v>
      </c>
      <c r="K74" s="3" t="str">
        <f t="shared" si="4"/>
        <v>2449</v>
      </c>
      <c r="L74" t="str">
        <f t="shared" si="5"/>
        <v>GRF</v>
      </c>
      <c r="M74" s="4">
        <f t="shared" si="6"/>
        <v>2000</v>
      </c>
      <c r="N74" t="str">
        <f t="shared" si="7"/>
        <v>京元電子</v>
      </c>
    </row>
    <row r="75" spans="1:14" ht="20.25" customHeight="1" x14ac:dyDescent="0.25">
      <c r="A75" s="21" t="s">
        <v>258</v>
      </c>
      <c r="B75" s="22" t="s">
        <v>259</v>
      </c>
      <c r="C75" s="21">
        <v>2455</v>
      </c>
      <c r="D75" s="22" t="s">
        <v>260</v>
      </c>
      <c r="E75" s="14" t="s">
        <v>52</v>
      </c>
      <c r="F75" s="15"/>
      <c r="G75" s="23" t="s">
        <v>53</v>
      </c>
      <c r="H75" s="22"/>
      <c r="I75" s="30"/>
      <c r="J75" s="31">
        <v>2000</v>
      </c>
      <c r="K75" s="3" t="str">
        <f t="shared" si="4"/>
        <v>2455</v>
      </c>
      <c r="L75" t="str">
        <f t="shared" si="5"/>
        <v>GUF</v>
      </c>
      <c r="M75" s="4">
        <f t="shared" si="6"/>
        <v>2000</v>
      </c>
      <c r="N75" t="str">
        <f t="shared" si="7"/>
        <v>全新</v>
      </c>
    </row>
    <row r="76" spans="1:14" ht="20.25" customHeight="1" x14ac:dyDescent="0.25">
      <c r="A76" s="21" t="s">
        <v>261</v>
      </c>
      <c r="B76" s="22" t="s">
        <v>262</v>
      </c>
      <c r="C76" s="21">
        <v>2458</v>
      </c>
      <c r="D76" s="22" t="s">
        <v>263</v>
      </c>
      <c r="E76" s="14" t="s">
        <v>52</v>
      </c>
      <c r="F76" s="15"/>
      <c r="G76" s="23" t="s">
        <v>53</v>
      </c>
      <c r="H76" s="22"/>
      <c r="I76" s="30"/>
      <c r="J76" s="31">
        <v>2000</v>
      </c>
      <c r="K76" s="3" t="str">
        <f t="shared" si="4"/>
        <v>2458</v>
      </c>
      <c r="L76" t="str">
        <f t="shared" si="5"/>
        <v>GWF</v>
      </c>
      <c r="M76" s="4">
        <f t="shared" si="6"/>
        <v>2000</v>
      </c>
      <c r="N76" t="str">
        <f t="shared" si="7"/>
        <v>義隆</v>
      </c>
    </row>
    <row r="77" spans="1:14" ht="20.25" customHeight="1" x14ac:dyDescent="0.25">
      <c r="A77" s="21" t="s">
        <v>264</v>
      </c>
      <c r="B77" s="22" t="s">
        <v>265</v>
      </c>
      <c r="C77" s="21">
        <v>2474</v>
      </c>
      <c r="D77" s="22" t="s">
        <v>266</v>
      </c>
      <c r="E77" s="14" t="s">
        <v>52</v>
      </c>
      <c r="F77" s="15" t="s">
        <v>52</v>
      </c>
      <c r="G77" s="23" t="s">
        <v>53</v>
      </c>
      <c r="H77" s="22"/>
      <c r="I77" s="30"/>
      <c r="J77" s="31">
        <v>2000</v>
      </c>
      <c r="K77" s="3" t="str">
        <f t="shared" si="4"/>
        <v>2474</v>
      </c>
      <c r="L77" t="str">
        <f t="shared" si="5"/>
        <v>GXF</v>
      </c>
      <c r="M77" s="4">
        <f t="shared" si="6"/>
        <v>2000</v>
      </c>
      <c r="N77" t="str">
        <f t="shared" si="7"/>
        <v>可成</v>
      </c>
    </row>
    <row r="78" spans="1:14" ht="20.25" customHeight="1" x14ac:dyDescent="0.25">
      <c r="A78" s="21" t="s">
        <v>267</v>
      </c>
      <c r="B78" s="22" t="s">
        <v>268</v>
      </c>
      <c r="C78" s="21">
        <v>2485</v>
      </c>
      <c r="D78" s="22" t="s">
        <v>269</v>
      </c>
      <c r="E78" s="14" t="s">
        <v>52</v>
      </c>
      <c r="F78" s="15"/>
      <c r="G78" s="23" t="s">
        <v>53</v>
      </c>
      <c r="H78" s="22"/>
      <c r="I78" s="30"/>
      <c r="J78" s="31">
        <v>2000</v>
      </c>
      <c r="K78" s="3" t="str">
        <f t="shared" si="4"/>
        <v>2485</v>
      </c>
      <c r="L78" t="str">
        <f t="shared" si="5"/>
        <v>GZF</v>
      </c>
      <c r="M78" s="4">
        <f t="shared" si="6"/>
        <v>2000</v>
      </c>
      <c r="N78" t="str">
        <f t="shared" si="7"/>
        <v>兆赫</v>
      </c>
    </row>
    <row r="79" spans="1:14" ht="20.25" customHeight="1" x14ac:dyDescent="0.25">
      <c r="A79" s="21" t="s">
        <v>270</v>
      </c>
      <c r="B79" s="22" t="s">
        <v>271</v>
      </c>
      <c r="C79" s="21">
        <v>2489</v>
      </c>
      <c r="D79" s="22" t="s">
        <v>272</v>
      </c>
      <c r="E79" s="14" t="s">
        <v>52</v>
      </c>
      <c r="F79" s="15"/>
      <c r="G79" s="23" t="s">
        <v>53</v>
      </c>
      <c r="H79" s="22"/>
      <c r="I79" s="30"/>
      <c r="J79" s="31">
        <v>2000</v>
      </c>
      <c r="K79" s="3" t="str">
        <f t="shared" si="4"/>
        <v>2489</v>
      </c>
      <c r="L79" t="str">
        <f t="shared" si="5"/>
        <v>HAF</v>
      </c>
      <c r="M79" s="4">
        <f t="shared" si="6"/>
        <v>2000</v>
      </c>
      <c r="N79" t="str">
        <f t="shared" si="7"/>
        <v>瑞軒</v>
      </c>
    </row>
    <row r="80" spans="1:14" ht="20.25" customHeight="1" x14ac:dyDescent="0.25">
      <c r="A80" s="21" t="s">
        <v>273</v>
      </c>
      <c r="B80" s="22" t="s">
        <v>274</v>
      </c>
      <c r="C80" s="21">
        <v>2492</v>
      </c>
      <c r="D80" s="22" t="s">
        <v>275</v>
      </c>
      <c r="E80" s="14" t="s">
        <v>52</v>
      </c>
      <c r="F80" s="15"/>
      <c r="G80" s="23" t="s">
        <v>53</v>
      </c>
      <c r="H80" s="22"/>
      <c r="I80" s="30"/>
      <c r="J80" s="31">
        <v>2000</v>
      </c>
      <c r="K80" s="3" t="str">
        <f t="shared" si="4"/>
        <v>2492</v>
      </c>
      <c r="L80" t="str">
        <f t="shared" si="5"/>
        <v>HBF</v>
      </c>
      <c r="M80" s="4">
        <f t="shared" si="6"/>
        <v>2000</v>
      </c>
      <c r="N80" t="str">
        <f t="shared" si="7"/>
        <v>華新科</v>
      </c>
    </row>
    <row r="81" spans="1:14" ht="20.25" customHeight="1" x14ac:dyDescent="0.25">
      <c r="A81" s="21" t="s">
        <v>276</v>
      </c>
      <c r="B81" s="22" t="s">
        <v>277</v>
      </c>
      <c r="C81" s="21">
        <v>2498</v>
      </c>
      <c r="D81" s="22" t="s">
        <v>278</v>
      </c>
      <c r="E81" s="14" t="s">
        <v>52</v>
      </c>
      <c r="F81" s="15" t="s">
        <v>52</v>
      </c>
      <c r="G81" s="23" t="s">
        <v>53</v>
      </c>
      <c r="H81" s="22"/>
      <c r="I81" s="30"/>
      <c r="J81" s="31">
        <v>2000</v>
      </c>
      <c r="K81" s="3" t="str">
        <f t="shared" si="4"/>
        <v>2498</v>
      </c>
      <c r="L81" t="str">
        <f t="shared" si="5"/>
        <v>HCF</v>
      </c>
      <c r="M81" s="4">
        <f t="shared" si="6"/>
        <v>2000</v>
      </c>
      <c r="N81" t="str">
        <f t="shared" si="7"/>
        <v>宏達電</v>
      </c>
    </row>
    <row r="82" spans="1:14" ht="20.25" customHeight="1" x14ac:dyDescent="0.25">
      <c r="A82" s="21" t="s">
        <v>279</v>
      </c>
      <c r="B82" s="22" t="s">
        <v>280</v>
      </c>
      <c r="C82" s="21">
        <v>2515</v>
      </c>
      <c r="D82" s="22" t="s">
        <v>281</v>
      </c>
      <c r="E82" s="14" t="s">
        <v>52</v>
      </c>
      <c r="F82" s="15"/>
      <c r="G82" s="23" t="s">
        <v>53</v>
      </c>
      <c r="H82" s="22"/>
      <c r="I82" s="30"/>
      <c r="J82" s="31">
        <v>2000</v>
      </c>
      <c r="K82" s="3" t="str">
        <f t="shared" si="4"/>
        <v>2515</v>
      </c>
      <c r="L82" t="str">
        <f t="shared" si="5"/>
        <v>HHF</v>
      </c>
      <c r="M82" s="4">
        <f t="shared" si="6"/>
        <v>2000</v>
      </c>
      <c r="N82" t="str">
        <f t="shared" si="7"/>
        <v>中工</v>
      </c>
    </row>
    <row r="83" spans="1:14" ht="20.25" customHeight="1" x14ac:dyDescent="0.25">
      <c r="A83" s="21" t="s">
        <v>282</v>
      </c>
      <c r="B83" s="22" t="s">
        <v>283</v>
      </c>
      <c r="C83" s="21">
        <v>2520</v>
      </c>
      <c r="D83" s="22" t="s">
        <v>284</v>
      </c>
      <c r="E83" s="14" t="s">
        <v>52</v>
      </c>
      <c r="F83" s="15"/>
      <c r="G83" s="23" t="s">
        <v>53</v>
      </c>
      <c r="H83" s="22"/>
      <c r="I83" s="30"/>
      <c r="J83" s="31">
        <v>2000</v>
      </c>
      <c r="K83" s="3" t="str">
        <f t="shared" si="4"/>
        <v>2520</v>
      </c>
      <c r="L83" t="str">
        <f t="shared" si="5"/>
        <v>HIF</v>
      </c>
      <c r="M83" s="4">
        <f t="shared" si="6"/>
        <v>2000</v>
      </c>
      <c r="N83" t="str">
        <f t="shared" si="7"/>
        <v>冠德</v>
      </c>
    </row>
    <row r="84" spans="1:14" ht="20.25" customHeight="1" x14ac:dyDescent="0.25">
      <c r="A84" s="21" t="s">
        <v>285</v>
      </c>
      <c r="B84" s="22" t="s">
        <v>286</v>
      </c>
      <c r="C84" s="21">
        <v>2542</v>
      </c>
      <c r="D84" s="22" t="s">
        <v>287</v>
      </c>
      <c r="E84" s="14" t="s">
        <v>52</v>
      </c>
      <c r="F84" s="15"/>
      <c r="G84" s="23" t="s">
        <v>53</v>
      </c>
      <c r="H84" s="22"/>
      <c r="I84" s="30"/>
      <c r="J84" s="31">
        <v>2000</v>
      </c>
      <c r="K84" s="3" t="str">
        <f t="shared" si="4"/>
        <v>2542</v>
      </c>
      <c r="L84" t="str">
        <f t="shared" si="5"/>
        <v>HLF</v>
      </c>
      <c r="M84" s="4">
        <f t="shared" si="6"/>
        <v>2000</v>
      </c>
      <c r="N84" t="str">
        <f t="shared" si="7"/>
        <v>興富發</v>
      </c>
    </row>
    <row r="85" spans="1:14" ht="20.25" customHeight="1" x14ac:dyDescent="0.25">
      <c r="A85" s="21" t="s">
        <v>288</v>
      </c>
      <c r="B85" s="22" t="s">
        <v>289</v>
      </c>
      <c r="C85" s="21">
        <v>2548</v>
      </c>
      <c r="D85" s="22" t="s">
        <v>290</v>
      </c>
      <c r="E85" s="14" t="s">
        <v>52</v>
      </c>
      <c r="F85" s="15"/>
      <c r="G85" s="23" t="s">
        <v>53</v>
      </c>
      <c r="H85" s="22"/>
      <c r="I85" s="30"/>
      <c r="J85" s="31">
        <v>2000</v>
      </c>
      <c r="K85" s="3" t="str">
        <f t="shared" si="4"/>
        <v>2548</v>
      </c>
      <c r="L85" t="str">
        <f t="shared" si="5"/>
        <v>HOF</v>
      </c>
      <c r="M85" s="4">
        <f t="shared" si="6"/>
        <v>2000</v>
      </c>
      <c r="N85" t="str">
        <f t="shared" si="7"/>
        <v>華固</v>
      </c>
    </row>
    <row r="86" spans="1:14" ht="20.25" customHeight="1" x14ac:dyDescent="0.25">
      <c r="A86" s="21" t="s">
        <v>291</v>
      </c>
      <c r="B86" s="22" t="s">
        <v>292</v>
      </c>
      <c r="C86" s="21">
        <v>2618</v>
      </c>
      <c r="D86" s="22" t="s">
        <v>293</v>
      </c>
      <c r="E86" s="14" t="s">
        <v>52</v>
      </c>
      <c r="F86" s="15"/>
      <c r="G86" s="23" t="s">
        <v>53</v>
      </c>
      <c r="H86" s="22"/>
      <c r="I86" s="30"/>
      <c r="J86" s="31">
        <v>2000</v>
      </c>
      <c r="K86" s="3" t="str">
        <f t="shared" si="4"/>
        <v>2618</v>
      </c>
      <c r="L86" t="str">
        <f t="shared" si="5"/>
        <v>HSF</v>
      </c>
      <c r="M86" s="4">
        <f t="shared" si="6"/>
        <v>2000</v>
      </c>
      <c r="N86" t="str">
        <f t="shared" si="7"/>
        <v>長榮航</v>
      </c>
    </row>
    <row r="87" spans="1:14" ht="20.25" customHeight="1" x14ac:dyDescent="0.25">
      <c r="A87" s="21" t="s">
        <v>294</v>
      </c>
      <c r="B87" s="22" t="s">
        <v>295</v>
      </c>
      <c r="C87" s="21">
        <v>2823</v>
      </c>
      <c r="D87" s="22" t="s">
        <v>296</v>
      </c>
      <c r="E87" s="14" t="s">
        <v>52</v>
      </c>
      <c r="F87" s="15"/>
      <c r="G87" s="23" t="s">
        <v>53</v>
      </c>
      <c r="H87" s="22"/>
      <c r="I87" s="30"/>
      <c r="J87" s="31">
        <v>2000</v>
      </c>
      <c r="K87" s="3" t="str">
        <f t="shared" si="4"/>
        <v>2823</v>
      </c>
      <c r="L87" t="str">
        <f t="shared" si="5"/>
        <v>HYF</v>
      </c>
      <c r="M87" s="4">
        <f t="shared" si="6"/>
        <v>2000</v>
      </c>
      <c r="N87" t="str">
        <f t="shared" si="7"/>
        <v>中壽</v>
      </c>
    </row>
    <row r="88" spans="1:14" ht="20.25" customHeight="1" x14ac:dyDescent="0.25">
      <c r="A88" s="21" t="s">
        <v>297</v>
      </c>
      <c r="B88" s="22" t="s">
        <v>298</v>
      </c>
      <c r="C88" s="21">
        <v>2834</v>
      </c>
      <c r="D88" s="22" t="s">
        <v>299</v>
      </c>
      <c r="E88" s="14" t="s">
        <v>52</v>
      </c>
      <c r="F88" s="15"/>
      <c r="G88" s="23" t="s">
        <v>53</v>
      </c>
      <c r="H88" s="22"/>
      <c r="I88" s="30"/>
      <c r="J88" s="31">
        <v>2000</v>
      </c>
      <c r="K88" s="3" t="str">
        <f t="shared" si="4"/>
        <v>2834</v>
      </c>
      <c r="L88" t="str">
        <f t="shared" si="5"/>
        <v>IAF</v>
      </c>
      <c r="M88" s="4">
        <f t="shared" si="6"/>
        <v>2000</v>
      </c>
      <c r="N88" t="str">
        <f t="shared" si="7"/>
        <v>臺企銀</v>
      </c>
    </row>
    <row r="89" spans="1:14" ht="20.25" customHeight="1" x14ac:dyDescent="0.25">
      <c r="A89" s="21" t="s">
        <v>300</v>
      </c>
      <c r="B89" s="22" t="s">
        <v>301</v>
      </c>
      <c r="C89" s="21">
        <v>2913</v>
      </c>
      <c r="D89" s="22" t="s">
        <v>302</v>
      </c>
      <c r="E89" s="14" t="s">
        <v>52</v>
      </c>
      <c r="F89" s="15"/>
      <c r="G89" s="23" t="s">
        <v>53</v>
      </c>
      <c r="H89" s="22"/>
      <c r="I89" s="30"/>
      <c r="J89" s="31">
        <v>2000</v>
      </c>
      <c r="K89" s="3" t="str">
        <f t="shared" si="4"/>
        <v>2913</v>
      </c>
      <c r="L89" t="str">
        <f t="shared" si="5"/>
        <v>IHF</v>
      </c>
      <c r="M89" s="4">
        <f t="shared" si="6"/>
        <v>2000</v>
      </c>
      <c r="N89" t="str">
        <f t="shared" si="7"/>
        <v>農林</v>
      </c>
    </row>
    <row r="90" spans="1:14" ht="20.25" customHeight="1" x14ac:dyDescent="0.25">
      <c r="A90" s="21" t="s">
        <v>303</v>
      </c>
      <c r="B90" s="22" t="s">
        <v>304</v>
      </c>
      <c r="C90" s="21">
        <v>3006</v>
      </c>
      <c r="D90" s="22" t="s">
        <v>305</v>
      </c>
      <c r="E90" s="14" t="s">
        <v>52</v>
      </c>
      <c r="F90" s="15"/>
      <c r="G90" s="23" t="s">
        <v>53</v>
      </c>
      <c r="H90" s="22"/>
      <c r="I90" s="30"/>
      <c r="J90" s="31">
        <v>2000</v>
      </c>
      <c r="K90" s="3" t="str">
        <f t="shared" si="4"/>
        <v>3006</v>
      </c>
      <c r="L90" t="str">
        <f t="shared" si="5"/>
        <v>IIF</v>
      </c>
      <c r="M90" s="4">
        <f t="shared" si="6"/>
        <v>2000</v>
      </c>
      <c r="N90" t="str">
        <f t="shared" si="7"/>
        <v>晶豪科</v>
      </c>
    </row>
    <row r="91" spans="1:14" ht="20.25" customHeight="1" x14ac:dyDescent="0.25">
      <c r="A91" s="21" t="s">
        <v>306</v>
      </c>
      <c r="B91" s="22" t="s">
        <v>307</v>
      </c>
      <c r="C91" s="21">
        <v>3008</v>
      </c>
      <c r="D91" s="22" t="s">
        <v>308</v>
      </c>
      <c r="E91" s="14" t="s">
        <v>52</v>
      </c>
      <c r="F91" s="15" t="s">
        <v>52</v>
      </c>
      <c r="G91" s="23" t="s">
        <v>53</v>
      </c>
      <c r="H91" s="22"/>
      <c r="I91" s="30"/>
      <c r="J91" s="31">
        <v>2000</v>
      </c>
      <c r="K91" s="3" t="str">
        <f t="shared" si="4"/>
        <v>3008</v>
      </c>
      <c r="L91" t="str">
        <f t="shared" si="5"/>
        <v>IJF</v>
      </c>
      <c r="M91" s="4">
        <f t="shared" si="6"/>
        <v>2000</v>
      </c>
      <c r="N91" t="str">
        <f t="shared" si="7"/>
        <v>大立光</v>
      </c>
    </row>
    <row r="92" spans="1:14" ht="20.25" customHeight="1" x14ac:dyDescent="0.25">
      <c r="A92" s="21" t="s">
        <v>309</v>
      </c>
      <c r="B92" s="22" t="s">
        <v>310</v>
      </c>
      <c r="C92" s="21">
        <v>3019</v>
      </c>
      <c r="D92" s="22" t="s">
        <v>311</v>
      </c>
      <c r="E92" s="14" t="s">
        <v>52</v>
      </c>
      <c r="F92" s="15"/>
      <c r="G92" s="23" t="s">
        <v>53</v>
      </c>
      <c r="H92" s="22"/>
      <c r="I92" s="30"/>
      <c r="J92" s="31">
        <v>2000</v>
      </c>
      <c r="K92" s="3" t="str">
        <f t="shared" si="4"/>
        <v>3019</v>
      </c>
      <c r="L92" t="str">
        <f t="shared" si="5"/>
        <v>IMF</v>
      </c>
      <c r="M92" s="4">
        <f t="shared" si="6"/>
        <v>2000</v>
      </c>
      <c r="N92" t="str">
        <f t="shared" si="7"/>
        <v>亞光</v>
      </c>
    </row>
    <row r="93" spans="1:14" ht="20.25" customHeight="1" x14ac:dyDescent="0.25">
      <c r="A93" s="21" t="s">
        <v>312</v>
      </c>
      <c r="B93" s="22" t="s">
        <v>313</v>
      </c>
      <c r="C93" s="21">
        <v>3034</v>
      </c>
      <c r="D93" s="22" t="s">
        <v>314</v>
      </c>
      <c r="E93" s="14" t="s">
        <v>52</v>
      </c>
      <c r="F93" s="15"/>
      <c r="G93" s="23" t="s">
        <v>53</v>
      </c>
      <c r="H93" s="22"/>
      <c r="I93" s="30"/>
      <c r="J93" s="31">
        <v>2000</v>
      </c>
      <c r="K93" s="3" t="str">
        <f t="shared" si="4"/>
        <v>3034</v>
      </c>
      <c r="L93" t="str">
        <f t="shared" si="5"/>
        <v>IOF</v>
      </c>
      <c r="M93" s="4">
        <f t="shared" si="6"/>
        <v>2000</v>
      </c>
      <c r="N93" t="str">
        <f t="shared" si="7"/>
        <v>聯詠</v>
      </c>
    </row>
    <row r="94" spans="1:14" ht="20.25" customHeight="1" x14ac:dyDescent="0.25">
      <c r="A94" s="21" t="s">
        <v>315</v>
      </c>
      <c r="B94" s="22" t="s">
        <v>316</v>
      </c>
      <c r="C94" s="21">
        <v>3035</v>
      </c>
      <c r="D94" s="22" t="s">
        <v>317</v>
      </c>
      <c r="E94" s="14" t="s">
        <v>52</v>
      </c>
      <c r="F94" s="15"/>
      <c r="G94" s="23" t="s">
        <v>53</v>
      </c>
      <c r="H94" s="22"/>
      <c r="I94" s="30"/>
      <c r="J94" s="31">
        <v>2000</v>
      </c>
      <c r="K94" s="3" t="str">
        <f t="shared" si="4"/>
        <v>3035</v>
      </c>
      <c r="L94" t="str">
        <f t="shared" si="5"/>
        <v>IPF</v>
      </c>
      <c r="M94" s="4">
        <f t="shared" si="6"/>
        <v>2000</v>
      </c>
      <c r="N94" t="str">
        <f t="shared" si="7"/>
        <v>智原</v>
      </c>
    </row>
    <row r="95" spans="1:14" ht="20.25" customHeight="1" x14ac:dyDescent="0.25">
      <c r="A95" s="21" t="s">
        <v>318</v>
      </c>
      <c r="B95" s="22" t="s">
        <v>319</v>
      </c>
      <c r="C95" s="21">
        <v>3036</v>
      </c>
      <c r="D95" s="22" t="s">
        <v>320</v>
      </c>
      <c r="E95" s="14" t="s">
        <v>52</v>
      </c>
      <c r="F95" s="15"/>
      <c r="G95" s="23" t="s">
        <v>53</v>
      </c>
      <c r="H95" s="22"/>
      <c r="I95" s="30"/>
      <c r="J95" s="31">
        <v>2000</v>
      </c>
      <c r="K95" s="3" t="str">
        <f t="shared" si="4"/>
        <v>3036</v>
      </c>
      <c r="L95" t="str">
        <f t="shared" si="5"/>
        <v>IQF</v>
      </c>
      <c r="M95" s="4">
        <f t="shared" si="6"/>
        <v>2000</v>
      </c>
      <c r="N95" t="str">
        <f t="shared" si="7"/>
        <v>文曄</v>
      </c>
    </row>
    <row r="96" spans="1:14" ht="20.25" customHeight="1" x14ac:dyDescent="0.25">
      <c r="A96" s="21" t="s">
        <v>321</v>
      </c>
      <c r="B96" s="22" t="s">
        <v>322</v>
      </c>
      <c r="C96" s="21">
        <v>3037</v>
      </c>
      <c r="D96" s="22" t="s">
        <v>323</v>
      </c>
      <c r="E96" s="14" t="s">
        <v>52</v>
      </c>
      <c r="F96" s="15"/>
      <c r="G96" s="23" t="s">
        <v>53</v>
      </c>
      <c r="H96" s="22"/>
      <c r="I96" s="30"/>
      <c r="J96" s="31">
        <v>2000</v>
      </c>
      <c r="K96" s="3" t="str">
        <f t="shared" si="4"/>
        <v>3037</v>
      </c>
      <c r="L96" t="str">
        <f t="shared" si="5"/>
        <v>IRF</v>
      </c>
      <c r="M96" s="4">
        <f t="shared" si="6"/>
        <v>2000</v>
      </c>
      <c r="N96" t="str">
        <f t="shared" si="7"/>
        <v>欣興</v>
      </c>
    </row>
    <row r="97" spans="1:14" ht="20.25" customHeight="1" x14ac:dyDescent="0.25">
      <c r="A97" s="21" t="s">
        <v>324</v>
      </c>
      <c r="B97" s="22" t="s">
        <v>325</v>
      </c>
      <c r="C97" s="21">
        <v>3042</v>
      </c>
      <c r="D97" s="22" t="s">
        <v>326</v>
      </c>
      <c r="E97" s="14" t="s">
        <v>52</v>
      </c>
      <c r="F97" s="15"/>
      <c r="G97" s="23" t="s">
        <v>53</v>
      </c>
      <c r="H97" s="22"/>
      <c r="I97" s="30"/>
      <c r="J97" s="31">
        <v>2000</v>
      </c>
      <c r="K97" s="3" t="str">
        <f t="shared" si="4"/>
        <v>3042</v>
      </c>
      <c r="L97" t="str">
        <f t="shared" si="5"/>
        <v>ITF</v>
      </c>
      <c r="M97" s="4">
        <f t="shared" si="6"/>
        <v>2000</v>
      </c>
      <c r="N97" t="str">
        <f t="shared" si="7"/>
        <v>晶技</v>
      </c>
    </row>
    <row r="98" spans="1:14" ht="20.25" customHeight="1" x14ac:dyDescent="0.25">
      <c r="A98" s="21" t="s">
        <v>327</v>
      </c>
      <c r="B98" s="22" t="s">
        <v>328</v>
      </c>
      <c r="C98" s="21">
        <v>3189</v>
      </c>
      <c r="D98" s="22" t="s">
        <v>329</v>
      </c>
      <c r="E98" s="14" t="s">
        <v>52</v>
      </c>
      <c r="F98" s="15"/>
      <c r="G98" s="23" t="s">
        <v>53</v>
      </c>
      <c r="H98" s="22"/>
      <c r="I98" s="30"/>
      <c r="J98" s="31">
        <v>2000</v>
      </c>
      <c r="K98" s="3" t="str">
        <f t="shared" si="4"/>
        <v>3189</v>
      </c>
      <c r="L98" t="str">
        <f t="shared" si="5"/>
        <v>IXF</v>
      </c>
      <c r="M98" s="4">
        <f t="shared" si="6"/>
        <v>2000</v>
      </c>
      <c r="N98" t="str">
        <f t="shared" si="7"/>
        <v>景碩</v>
      </c>
    </row>
    <row r="99" spans="1:14" ht="20.25" customHeight="1" x14ac:dyDescent="0.25">
      <c r="A99" s="21" t="s">
        <v>330</v>
      </c>
      <c r="B99" s="22" t="s">
        <v>331</v>
      </c>
      <c r="C99" s="21">
        <v>3376</v>
      </c>
      <c r="D99" s="22" t="s">
        <v>332</v>
      </c>
      <c r="E99" s="14" t="s">
        <v>52</v>
      </c>
      <c r="F99" s="15"/>
      <c r="G99" s="23" t="s">
        <v>53</v>
      </c>
      <c r="H99" s="22"/>
      <c r="I99" s="30"/>
      <c r="J99" s="31">
        <v>2000</v>
      </c>
      <c r="K99" s="3" t="str">
        <f t="shared" si="4"/>
        <v>3376</v>
      </c>
      <c r="L99" t="str">
        <f t="shared" si="5"/>
        <v>IYF</v>
      </c>
      <c r="M99" s="4">
        <f t="shared" si="6"/>
        <v>2000</v>
      </c>
      <c r="N99" t="str">
        <f t="shared" si="7"/>
        <v>新日興</v>
      </c>
    </row>
    <row r="100" spans="1:14" ht="20.25" customHeight="1" x14ac:dyDescent="0.25">
      <c r="A100" s="21" t="s">
        <v>333</v>
      </c>
      <c r="B100" s="22" t="s">
        <v>334</v>
      </c>
      <c r="C100" s="21">
        <v>3380</v>
      </c>
      <c r="D100" s="22" t="s">
        <v>335</v>
      </c>
      <c r="E100" s="14" t="s">
        <v>52</v>
      </c>
      <c r="F100" s="15"/>
      <c r="G100" s="23" t="s">
        <v>53</v>
      </c>
      <c r="H100" s="22"/>
      <c r="I100" s="30"/>
      <c r="J100" s="31">
        <v>2000</v>
      </c>
      <c r="K100" s="3" t="str">
        <f t="shared" si="4"/>
        <v>3380</v>
      </c>
      <c r="L100" t="str">
        <f t="shared" si="5"/>
        <v>IZF</v>
      </c>
      <c r="M100" s="4">
        <f t="shared" si="6"/>
        <v>2000</v>
      </c>
      <c r="N100" t="str">
        <f t="shared" si="7"/>
        <v>明泰</v>
      </c>
    </row>
    <row r="101" spans="1:14" ht="20.25" customHeight="1" x14ac:dyDescent="0.25">
      <c r="A101" s="21" t="s">
        <v>336</v>
      </c>
      <c r="B101" s="22" t="s">
        <v>337</v>
      </c>
      <c r="C101" s="21">
        <v>3443</v>
      </c>
      <c r="D101" s="22" t="s">
        <v>338</v>
      </c>
      <c r="E101" s="14" t="s">
        <v>52</v>
      </c>
      <c r="F101" s="15"/>
      <c r="G101" s="23" t="s">
        <v>53</v>
      </c>
      <c r="H101" s="22"/>
      <c r="I101" s="30"/>
      <c r="J101" s="31">
        <v>2000</v>
      </c>
      <c r="K101" s="3" t="str">
        <f t="shared" si="4"/>
        <v>3443</v>
      </c>
      <c r="L101" t="str">
        <f t="shared" si="5"/>
        <v>JBF</v>
      </c>
      <c r="M101" s="4">
        <f t="shared" si="6"/>
        <v>2000</v>
      </c>
      <c r="N101" t="str">
        <f t="shared" si="7"/>
        <v>創意</v>
      </c>
    </row>
    <row r="102" spans="1:14" ht="20.25" customHeight="1" x14ac:dyDescent="0.25">
      <c r="A102" s="21" t="s">
        <v>339</v>
      </c>
      <c r="B102" s="22" t="s">
        <v>340</v>
      </c>
      <c r="C102" s="21">
        <v>3533</v>
      </c>
      <c r="D102" s="22" t="s">
        <v>341</v>
      </c>
      <c r="E102" s="14" t="s">
        <v>52</v>
      </c>
      <c r="F102" s="15"/>
      <c r="G102" s="23" t="s">
        <v>53</v>
      </c>
      <c r="H102" s="22"/>
      <c r="I102" s="30"/>
      <c r="J102" s="31">
        <v>2000</v>
      </c>
      <c r="K102" s="3" t="str">
        <f t="shared" si="4"/>
        <v>3533</v>
      </c>
      <c r="L102" t="str">
        <f t="shared" si="5"/>
        <v>JFF</v>
      </c>
      <c r="M102" s="4">
        <f t="shared" si="6"/>
        <v>2000</v>
      </c>
      <c r="N102" t="str">
        <f t="shared" si="7"/>
        <v>嘉澤</v>
      </c>
    </row>
    <row r="103" spans="1:14" ht="20.25" customHeight="1" x14ac:dyDescent="0.25">
      <c r="A103" s="21" t="s">
        <v>834</v>
      </c>
      <c r="B103" s="22" t="s">
        <v>835</v>
      </c>
      <c r="C103" s="21">
        <v>3653</v>
      </c>
      <c r="D103" s="22" t="s">
        <v>836</v>
      </c>
      <c r="E103" s="14" t="s">
        <v>52</v>
      </c>
      <c r="F103" s="15"/>
      <c r="G103" s="23" t="s">
        <v>53</v>
      </c>
      <c r="H103" s="22"/>
      <c r="I103" s="30"/>
      <c r="J103" s="31">
        <v>2000</v>
      </c>
      <c r="K103" s="3" t="str">
        <f t="shared" si="4"/>
        <v>3653</v>
      </c>
      <c r="L103" t="str">
        <f t="shared" si="5"/>
        <v>JMF</v>
      </c>
      <c r="M103" s="4">
        <f t="shared" si="6"/>
        <v>2000</v>
      </c>
      <c r="N103" t="str">
        <f t="shared" si="7"/>
        <v>健策</v>
      </c>
    </row>
    <row r="104" spans="1:14" ht="20.25" customHeight="1" x14ac:dyDescent="0.25">
      <c r="A104" s="21" t="s">
        <v>342</v>
      </c>
      <c r="B104" s="22" t="s">
        <v>343</v>
      </c>
      <c r="C104" s="21">
        <v>3673</v>
      </c>
      <c r="D104" s="22" t="s">
        <v>344</v>
      </c>
      <c r="E104" s="14" t="s">
        <v>52</v>
      </c>
      <c r="F104" s="15"/>
      <c r="G104" s="23" t="s">
        <v>53</v>
      </c>
      <c r="H104" s="22"/>
      <c r="I104" s="30"/>
      <c r="J104" s="31">
        <v>2000</v>
      </c>
      <c r="K104" s="3" t="str">
        <f t="shared" si="4"/>
        <v>3673</v>
      </c>
      <c r="L104" t="str">
        <f t="shared" si="5"/>
        <v>JNF</v>
      </c>
      <c r="M104" s="4">
        <f t="shared" si="6"/>
        <v>2000</v>
      </c>
      <c r="N104" t="str">
        <f t="shared" si="7"/>
        <v>TPK-KY</v>
      </c>
    </row>
    <row r="105" spans="1:14" ht="20.25" customHeight="1" x14ac:dyDescent="0.25">
      <c r="A105" s="21" t="s">
        <v>345</v>
      </c>
      <c r="B105" s="22" t="s">
        <v>346</v>
      </c>
      <c r="C105" s="21">
        <v>3702</v>
      </c>
      <c r="D105" s="22" t="s">
        <v>347</v>
      </c>
      <c r="E105" s="14" t="s">
        <v>52</v>
      </c>
      <c r="F105" s="15"/>
      <c r="G105" s="23" t="s">
        <v>53</v>
      </c>
      <c r="H105" s="22"/>
      <c r="I105" s="30"/>
      <c r="J105" s="31">
        <v>2000</v>
      </c>
      <c r="K105" s="3" t="str">
        <f t="shared" si="4"/>
        <v>3702</v>
      </c>
      <c r="L105" t="str">
        <f t="shared" si="5"/>
        <v>JPF</v>
      </c>
      <c r="M105" s="4">
        <f t="shared" si="6"/>
        <v>2000</v>
      </c>
      <c r="N105" t="str">
        <f t="shared" si="7"/>
        <v>大聯大</v>
      </c>
    </row>
    <row r="106" spans="1:14" ht="20.25" customHeight="1" x14ac:dyDescent="0.25">
      <c r="A106" s="21" t="s">
        <v>348</v>
      </c>
      <c r="B106" s="22" t="s">
        <v>349</v>
      </c>
      <c r="C106" s="21">
        <v>4938</v>
      </c>
      <c r="D106" s="22" t="s">
        <v>350</v>
      </c>
      <c r="E106" s="14" t="s">
        <v>52</v>
      </c>
      <c r="F106" s="15"/>
      <c r="G106" s="23" t="s">
        <v>53</v>
      </c>
      <c r="H106" s="22"/>
      <c r="I106" s="30"/>
      <c r="J106" s="31">
        <v>2000</v>
      </c>
      <c r="K106" s="3" t="str">
        <f t="shared" si="4"/>
        <v>4938</v>
      </c>
      <c r="L106" t="str">
        <f t="shared" si="5"/>
        <v>JSF</v>
      </c>
      <c r="M106" s="4">
        <f t="shared" si="6"/>
        <v>2000</v>
      </c>
      <c r="N106" t="str">
        <f t="shared" si="7"/>
        <v>和碩</v>
      </c>
    </row>
    <row r="107" spans="1:14" ht="20.25" customHeight="1" x14ac:dyDescent="0.25">
      <c r="A107" s="21" t="s">
        <v>351</v>
      </c>
      <c r="B107" s="22" t="s">
        <v>352</v>
      </c>
      <c r="C107" s="21">
        <v>5534</v>
      </c>
      <c r="D107" s="22" t="s">
        <v>353</v>
      </c>
      <c r="E107" s="14" t="s">
        <v>52</v>
      </c>
      <c r="F107" s="15"/>
      <c r="G107" s="23" t="s">
        <v>53</v>
      </c>
      <c r="H107" s="22"/>
      <c r="I107" s="30"/>
      <c r="J107" s="31">
        <v>2000</v>
      </c>
      <c r="K107" s="3" t="str">
        <f t="shared" si="4"/>
        <v>5534</v>
      </c>
      <c r="L107" t="str">
        <f t="shared" si="5"/>
        <v>JWF</v>
      </c>
      <c r="M107" s="4">
        <f t="shared" si="6"/>
        <v>2000</v>
      </c>
      <c r="N107" t="str">
        <f t="shared" si="7"/>
        <v>長虹</v>
      </c>
    </row>
    <row r="108" spans="1:14" ht="20.25" customHeight="1" x14ac:dyDescent="0.25">
      <c r="A108" s="21" t="s">
        <v>354</v>
      </c>
      <c r="B108" s="22" t="s">
        <v>355</v>
      </c>
      <c r="C108" s="21">
        <v>6153</v>
      </c>
      <c r="D108" s="22" t="s">
        <v>356</v>
      </c>
      <c r="E108" s="14" t="s">
        <v>52</v>
      </c>
      <c r="F108" s="15"/>
      <c r="G108" s="23" t="s">
        <v>53</v>
      </c>
      <c r="H108" s="22"/>
      <c r="I108" s="30"/>
      <c r="J108" s="31">
        <v>2000</v>
      </c>
      <c r="K108" s="3" t="str">
        <f t="shared" si="4"/>
        <v>6153</v>
      </c>
      <c r="L108" t="str">
        <f t="shared" si="5"/>
        <v>JZF</v>
      </c>
      <c r="M108" s="4">
        <f t="shared" si="6"/>
        <v>2000</v>
      </c>
      <c r="N108" t="str">
        <f t="shared" si="7"/>
        <v>嘉聯益</v>
      </c>
    </row>
    <row r="109" spans="1:14" ht="20.25" customHeight="1" x14ac:dyDescent="0.25">
      <c r="A109" s="21" t="s">
        <v>357</v>
      </c>
      <c r="B109" s="22" t="s">
        <v>358</v>
      </c>
      <c r="C109" s="21">
        <v>6176</v>
      </c>
      <c r="D109" s="22" t="s">
        <v>359</v>
      </c>
      <c r="E109" s="14" t="s">
        <v>52</v>
      </c>
      <c r="F109" s="15"/>
      <c r="G109" s="23" t="s">
        <v>53</v>
      </c>
      <c r="H109" s="22"/>
      <c r="I109" s="30"/>
      <c r="J109" s="31">
        <v>2000</v>
      </c>
      <c r="K109" s="3" t="str">
        <f t="shared" si="4"/>
        <v>6176</v>
      </c>
      <c r="L109" t="str">
        <f t="shared" si="5"/>
        <v>KAF</v>
      </c>
      <c r="M109" s="4">
        <f t="shared" si="6"/>
        <v>2000</v>
      </c>
      <c r="N109" t="str">
        <f t="shared" si="7"/>
        <v>瑞儀</v>
      </c>
    </row>
    <row r="110" spans="1:14" ht="20.25" customHeight="1" x14ac:dyDescent="0.25">
      <c r="A110" s="21" t="s">
        <v>360</v>
      </c>
      <c r="B110" s="22" t="s">
        <v>361</v>
      </c>
      <c r="C110" s="21">
        <v>6213</v>
      </c>
      <c r="D110" s="22" t="s">
        <v>362</v>
      </c>
      <c r="E110" s="14" t="s">
        <v>52</v>
      </c>
      <c r="F110" s="15"/>
      <c r="G110" s="23" t="s">
        <v>53</v>
      </c>
      <c r="H110" s="22"/>
      <c r="I110" s="30"/>
      <c r="J110" s="31">
        <v>2000</v>
      </c>
      <c r="K110" s="3" t="str">
        <f t="shared" si="4"/>
        <v>6213</v>
      </c>
      <c r="L110" t="str">
        <f t="shared" si="5"/>
        <v>KBF</v>
      </c>
      <c r="M110" s="4">
        <f t="shared" si="6"/>
        <v>2000</v>
      </c>
      <c r="N110" t="str">
        <f t="shared" si="7"/>
        <v>聯茂</v>
      </c>
    </row>
    <row r="111" spans="1:14" ht="20.25" customHeight="1" x14ac:dyDescent="0.25">
      <c r="A111" s="21" t="s">
        <v>363</v>
      </c>
      <c r="B111" s="22" t="s">
        <v>364</v>
      </c>
      <c r="C111" s="21">
        <v>6239</v>
      </c>
      <c r="D111" s="22" t="s">
        <v>365</v>
      </c>
      <c r="E111" s="14" t="s">
        <v>52</v>
      </c>
      <c r="F111" s="15"/>
      <c r="G111" s="23" t="s">
        <v>53</v>
      </c>
      <c r="H111" s="22"/>
      <c r="I111" s="30"/>
      <c r="J111" s="31">
        <v>2000</v>
      </c>
      <c r="K111" s="3" t="str">
        <f t="shared" si="4"/>
        <v>6239</v>
      </c>
      <c r="L111" t="str">
        <f t="shared" si="5"/>
        <v>KCF</v>
      </c>
      <c r="M111" s="4">
        <f t="shared" si="6"/>
        <v>2000</v>
      </c>
      <c r="N111" t="str">
        <f t="shared" si="7"/>
        <v>力成</v>
      </c>
    </row>
    <row r="112" spans="1:14" ht="20.25" customHeight="1" x14ac:dyDescent="0.25">
      <c r="A112" s="21" t="s">
        <v>366</v>
      </c>
      <c r="B112" s="22" t="s">
        <v>367</v>
      </c>
      <c r="C112" s="21">
        <v>6271</v>
      </c>
      <c r="D112" s="22" t="s">
        <v>368</v>
      </c>
      <c r="E112" s="14" t="s">
        <v>52</v>
      </c>
      <c r="F112" s="15"/>
      <c r="G112" s="23" t="s">
        <v>53</v>
      </c>
      <c r="H112" s="22"/>
      <c r="I112" s="30"/>
      <c r="J112" s="31">
        <v>2000</v>
      </c>
      <c r="K112" s="3" t="str">
        <f t="shared" si="4"/>
        <v>6271</v>
      </c>
      <c r="L112" t="str">
        <f t="shared" si="5"/>
        <v>KDF</v>
      </c>
      <c r="M112" s="4">
        <f t="shared" si="6"/>
        <v>2000</v>
      </c>
      <c r="N112" t="str">
        <f t="shared" si="7"/>
        <v>同欣電</v>
      </c>
    </row>
    <row r="113" spans="1:14" ht="20.25" customHeight="1" x14ac:dyDescent="0.25">
      <c r="A113" s="21" t="s">
        <v>837</v>
      </c>
      <c r="B113" s="22" t="s">
        <v>838</v>
      </c>
      <c r="C113" s="32">
        <v>6278</v>
      </c>
      <c r="D113" s="22" t="s">
        <v>839</v>
      </c>
      <c r="E113" s="14" t="s">
        <v>52</v>
      </c>
      <c r="F113" s="42"/>
      <c r="G113" s="24" t="s">
        <v>53</v>
      </c>
      <c r="H113" s="24"/>
      <c r="I113" s="24"/>
      <c r="J113" s="31">
        <v>2000</v>
      </c>
      <c r="K113" s="3" t="str">
        <f t="shared" si="4"/>
        <v>6278</v>
      </c>
      <c r="L113" t="str">
        <f t="shared" si="5"/>
        <v>KEF</v>
      </c>
      <c r="M113" s="4">
        <f t="shared" si="6"/>
        <v>2000</v>
      </c>
      <c r="N113" t="str">
        <f t="shared" si="7"/>
        <v>台表科</v>
      </c>
    </row>
    <row r="114" spans="1:14" ht="20.25" customHeight="1" x14ac:dyDescent="0.25">
      <c r="A114" s="21" t="s">
        <v>369</v>
      </c>
      <c r="B114" s="22" t="s">
        <v>370</v>
      </c>
      <c r="C114" s="21">
        <v>6282</v>
      </c>
      <c r="D114" s="22" t="s">
        <v>371</v>
      </c>
      <c r="E114" s="14" t="s">
        <v>52</v>
      </c>
      <c r="F114" s="15"/>
      <c r="G114" s="23" t="s">
        <v>53</v>
      </c>
      <c r="H114" s="22"/>
      <c r="I114" s="30"/>
      <c r="J114" s="31">
        <v>2000</v>
      </c>
      <c r="K114" s="3" t="str">
        <f t="shared" si="4"/>
        <v>6282</v>
      </c>
      <c r="L114" t="str">
        <f t="shared" si="5"/>
        <v>KFF</v>
      </c>
      <c r="M114" s="4">
        <f t="shared" si="6"/>
        <v>2000</v>
      </c>
      <c r="N114" t="str">
        <f t="shared" si="7"/>
        <v>康舒</v>
      </c>
    </row>
    <row r="115" spans="1:14" ht="20.25" customHeight="1" x14ac:dyDescent="0.25">
      <c r="A115" s="21" t="s">
        <v>372</v>
      </c>
      <c r="B115" s="22" t="s">
        <v>373</v>
      </c>
      <c r="C115" s="21">
        <v>6285</v>
      </c>
      <c r="D115" s="22" t="s">
        <v>374</v>
      </c>
      <c r="E115" s="14" t="s">
        <v>52</v>
      </c>
      <c r="F115" s="15"/>
      <c r="G115" s="23" t="s">
        <v>53</v>
      </c>
      <c r="H115" s="22"/>
      <c r="I115" s="30"/>
      <c r="J115" s="31">
        <v>2000</v>
      </c>
      <c r="K115" s="3" t="str">
        <f t="shared" si="4"/>
        <v>6285</v>
      </c>
      <c r="L115" t="str">
        <f t="shared" si="5"/>
        <v>KGF</v>
      </c>
      <c r="M115" s="4">
        <f t="shared" si="6"/>
        <v>2000</v>
      </c>
      <c r="N115" t="str">
        <f t="shared" si="7"/>
        <v>啟碁</v>
      </c>
    </row>
    <row r="116" spans="1:14" ht="20.25" customHeight="1" x14ac:dyDescent="0.25">
      <c r="A116" s="21" t="s">
        <v>375</v>
      </c>
      <c r="B116" s="22" t="s">
        <v>376</v>
      </c>
      <c r="C116" s="21">
        <v>8039</v>
      </c>
      <c r="D116" s="22" t="s">
        <v>377</v>
      </c>
      <c r="E116" s="14" t="s">
        <v>52</v>
      </c>
      <c r="F116" s="15"/>
      <c r="G116" s="23" t="s">
        <v>53</v>
      </c>
      <c r="H116" s="22"/>
      <c r="I116" s="30"/>
      <c r="J116" s="31">
        <v>2000</v>
      </c>
      <c r="K116" s="3" t="str">
        <f t="shared" si="4"/>
        <v>8039</v>
      </c>
      <c r="L116" t="str">
        <f t="shared" si="5"/>
        <v>KIF</v>
      </c>
      <c r="M116" s="4">
        <f t="shared" si="6"/>
        <v>2000</v>
      </c>
      <c r="N116" t="str">
        <f t="shared" si="7"/>
        <v>台虹</v>
      </c>
    </row>
    <row r="117" spans="1:14" ht="20.25" customHeight="1" x14ac:dyDescent="0.25">
      <c r="A117" s="21" t="s">
        <v>378</v>
      </c>
      <c r="B117" s="22" t="s">
        <v>379</v>
      </c>
      <c r="C117" s="21">
        <v>8163</v>
      </c>
      <c r="D117" s="22" t="s">
        <v>380</v>
      </c>
      <c r="E117" s="14" t="s">
        <v>52</v>
      </c>
      <c r="F117" s="15"/>
      <c r="G117" s="23" t="s">
        <v>53</v>
      </c>
      <c r="H117" s="22"/>
      <c r="I117" s="30"/>
      <c r="J117" s="31">
        <v>2000</v>
      </c>
      <c r="K117" s="3" t="str">
        <f t="shared" si="4"/>
        <v>8163</v>
      </c>
      <c r="L117" t="str">
        <f t="shared" si="5"/>
        <v>KKF</v>
      </c>
      <c r="M117" s="4">
        <f t="shared" si="6"/>
        <v>2000</v>
      </c>
      <c r="N117" t="str">
        <f t="shared" si="7"/>
        <v>達方</v>
      </c>
    </row>
    <row r="118" spans="1:14" ht="20.25" customHeight="1" x14ac:dyDescent="0.25">
      <c r="A118" s="21" t="s">
        <v>381</v>
      </c>
      <c r="B118" s="22" t="s">
        <v>382</v>
      </c>
      <c r="C118" s="21">
        <v>9904</v>
      </c>
      <c r="D118" s="22" t="s">
        <v>383</v>
      </c>
      <c r="E118" s="14" t="s">
        <v>52</v>
      </c>
      <c r="F118" s="15"/>
      <c r="G118" s="23" t="s">
        <v>53</v>
      </c>
      <c r="H118" s="22"/>
      <c r="I118" s="30"/>
      <c r="J118" s="31">
        <v>2000</v>
      </c>
      <c r="K118" s="3" t="str">
        <f t="shared" si="4"/>
        <v>9904</v>
      </c>
      <c r="L118" t="str">
        <f t="shared" si="5"/>
        <v>KLF</v>
      </c>
      <c r="M118" s="4">
        <f t="shared" si="6"/>
        <v>2000</v>
      </c>
      <c r="N118" t="str">
        <f t="shared" si="7"/>
        <v>寶成</v>
      </c>
    </row>
    <row r="119" spans="1:14" ht="20.25" customHeight="1" x14ac:dyDescent="0.25">
      <c r="A119" s="21" t="s">
        <v>384</v>
      </c>
      <c r="B119" s="22" t="s">
        <v>385</v>
      </c>
      <c r="C119" s="21">
        <v>9939</v>
      </c>
      <c r="D119" s="22" t="s">
        <v>386</v>
      </c>
      <c r="E119" s="14" t="s">
        <v>52</v>
      </c>
      <c r="F119" s="15"/>
      <c r="G119" s="23" t="s">
        <v>53</v>
      </c>
      <c r="H119" s="22"/>
      <c r="I119" s="30"/>
      <c r="J119" s="31">
        <v>2000</v>
      </c>
      <c r="K119" s="3" t="str">
        <f t="shared" si="4"/>
        <v>9939</v>
      </c>
      <c r="L119" t="str">
        <f t="shared" si="5"/>
        <v>KOF</v>
      </c>
      <c r="M119" s="4">
        <f t="shared" si="6"/>
        <v>2000</v>
      </c>
      <c r="N119" t="str">
        <f t="shared" si="7"/>
        <v>宏全</v>
      </c>
    </row>
    <row r="120" spans="1:14" ht="20.25" customHeight="1" x14ac:dyDescent="0.25">
      <c r="A120" s="21" t="s">
        <v>387</v>
      </c>
      <c r="B120" s="22" t="s">
        <v>388</v>
      </c>
      <c r="C120" s="21">
        <v>9945</v>
      </c>
      <c r="D120" s="22" t="s">
        <v>389</v>
      </c>
      <c r="E120" s="14" t="s">
        <v>52</v>
      </c>
      <c r="F120" s="15"/>
      <c r="G120" s="23" t="s">
        <v>53</v>
      </c>
      <c r="H120" s="22"/>
      <c r="I120" s="30"/>
      <c r="J120" s="31">
        <v>2000</v>
      </c>
      <c r="K120" s="3" t="str">
        <f t="shared" si="4"/>
        <v>9945</v>
      </c>
      <c r="L120" t="str">
        <f t="shared" si="5"/>
        <v>KPF</v>
      </c>
      <c r="M120" s="4">
        <f t="shared" si="6"/>
        <v>2000</v>
      </c>
      <c r="N120" t="str">
        <f t="shared" si="7"/>
        <v>潤泰新</v>
      </c>
    </row>
    <row r="121" spans="1:14" ht="20.25" customHeight="1" x14ac:dyDescent="0.25">
      <c r="A121" s="21" t="s">
        <v>390</v>
      </c>
      <c r="B121" s="22" t="s">
        <v>391</v>
      </c>
      <c r="C121" s="21">
        <v>1477</v>
      </c>
      <c r="D121" s="22" t="s">
        <v>392</v>
      </c>
      <c r="E121" s="14" t="s">
        <v>52</v>
      </c>
      <c r="F121" s="15"/>
      <c r="G121" s="23" t="s">
        <v>53</v>
      </c>
      <c r="H121" s="22"/>
      <c r="I121" s="30"/>
      <c r="J121" s="31">
        <v>2000</v>
      </c>
      <c r="K121" s="3" t="str">
        <f t="shared" si="4"/>
        <v>1477</v>
      </c>
      <c r="L121" t="str">
        <f t="shared" si="5"/>
        <v>KSF</v>
      </c>
      <c r="M121" s="4">
        <f t="shared" si="6"/>
        <v>2000</v>
      </c>
      <c r="N121" t="str">
        <f t="shared" si="7"/>
        <v>聚陽</v>
      </c>
    </row>
    <row r="122" spans="1:14" ht="20.25" customHeight="1" x14ac:dyDescent="0.25">
      <c r="A122" s="21" t="s">
        <v>393</v>
      </c>
      <c r="B122" s="22" t="s">
        <v>394</v>
      </c>
      <c r="C122" s="21">
        <v>2328</v>
      </c>
      <c r="D122" s="22" t="s">
        <v>395</v>
      </c>
      <c r="E122" s="14" t="s">
        <v>52</v>
      </c>
      <c r="F122" s="15"/>
      <c r="G122" s="23" t="s">
        <v>53</v>
      </c>
      <c r="H122" s="22"/>
      <c r="I122" s="30"/>
      <c r="J122" s="31">
        <v>2000</v>
      </c>
      <c r="K122" s="3" t="str">
        <f t="shared" si="4"/>
        <v>2328</v>
      </c>
      <c r="L122" t="str">
        <f t="shared" si="5"/>
        <v>KWF</v>
      </c>
      <c r="M122" s="4">
        <f t="shared" si="6"/>
        <v>2000</v>
      </c>
      <c r="N122" t="str">
        <f t="shared" si="7"/>
        <v>廣宇</v>
      </c>
    </row>
    <row r="123" spans="1:14" ht="20.25" customHeight="1" x14ac:dyDescent="0.25">
      <c r="A123" s="21" t="s">
        <v>396</v>
      </c>
      <c r="B123" s="22" t="s">
        <v>397</v>
      </c>
      <c r="C123" s="21">
        <v>3044</v>
      </c>
      <c r="D123" s="22" t="s">
        <v>398</v>
      </c>
      <c r="E123" s="14" t="s">
        <v>52</v>
      </c>
      <c r="F123" s="15"/>
      <c r="G123" s="23" t="s">
        <v>53</v>
      </c>
      <c r="H123" s="22"/>
      <c r="I123" s="30"/>
      <c r="J123" s="31">
        <v>2000</v>
      </c>
      <c r="K123" s="3" t="str">
        <f t="shared" si="4"/>
        <v>3044</v>
      </c>
      <c r="L123" t="str">
        <f t="shared" si="5"/>
        <v>LBF</v>
      </c>
      <c r="M123" s="4">
        <f t="shared" si="6"/>
        <v>2000</v>
      </c>
      <c r="N123" t="str">
        <f t="shared" si="7"/>
        <v>健鼎</v>
      </c>
    </row>
    <row r="124" spans="1:14" ht="20.25" customHeight="1" x14ac:dyDescent="0.25">
      <c r="A124" s="21" t="s">
        <v>399</v>
      </c>
      <c r="B124" s="22" t="s">
        <v>400</v>
      </c>
      <c r="C124" s="21">
        <v>3045</v>
      </c>
      <c r="D124" s="22" t="s">
        <v>401</v>
      </c>
      <c r="E124" s="14" t="s">
        <v>52</v>
      </c>
      <c r="F124" s="15"/>
      <c r="G124" s="23" t="s">
        <v>53</v>
      </c>
      <c r="H124" s="22"/>
      <c r="I124" s="30"/>
      <c r="J124" s="31">
        <v>2000</v>
      </c>
      <c r="K124" s="3" t="str">
        <f t="shared" si="4"/>
        <v>3045</v>
      </c>
      <c r="L124" t="str">
        <f t="shared" si="5"/>
        <v>LCF</v>
      </c>
      <c r="M124" s="4">
        <f t="shared" si="6"/>
        <v>2000</v>
      </c>
      <c r="N124" t="str">
        <f t="shared" si="7"/>
        <v>台灣大</v>
      </c>
    </row>
    <row r="125" spans="1:14" ht="20.25" customHeight="1" x14ac:dyDescent="0.25">
      <c r="A125" s="21" t="s">
        <v>402</v>
      </c>
      <c r="B125" s="22" t="s">
        <v>403</v>
      </c>
      <c r="C125" s="21">
        <v>3406</v>
      </c>
      <c r="D125" s="22" t="s">
        <v>404</v>
      </c>
      <c r="E125" s="14" t="s">
        <v>52</v>
      </c>
      <c r="F125" s="15"/>
      <c r="G125" s="23" t="s">
        <v>53</v>
      </c>
      <c r="H125" s="22"/>
      <c r="I125" s="30"/>
      <c r="J125" s="31">
        <v>2000</v>
      </c>
      <c r="K125" s="3" t="str">
        <f t="shared" si="4"/>
        <v>3406</v>
      </c>
      <c r="L125" t="str">
        <f t="shared" si="5"/>
        <v>LEF</v>
      </c>
      <c r="M125" s="4">
        <f t="shared" si="6"/>
        <v>2000</v>
      </c>
      <c r="N125" t="str">
        <f t="shared" si="7"/>
        <v>玉晶光</v>
      </c>
    </row>
    <row r="126" spans="1:14" ht="20.25" customHeight="1" x14ac:dyDescent="0.25">
      <c r="A126" s="21" t="s">
        <v>405</v>
      </c>
      <c r="B126" s="22" t="s">
        <v>406</v>
      </c>
      <c r="C126" s="21">
        <v>6269</v>
      </c>
      <c r="D126" s="22" t="s">
        <v>407</v>
      </c>
      <c r="E126" s="14" t="s">
        <v>52</v>
      </c>
      <c r="F126" s="15"/>
      <c r="G126" s="23" t="s">
        <v>53</v>
      </c>
      <c r="H126" s="22"/>
      <c r="I126" s="30"/>
      <c r="J126" s="31">
        <v>2000</v>
      </c>
      <c r="K126" s="3" t="str">
        <f t="shared" si="4"/>
        <v>6269</v>
      </c>
      <c r="L126" t="str">
        <f t="shared" si="5"/>
        <v>LIF</v>
      </c>
      <c r="M126" s="4">
        <f t="shared" si="6"/>
        <v>2000</v>
      </c>
      <c r="N126" t="str">
        <f t="shared" si="7"/>
        <v>台郡</v>
      </c>
    </row>
    <row r="127" spans="1:14" ht="20.25" customHeight="1" x14ac:dyDescent="0.25">
      <c r="A127" s="21" t="s">
        <v>408</v>
      </c>
      <c r="B127" s="22" t="s">
        <v>409</v>
      </c>
      <c r="C127" s="21">
        <v>9914</v>
      </c>
      <c r="D127" s="22" t="s">
        <v>410</v>
      </c>
      <c r="E127" s="14" t="s">
        <v>52</v>
      </c>
      <c r="F127" s="15"/>
      <c r="G127" s="23" t="s">
        <v>53</v>
      </c>
      <c r="H127" s="22"/>
      <c r="I127" s="30"/>
      <c r="J127" s="31">
        <v>2000</v>
      </c>
      <c r="K127" s="3" t="str">
        <f t="shared" si="4"/>
        <v>9914</v>
      </c>
      <c r="L127" t="str">
        <f t="shared" si="5"/>
        <v>LMF</v>
      </c>
      <c r="M127" s="4">
        <f t="shared" si="6"/>
        <v>2000</v>
      </c>
      <c r="N127" t="str">
        <f t="shared" si="7"/>
        <v>美利達</v>
      </c>
    </row>
    <row r="128" spans="1:14" ht="20.25" customHeight="1" x14ac:dyDescent="0.25">
      <c r="A128" s="21" t="s">
        <v>411</v>
      </c>
      <c r="B128" s="22" t="s">
        <v>412</v>
      </c>
      <c r="C128" s="21">
        <v>5880</v>
      </c>
      <c r="D128" s="22" t="s">
        <v>413</v>
      </c>
      <c r="E128" s="14" t="s">
        <v>52</v>
      </c>
      <c r="F128" s="15" t="s">
        <v>52</v>
      </c>
      <c r="G128" s="23" t="s">
        <v>53</v>
      </c>
      <c r="H128" s="22"/>
      <c r="I128" s="30"/>
      <c r="J128" s="31">
        <v>2000</v>
      </c>
      <c r="K128" s="3" t="str">
        <f t="shared" si="4"/>
        <v>5880</v>
      </c>
      <c r="L128" t="str">
        <f t="shared" si="5"/>
        <v>LOF</v>
      </c>
      <c r="M128" s="4">
        <f t="shared" si="6"/>
        <v>2000</v>
      </c>
      <c r="N128" t="str">
        <f t="shared" si="7"/>
        <v>合庫金</v>
      </c>
    </row>
    <row r="129" spans="1:14" ht="20.25" customHeight="1" x14ac:dyDescent="0.25">
      <c r="A129" s="21" t="s">
        <v>414</v>
      </c>
      <c r="B129" s="22" t="s">
        <v>415</v>
      </c>
      <c r="C129" s="21">
        <v>2356</v>
      </c>
      <c r="D129" s="22" t="s">
        <v>416</v>
      </c>
      <c r="E129" s="14" t="s">
        <v>52</v>
      </c>
      <c r="F129" s="15"/>
      <c r="G129" s="23" t="s">
        <v>53</v>
      </c>
      <c r="H129" s="22"/>
      <c r="I129" s="30"/>
      <c r="J129" s="31">
        <v>2000</v>
      </c>
      <c r="K129" s="3" t="str">
        <f t="shared" si="4"/>
        <v>2356</v>
      </c>
      <c r="L129" t="str">
        <f t="shared" si="5"/>
        <v>LQF</v>
      </c>
      <c r="M129" s="4">
        <f t="shared" si="6"/>
        <v>2000</v>
      </c>
      <c r="N129" t="str">
        <f t="shared" si="7"/>
        <v>英業達</v>
      </c>
    </row>
    <row r="130" spans="1:14" ht="20.25" customHeight="1" x14ac:dyDescent="0.25">
      <c r="A130" s="21" t="s">
        <v>417</v>
      </c>
      <c r="B130" s="22" t="s">
        <v>418</v>
      </c>
      <c r="C130" s="21">
        <v>2883</v>
      </c>
      <c r="D130" s="22" t="s">
        <v>419</v>
      </c>
      <c r="E130" s="14" t="s">
        <v>52</v>
      </c>
      <c r="F130" s="15"/>
      <c r="G130" s="23" t="s">
        <v>53</v>
      </c>
      <c r="H130" s="22"/>
      <c r="I130" s="30"/>
      <c r="J130" s="31">
        <v>2000</v>
      </c>
      <c r="K130" s="3" t="str">
        <f t="shared" si="4"/>
        <v>2883</v>
      </c>
      <c r="L130" t="str">
        <f t="shared" si="5"/>
        <v>LRF</v>
      </c>
      <c r="M130" s="4">
        <f t="shared" si="6"/>
        <v>2000</v>
      </c>
      <c r="N130" t="str">
        <f t="shared" si="7"/>
        <v>開發金</v>
      </c>
    </row>
    <row r="131" spans="1:14" ht="20.25" customHeight="1" x14ac:dyDescent="0.25">
      <c r="A131" s="21" t="s">
        <v>420</v>
      </c>
      <c r="B131" s="22" t="s">
        <v>421</v>
      </c>
      <c r="C131" s="21">
        <v>4904</v>
      </c>
      <c r="D131" s="22" t="s">
        <v>422</v>
      </c>
      <c r="E131" s="14" t="s">
        <v>52</v>
      </c>
      <c r="F131" s="15"/>
      <c r="G131" s="23" t="s">
        <v>53</v>
      </c>
      <c r="H131" s="22"/>
      <c r="I131" s="30"/>
      <c r="J131" s="31">
        <v>2000</v>
      </c>
      <c r="K131" s="3" t="str">
        <f t="shared" si="4"/>
        <v>4904</v>
      </c>
      <c r="L131" t="str">
        <f t="shared" si="5"/>
        <v>LTF</v>
      </c>
      <c r="M131" s="4">
        <f t="shared" si="6"/>
        <v>2000</v>
      </c>
      <c r="N131" t="str">
        <f t="shared" si="7"/>
        <v>遠傳</v>
      </c>
    </row>
    <row r="132" spans="1:14" ht="20.25" customHeight="1" x14ac:dyDescent="0.25">
      <c r="A132" s="21" t="s">
        <v>423</v>
      </c>
      <c r="B132" s="22" t="s">
        <v>424</v>
      </c>
      <c r="C132" s="21">
        <v>4958</v>
      </c>
      <c r="D132" s="22" t="s">
        <v>425</v>
      </c>
      <c r="E132" s="14" t="s">
        <v>52</v>
      </c>
      <c r="F132" s="15"/>
      <c r="G132" s="23" t="s">
        <v>53</v>
      </c>
      <c r="H132" s="22"/>
      <c r="I132" s="30"/>
      <c r="J132" s="31">
        <v>2000</v>
      </c>
      <c r="K132" s="3" t="str">
        <f t="shared" ref="K132:K160" si="8">IF(LEFT(C132,2)="00","00","")&amp;TEXT(C132,"@")</f>
        <v>4958</v>
      </c>
      <c r="L132" t="str">
        <f t="shared" si="5"/>
        <v>LUF</v>
      </c>
      <c r="M132" s="4">
        <f t="shared" si="6"/>
        <v>2000</v>
      </c>
      <c r="N132" t="str">
        <f t="shared" si="7"/>
        <v>臻鼎-KY</v>
      </c>
    </row>
    <row r="133" spans="1:14" ht="20.25" customHeight="1" x14ac:dyDescent="0.25">
      <c r="A133" s="21" t="s">
        <v>426</v>
      </c>
      <c r="B133" s="22" t="s">
        <v>427</v>
      </c>
      <c r="C133" s="21">
        <v>5871</v>
      </c>
      <c r="D133" s="22" t="s">
        <v>428</v>
      </c>
      <c r="E133" s="14" t="s">
        <v>52</v>
      </c>
      <c r="F133" s="15"/>
      <c r="G133" s="23" t="s">
        <v>53</v>
      </c>
      <c r="H133" s="22"/>
      <c r="I133" s="30"/>
      <c r="J133" s="31">
        <v>2000</v>
      </c>
      <c r="K133" s="3" t="str">
        <f t="shared" si="8"/>
        <v>5871</v>
      </c>
      <c r="L133" t="str">
        <f t="shared" ref="L133:L192" si="9">$A133&amp;"F"</f>
        <v>LVF</v>
      </c>
      <c r="M133" s="4">
        <f t="shared" ref="M133:M192" si="10">$J133</f>
        <v>2000</v>
      </c>
      <c r="N133" t="str">
        <f t="shared" ref="N133:N196" si="11">D133</f>
        <v>中租-KY</v>
      </c>
    </row>
    <row r="134" spans="1:14" ht="20.25" customHeight="1" x14ac:dyDescent="0.25">
      <c r="A134" s="21" t="s">
        <v>429</v>
      </c>
      <c r="B134" s="22" t="s">
        <v>430</v>
      </c>
      <c r="C134" s="21">
        <v>1476</v>
      </c>
      <c r="D134" s="22" t="s">
        <v>431</v>
      </c>
      <c r="E134" s="14" t="s">
        <v>52</v>
      </c>
      <c r="F134" s="15"/>
      <c r="G134" s="23" t="s">
        <v>53</v>
      </c>
      <c r="H134" s="22"/>
      <c r="I134" s="30"/>
      <c r="J134" s="31">
        <v>2000</v>
      </c>
      <c r="K134" s="3" t="str">
        <f t="shared" si="8"/>
        <v>1476</v>
      </c>
      <c r="L134" t="str">
        <f t="shared" si="9"/>
        <v>LWF</v>
      </c>
      <c r="M134" s="4">
        <f t="shared" si="10"/>
        <v>2000</v>
      </c>
      <c r="N134" t="str">
        <f t="shared" si="11"/>
        <v>儒鴻</v>
      </c>
    </row>
    <row r="135" spans="1:14" ht="20.25" customHeight="1" x14ac:dyDescent="0.25">
      <c r="A135" s="21" t="s">
        <v>432</v>
      </c>
      <c r="B135" s="22" t="s">
        <v>433</v>
      </c>
      <c r="C135" s="21">
        <v>2327</v>
      </c>
      <c r="D135" s="22" t="s">
        <v>434</v>
      </c>
      <c r="E135" s="14" t="s">
        <v>52</v>
      </c>
      <c r="F135" s="15"/>
      <c r="G135" s="23" t="s">
        <v>53</v>
      </c>
      <c r="H135" s="22"/>
      <c r="I135" s="30"/>
      <c r="J135" s="31">
        <v>2000</v>
      </c>
      <c r="K135" s="3" t="str">
        <f t="shared" si="8"/>
        <v>2327</v>
      </c>
      <c r="L135" t="str">
        <f t="shared" si="9"/>
        <v>LXF</v>
      </c>
      <c r="M135" s="4">
        <f t="shared" si="10"/>
        <v>2000</v>
      </c>
      <c r="N135" t="str">
        <f t="shared" si="11"/>
        <v>國巨</v>
      </c>
    </row>
    <row r="136" spans="1:14" ht="20.25" customHeight="1" x14ac:dyDescent="0.25">
      <c r="A136" s="21" t="s">
        <v>435</v>
      </c>
      <c r="B136" s="22" t="s">
        <v>436</v>
      </c>
      <c r="C136" s="21">
        <v>8046</v>
      </c>
      <c r="D136" s="22" t="s">
        <v>437</v>
      </c>
      <c r="E136" s="14" t="s">
        <v>52</v>
      </c>
      <c r="F136" s="15"/>
      <c r="G136" s="23" t="s">
        <v>53</v>
      </c>
      <c r="H136" s="22"/>
      <c r="I136" s="30"/>
      <c r="J136" s="31">
        <v>2000</v>
      </c>
      <c r="K136" s="3" t="str">
        <f t="shared" si="8"/>
        <v>8046</v>
      </c>
      <c r="L136" t="str">
        <f t="shared" si="9"/>
        <v>LYF</v>
      </c>
      <c r="M136" s="4">
        <f t="shared" si="10"/>
        <v>2000</v>
      </c>
      <c r="N136" t="str">
        <f t="shared" si="11"/>
        <v>南電</v>
      </c>
    </row>
    <row r="137" spans="1:14" ht="20.25" customHeight="1" x14ac:dyDescent="0.25">
      <c r="A137" s="21" t="s">
        <v>438</v>
      </c>
      <c r="B137" s="22" t="s">
        <v>439</v>
      </c>
      <c r="C137" s="21">
        <v>1707</v>
      </c>
      <c r="D137" s="22" t="s">
        <v>440</v>
      </c>
      <c r="E137" s="14" t="s">
        <v>52</v>
      </c>
      <c r="F137" s="15"/>
      <c r="G137" s="23" t="s">
        <v>53</v>
      </c>
      <c r="H137" s="22"/>
      <c r="I137" s="30"/>
      <c r="J137" s="31">
        <v>2000</v>
      </c>
      <c r="K137" s="3" t="str">
        <f t="shared" si="8"/>
        <v>1707</v>
      </c>
      <c r="L137" t="str">
        <f t="shared" si="9"/>
        <v>MAF</v>
      </c>
      <c r="M137" s="4">
        <f t="shared" si="10"/>
        <v>2000</v>
      </c>
      <c r="N137" t="str">
        <f t="shared" si="11"/>
        <v>葡萄王</v>
      </c>
    </row>
    <row r="138" spans="1:14" ht="20.25" customHeight="1" x14ac:dyDescent="0.25">
      <c r="A138" s="21" t="s">
        <v>441</v>
      </c>
      <c r="B138" s="22" t="s">
        <v>442</v>
      </c>
      <c r="C138" s="21">
        <v>2355</v>
      </c>
      <c r="D138" s="22" t="s">
        <v>443</v>
      </c>
      <c r="E138" s="14" t="s">
        <v>52</v>
      </c>
      <c r="F138" s="15"/>
      <c r="G138" s="23" t="s">
        <v>53</v>
      </c>
      <c r="H138" s="22"/>
      <c r="I138" s="30"/>
      <c r="J138" s="31">
        <v>2000</v>
      </c>
      <c r="K138" s="3" t="str">
        <f t="shared" si="8"/>
        <v>2355</v>
      </c>
      <c r="L138" t="str">
        <f t="shared" si="9"/>
        <v>MBF</v>
      </c>
      <c r="M138" s="4">
        <f t="shared" si="10"/>
        <v>2000</v>
      </c>
      <c r="N138" t="str">
        <f t="shared" si="11"/>
        <v>敬鵬</v>
      </c>
    </row>
    <row r="139" spans="1:14" ht="20.25" customHeight="1" x14ac:dyDescent="0.25">
      <c r="A139" s="21" t="s">
        <v>444</v>
      </c>
      <c r="B139" s="22" t="s">
        <v>445</v>
      </c>
      <c r="C139" s="21">
        <v>2360</v>
      </c>
      <c r="D139" s="22" t="s">
        <v>446</v>
      </c>
      <c r="E139" s="14" t="s">
        <v>52</v>
      </c>
      <c r="F139" s="15"/>
      <c r="G139" s="23" t="s">
        <v>53</v>
      </c>
      <c r="H139" s="22"/>
      <c r="I139" s="30"/>
      <c r="J139" s="31">
        <v>2000</v>
      </c>
      <c r="K139" s="3" t="str">
        <f t="shared" si="8"/>
        <v>2360</v>
      </c>
      <c r="L139" t="str">
        <f t="shared" si="9"/>
        <v>MJF</v>
      </c>
      <c r="M139" s="4">
        <f t="shared" si="10"/>
        <v>2000</v>
      </c>
      <c r="N139" t="str">
        <f t="shared" si="11"/>
        <v>致茂</v>
      </c>
    </row>
    <row r="140" spans="1:14" ht="20.25" customHeight="1" x14ac:dyDescent="0.25">
      <c r="A140" s="21" t="s">
        <v>447</v>
      </c>
      <c r="B140" s="22" t="s">
        <v>448</v>
      </c>
      <c r="C140" s="21">
        <v>2439</v>
      </c>
      <c r="D140" s="22" t="s">
        <v>449</v>
      </c>
      <c r="E140" s="14" t="s">
        <v>52</v>
      </c>
      <c r="F140" s="15"/>
      <c r="G140" s="23" t="s">
        <v>53</v>
      </c>
      <c r="H140" s="22"/>
      <c r="I140" s="30"/>
      <c r="J140" s="31">
        <v>2000</v>
      </c>
      <c r="K140" s="3" t="str">
        <f t="shared" si="8"/>
        <v>2439</v>
      </c>
      <c r="L140" t="str">
        <f t="shared" si="9"/>
        <v>MKF</v>
      </c>
      <c r="M140" s="4">
        <f t="shared" si="10"/>
        <v>2000</v>
      </c>
      <c r="N140" t="str">
        <f t="shared" si="11"/>
        <v>美律</v>
      </c>
    </row>
    <row r="141" spans="1:14" ht="20.25" customHeight="1" x14ac:dyDescent="0.25">
      <c r="A141" s="21" t="s">
        <v>450</v>
      </c>
      <c r="B141" s="22" t="s">
        <v>451</v>
      </c>
      <c r="C141" s="21">
        <v>6214</v>
      </c>
      <c r="D141" s="22" t="s">
        <v>452</v>
      </c>
      <c r="E141" s="14" t="s">
        <v>52</v>
      </c>
      <c r="F141" s="15"/>
      <c r="G141" s="23" t="s">
        <v>53</v>
      </c>
      <c r="H141" s="22"/>
      <c r="I141" s="30"/>
      <c r="J141" s="31">
        <v>2000</v>
      </c>
      <c r="K141" s="3" t="str">
        <f t="shared" si="8"/>
        <v>6214</v>
      </c>
      <c r="L141" t="str">
        <f t="shared" si="9"/>
        <v>MPF</v>
      </c>
      <c r="M141" s="4">
        <f t="shared" si="10"/>
        <v>2000</v>
      </c>
      <c r="N141" t="str">
        <f t="shared" si="11"/>
        <v>精誠</v>
      </c>
    </row>
    <row r="142" spans="1:14" ht="20.25" customHeight="1" x14ac:dyDescent="0.25">
      <c r="A142" s="21" t="s">
        <v>453</v>
      </c>
      <c r="B142" s="22" t="s">
        <v>454</v>
      </c>
      <c r="C142" s="21">
        <v>6257</v>
      </c>
      <c r="D142" s="22" t="s">
        <v>455</v>
      </c>
      <c r="E142" s="14" t="s">
        <v>52</v>
      </c>
      <c r="F142" s="15"/>
      <c r="G142" s="23" t="s">
        <v>53</v>
      </c>
      <c r="H142" s="22"/>
      <c r="I142" s="30"/>
      <c r="J142" s="31">
        <v>2000</v>
      </c>
      <c r="K142" s="3" t="str">
        <f t="shared" si="8"/>
        <v>6257</v>
      </c>
      <c r="L142" t="str">
        <f t="shared" si="9"/>
        <v>MQF</v>
      </c>
      <c r="M142" s="4">
        <f t="shared" si="10"/>
        <v>2000</v>
      </c>
      <c r="N142" t="str">
        <f t="shared" si="11"/>
        <v>矽格</v>
      </c>
    </row>
    <row r="143" spans="1:14" ht="20.25" customHeight="1" x14ac:dyDescent="0.25">
      <c r="A143" s="21" t="s">
        <v>456</v>
      </c>
      <c r="B143" s="22" t="s">
        <v>457</v>
      </c>
      <c r="C143" s="21">
        <v>9938</v>
      </c>
      <c r="D143" s="22" t="s">
        <v>458</v>
      </c>
      <c r="E143" s="14" t="s">
        <v>52</v>
      </c>
      <c r="F143" s="15"/>
      <c r="G143" s="23" t="s">
        <v>53</v>
      </c>
      <c r="H143" s="22"/>
      <c r="I143" s="30"/>
      <c r="J143" s="31">
        <v>2000</v>
      </c>
      <c r="K143" s="3" t="str">
        <f t="shared" si="8"/>
        <v>9938</v>
      </c>
      <c r="L143" t="str">
        <f t="shared" si="9"/>
        <v>MVF</v>
      </c>
      <c r="M143" s="4">
        <f t="shared" si="10"/>
        <v>2000</v>
      </c>
      <c r="N143" t="str">
        <f t="shared" si="11"/>
        <v>百和</v>
      </c>
    </row>
    <row r="144" spans="1:14" ht="20.25" customHeight="1" x14ac:dyDescent="0.25">
      <c r="A144" s="21" t="s">
        <v>459</v>
      </c>
      <c r="B144" s="22" t="s">
        <v>460</v>
      </c>
      <c r="C144" s="21">
        <v>1565</v>
      </c>
      <c r="D144" s="22" t="s">
        <v>461</v>
      </c>
      <c r="E144" s="14" t="s">
        <v>52</v>
      </c>
      <c r="F144" s="15"/>
      <c r="G144" s="23"/>
      <c r="H144" s="24" t="s">
        <v>53</v>
      </c>
      <c r="I144" s="30"/>
      <c r="J144" s="31">
        <v>2000</v>
      </c>
      <c r="K144" s="3" t="str">
        <f t="shared" si="8"/>
        <v>1565</v>
      </c>
      <c r="L144" t="str">
        <f t="shared" si="9"/>
        <v>MYF</v>
      </c>
      <c r="M144" s="4">
        <f t="shared" si="10"/>
        <v>2000</v>
      </c>
      <c r="N144" t="str">
        <f t="shared" si="11"/>
        <v>精華</v>
      </c>
    </row>
    <row r="145" spans="1:14" ht="20.25" customHeight="1" x14ac:dyDescent="0.25">
      <c r="A145" s="21" t="s">
        <v>462</v>
      </c>
      <c r="B145" s="22" t="s">
        <v>463</v>
      </c>
      <c r="C145" s="21">
        <v>3105</v>
      </c>
      <c r="D145" s="22" t="s">
        <v>464</v>
      </c>
      <c r="E145" s="14" t="s">
        <v>52</v>
      </c>
      <c r="F145" s="15"/>
      <c r="G145" s="23"/>
      <c r="H145" s="24" t="s">
        <v>53</v>
      </c>
      <c r="I145" s="30"/>
      <c r="J145" s="31">
        <v>2000</v>
      </c>
      <c r="K145" s="3" t="str">
        <f t="shared" si="8"/>
        <v>3105</v>
      </c>
      <c r="L145" t="str">
        <f t="shared" si="9"/>
        <v>NAF</v>
      </c>
      <c r="M145" s="4">
        <f t="shared" si="10"/>
        <v>2000</v>
      </c>
      <c r="N145" t="str">
        <f t="shared" si="11"/>
        <v>穩懋</v>
      </c>
    </row>
    <row r="146" spans="1:14" ht="20.25" customHeight="1" x14ac:dyDescent="0.25">
      <c r="A146" s="21" t="s">
        <v>465</v>
      </c>
      <c r="B146" s="22" t="s">
        <v>466</v>
      </c>
      <c r="C146" s="21">
        <v>3152</v>
      </c>
      <c r="D146" s="22" t="s">
        <v>467</v>
      </c>
      <c r="E146" s="14" t="s">
        <v>52</v>
      </c>
      <c r="F146" s="15"/>
      <c r="G146" s="23"/>
      <c r="H146" s="24" t="s">
        <v>53</v>
      </c>
      <c r="I146" s="30"/>
      <c r="J146" s="31">
        <v>2000</v>
      </c>
      <c r="K146" s="3" t="str">
        <f t="shared" si="8"/>
        <v>3152</v>
      </c>
      <c r="L146" t="str">
        <f t="shared" si="9"/>
        <v>NBF</v>
      </c>
      <c r="M146" s="4">
        <f t="shared" si="10"/>
        <v>2000</v>
      </c>
      <c r="N146" t="str">
        <f t="shared" si="11"/>
        <v>璟德</v>
      </c>
    </row>
    <row r="147" spans="1:14" ht="20.25" customHeight="1" x14ac:dyDescent="0.25">
      <c r="A147" s="21" t="s">
        <v>468</v>
      </c>
      <c r="B147" s="22" t="s">
        <v>469</v>
      </c>
      <c r="C147" s="21">
        <v>3211</v>
      </c>
      <c r="D147" s="22" t="s">
        <v>470</v>
      </c>
      <c r="E147" s="14" t="s">
        <v>52</v>
      </c>
      <c r="F147" s="15"/>
      <c r="G147" s="23"/>
      <c r="H147" s="24" t="s">
        <v>53</v>
      </c>
      <c r="I147" s="30"/>
      <c r="J147" s="31">
        <v>2000</v>
      </c>
      <c r="K147" s="3" t="str">
        <f t="shared" si="8"/>
        <v>3211</v>
      </c>
      <c r="L147" t="str">
        <f t="shared" si="9"/>
        <v>NCF</v>
      </c>
      <c r="M147" s="4">
        <f t="shared" si="10"/>
        <v>2000</v>
      </c>
      <c r="N147" t="str">
        <f t="shared" si="11"/>
        <v>順達</v>
      </c>
    </row>
    <row r="148" spans="1:14" ht="20.25" customHeight="1" x14ac:dyDescent="0.25">
      <c r="A148" s="21" t="s">
        <v>471</v>
      </c>
      <c r="B148" s="22" t="s">
        <v>472</v>
      </c>
      <c r="C148" s="21">
        <v>3260</v>
      </c>
      <c r="D148" s="22" t="s">
        <v>473</v>
      </c>
      <c r="E148" s="14" t="s">
        <v>52</v>
      </c>
      <c r="F148" s="15"/>
      <c r="G148" s="23"/>
      <c r="H148" s="24" t="s">
        <v>53</v>
      </c>
      <c r="I148" s="30"/>
      <c r="J148" s="31">
        <v>2000</v>
      </c>
      <c r="K148" s="3" t="str">
        <f t="shared" si="8"/>
        <v>3260</v>
      </c>
      <c r="L148" t="str">
        <f t="shared" si="9"/>
        <v>NDF</v>
      </c>
      <c r="M148" s="4">
        <f t="shared" si="10"/>
        <v>2000</v>
      </c>
      <c r="N148" t="str">
        <f t="shared" si="11"/>
        <v>威剛</v>
      </c>
    </row>
    <row r="149" spans="1:14" ht="20.25" customHeight="1" x14ac:dyDescent="0.25">
      <c r="A149" s="21" t="s">
        <v>474</v>
      </c>
      <c r="B149" s="22" t="s">
        <v>475</v>
      </c>
      <c r="C149" s="21">
        <v>3264</v>
      </c>
      <c r="D149" s="22" t="s">
        <v>476</v>
      </c>
      <c r="E149" s="14" t="s">
        <v>52</v>
      </c>
      <c r="F149" s="15"/>
      <c r="G149" s="23"/>
      <c r="H149" s="24" t="s">
        <v>53</v>
      </c>
      <c r="I149" s="30"/>
      <c r="J149" s="31">
        <v>2000</v>
      </c>
      <c r="K149" s="3" t="str">
        <f t="shared" si="8"/>
        <v>3264</v>
      </c>
      <c r="L149" t="str">
        <f t="shared" si="9"/>
        <v>NEF</v>
      </c>
      <c r="M149" s="4">
        <f t="shared" si="10"/>
        <v>2000</v>
      </c>
      <c r="N149" t="str">
        <f t="shared" si="11"/>
        <v>欣銓</v>
      </c>
    </row>
    <row r="150" spans="1:14" ht="20.25" customHeight="1" x14ac:dyDescent="0.25">
      <c r="A150" s="21" t="s">
        <v>477</v>
      </c>
      <c r="B150" s="22" t="s">
        <v>478</v>
      </c>
      <c r="C150" s="21">
        <v>3691</v>
      </c>
      <c r="D150" s="22" t="s">
        <v>479</v>
      </c>
      <c r="E150" s="14" t="s">
        <v>52</v>
      </c>
      <c r="F150" s="15"/>
      <c r="G150" s="23"/>
      <c r="H150" s="24" t="s">
        <v>53</v>
      </c>
      <c r="I150" s="30"/>
      <c r="J150" s="31">
        <v>2000</v>
      </c>
      <c r="K150" s="3" t="str">
        <f t="shared" si="8"/>
        <v>3691</v>
      </c>
      <c r="L150" t="str">
        <f t="shared" si="9"/>
        <v>NGF</v>
      </c>
      <c r="M150" s="4">
        <f t="shared" si="10"/>
        <v>2000</v>
      </c>
      <c r="N150" t="str">
        <f t="shared" si="11"/>
        <v>碩禾</v>
      </c>
    </row>
    <row r="151" spans="1:14" ht="20.25" customHeight="1" x14ac:dyDescent="0.25">
      <c r="A151" s="21" t="s">
        <v>480</v>
      </c>
      <c r="B151" s="22" t="s">
        <v>481</v>
      </c>
      <c r="C151" s="21">
        <v>4123</v>
      </c>
      <c r="D151" s="22" t="s">
        <v>482</v>
      </c>
      <c r="E151" s="14" t="s">
        <v>52</v>
      </c>
      <c r="F151" s="15"/>
      <c r="G151" s="23"/>
      <c r="H151" s="24" t="s">
        <v>53</v>
      </c>
      <c r="I151" s="30"/>
      <c r="J151" s="31">
        <v>2000</v>
      </c>
      <c r="K151" s="3" t="str">
        <f t="shared" si="8"/>
        <v>4123</v>
      </c>
      <c r="L151" t="str">
        <f t="shared" si="9"/>
        <v>NIF</v>
      </c>
      <c r="M151" s="4">
        <f t="shared" si="10"/>
        <v>2000</v>
      </c>
      <c r="N151" t="str">
        <f t="shared" si="11"/>
        <v>晟德</v>
      </c>
    </row>
    <row r="152" spans="1:14" ht="20.25" customHeight="1" x14ac:dyDescent="0.25">
      <c r="A152" s="21" t="s">
        <v>483</v>
      </c>
      <c r="B152" s="22" t="s">
        <v>484</v>
      </c>
      <c r="C152" s="21">
        <v>5009</v>
      </c>
      <c r="D152" s="22" t="s">
        <v>485</v>
      </c>
      <c r="E152" s="14" t="s">
        <v>52</v>
      </c>
      <c r="F152" s="15"/>
      <c r="G152" s="23"/>
      <c r="H152" s="24" t="s">
        <v>53</v>
      </c>
      <c r="I152" s="30"/>
      <c r="J152" s="31">
        <v>2000</v>
      </c>
      <c r="K152" s="3" t="str">
        <f t="shared" si="8"/>
        <v>5009</v>
      </c>
      <c r="L152" t="str">
        <f t="shared" si="9"/>
        <v>NJF</v>
      </c>
      <c r="M152" s="4">
        <f t="shared" si="10"/>
        <v>2000</v>
      </c>
      <c r="N152" t="str">
        <f t="shared" si="11"/>
        <v>榮剛</v>
      </c>
    </row>
    <row r="153" spans="1:14" ht="20.25" customHeight="1" x14ac:dyDescent="0.25">
      <c r="A153" s="21" t="s">
        <v>486</v>
      </c>
      <c r="B153" s="22" t="s">
        <v>487</v>
      </c>
      <c r="C153" s="21">
        <v>5347</v>
      </c>
      <c r="D153" s="22" t="s">
        <v>488</v>
      </c>
      <c r="E153" s="14" t="s">
        <v>52</v>
      </c>
      <c r="F153" s="15"/>
      <c r="G153" s="23"/>
      <c r="H153" s="24" t="s">
        <v>53</v>
      </c>
      <c r="I153" s="30"/>
      <c r="J153" s="31">
        <v>2000</v>
      </c>
      <c r="K153" s="3" t="str">
        <f t="shared" si="8"/>
        <v>5347</v>
      </c>
      <c r="L153" t="str">
        <f t="shared" si="9"/>
        <v>NLF</v>
      </c>
      <c r="M153" s="4">
        <f t="shared" si="10"/>
        <v>2000</v>
      </c>
      <c r="N153" t="str">
        <f t="shared" si="11"/>
        <v>世界</v>
      </c>
    </row>
    <row r="154" spans="1:14" ht="20.25" customHeight="1" x14ac:dyDescent="0.25">
      <c r="A154" s="21" t="s">
        <v>489</v>
      </c>
      <c r="B154" s="22" t="s">
        <v>490</v>
      </c>
      <c r="C154" s="21">
        <v>5371</v>
      </c>
      <c r="D154" s="22" t="s">
        <v>491</v>
      </c>
      <c r="E154" s="14" t="s">
        <v>52</v>
      </c>
      <c r="F154" s="15"/>
      <c r="G154" s="23"/>
      <c r="H154" s="24" t="s">
        <v>53</v>
      </c>
      <c r="I154" s="30"/>
      <c r="J154" s="31">
        <v>2000</v>
      </c>
      <c r="K154" s="3" t="str">
        <f t="shared" si="8"/>
        <v>5371</v>
      </c>
      <c r="L154" t="str">
        <f t="shared" si="9"/>
        <v>NMF</v>
      </c>
      <c r="M154" s="4">
        <f t="shared" si="10"/>
        <v>2000</v>
      </c>
      <c r="N154" t="str">
        <f t="shared" si="11"/>
        <v>中光電</v>
      </c>
    </row>
    <row r="155" spans="1:14" ht="20.25" customHeight="1" x14ac:dyDescent="0.25">
      <c r="A155" s="21" t="s">
        <v>492</v>
      </c>
      <c r="B155" s="22" t="s">
        <v>493</v>
      </c>
      <c r="C155" s="21">
        <v>5483</v>
      </c>
      <c r="D155" s="22" t="s">
        <v>494</v>
      </c>
      <c r="E155" s="14" t="s">
        <v>52</v>
      </c>
      <c r="F155" s="15"/>
      <c r="G155" s="23"/>
      <c r="H155" s="24" t="s">
        <v>53</v>
      </c>
      <c r="I155" s="30"/>
      <c r="J155" s="31">
        <v>2000</v>
      </c>
      <c r="K155" s="3" t="str">
        <f t="shared" si="8"/>
        <v>5483</v>
      </c>
      <c r="L155" t="str">
        <f t="shared" si="9"/>
        <v>NOF</v>
      </c>
      <c r="M155" s="4">
        <f t="shared" si="10"/>
        <v>2000</v>
      </c>
      <c r="N155" t="str">
        <f t="shared" si="11"/>
        <v>中美晶</v>
      </c>
    </row>
    <row r="156" spans="1:14" ht="20.25" customHeight="1" x14ac:dyDescent="0.25">
      <c r="A156" s="21" t="s">
        <v>495</v>
      </c>
      <c r="B156" s="22" t="s">
        <v>496</v>
      </c>
      <c r="C156" s="21">
        <v>6121</v>
      </c>
      <c r="D156" s="22" t="s">
        <v>497</v>
      </c>
      <c r="E156" s="14" t="s">
        <v>52</v>
      </c>
      <c r="F156" s="15"/>
      <c r="G156" s="23"/>
      <c r="H156" s="24" t="s">
        <v>53</v>
      </c>
      <c r="I156" s="30"/>
      <c r="J156" s="31">
        <v>2000</v>
      </c>
      <c r="K156" s="3" t="str">
        <f t="shared" si="8"/>
        <v>6121</v>
      </c>
      <c r="L156" t="str">
        <f t="shared" si="9"/>
        <v>NQF</v>
      </c>
      <c r="M156" s="4">
        <f t="shared" si="10"/>
        <v>2000</v>
      </c>
      <c r="N156" t="str">
        <f t="shared" si="11"/>
        <v>新普</v>
      </c>
    </row>
    <row r="157" spans="1:14" ht="20.25" customHeight="1" x14ac:dyDescent="0.25">
      <c r="A157" s="21" t="s">
        <v>498</v>
      </c>
      <c r="B157" s="22" t="s">
        <v>499</v>
      </c>
      <c r="C157" s="21">
        <v>6147</v>
      </c>
      <c r="D157" s="22" t="s">
        <v>500</v>
      </c>
      <c r="E157" s="14" t="s">
        <v>52</v>
      </c>
      <c r="F157" s="15"/>
      <c r="G157" s="23"/>
      <c r="H157" s="24" t="s">
        <v>53</v>
      </c>
      <c r="I157" s="30"/>
      <c r="J157" s="31">
        <v>2000</v>
      </c>
      <c r="K157" s="3" t="str">
        <f t="shared" si="8"/>
        <v>6147</v>
      </c>
      <c r="L157" t="str">
        <f t="shared" si="9"/>
        <v>NSF</v>
      </c>
      <c r="M157" s="4">
        <f t="shared" si="10"/>
        <v>2000</v>
      </c>
      <c r="N157" t="str">
        <f t="shared" si="11"/>
        <v>頎邦</v>
      </c>
    </row>
    <row r="158" spans="1:14" ht="20.25" customHeight="1" x14ac:dyDescent="0.25">
      <c r="A158" s="21" t="s">
        <v>501</v>
      </c>
      <c r="B158" s="22" t="s">
        <v>502</v>
      </c>
      <c r="C158" s="21">
        <v>8044</v>
      </c>
      <c r="D158" s="22" t="s">
        <v>503</v>
      </c>
      <c r="E158" s="14" t="s">
        <v>52</v>
      </c>
      <c r="F158" s="15"/>
      <c r="G158" s="23"/>
      <c r="H158" s="24" t="s">
        <v>53</v>
      </c>
      <c r="I158" s="30"/>
      <c r="J158" s="31">
        <v>2000</v>
      </c>
      <c r="K158" s="3" t="str">
        <f t="shared" si="8"/>
        <v>8044</v>
      </c>
      <c r="L158" t="str">
        <f t="shared" si="9"/>
        <v>NUF</v>
      </c>
      <c r="M158" s="4">
        <f t="shared" si="10"/>
        <v>2000</v>
      </c>
      <c r="N158" t="str">
        <f t="shared" si="11"/>
        <v>網家</v>
      </c>
    </row>
    <row r="159" spans="1:14" ht="20.25" customHeight="1" x14ac:dyDescent="0.25">
      <c r="A159" s="21" t="s">
        <v>504</v>
      </c>
      <c r="B159" s="22" t="s">
        <v>505</v>
      </c>
      <c r="C159" s="21">
        <v>8069</v>
      </c>
      <c r="D159" s="22" t="s">
        <v>506</v>
      </c>
      <c r="E159" s="14" t="s">
        <v>52</v>
      </c>
      <c r="F159" s="15"/>
      <c r="G159" s="23"/>
      <c r="H159" s="24" t="s">
        <v>53</v>
      </c>
      <c r="I159" s="30"/>
      <c r="J159" s="31">
        <v>2000</v>
      </c>
      <c r="K159" s="3" t="str">
        <f t="shared" si="8"/>
        <v>8069</v>
      </c>
      <c r="L159" t="str">
        <f t="shared" si="9"/>
        <v>NVF</v>
      </c>
      <c r="M159" s="4">
        <f t="shared" si="10"/>
        <v>2000</v>
      </c>
      <c r="N159" t="str">
        <f t="shared" si="11"/>
        <v>元太</v>
      </c>
    </row>
    <row r="160" spans="1:14" ht="20.25" customHeight="1" x14ac:dyDescent="0.25">
      <c r="A160" s="21" t="s">
        <v>507</v>
      </c>
      <c r="B160" s="22" t="s">
        <v>508</v>
      </c>
      <c r="C160" s="21">
        <v>8299</v>
      </c>
      <c r="D160" s="22" t="s">
        <v>509</v>
      </c>
      <c r="E160" s="14" t="s">
        <v>52</v>
      </c>
      <c r="F160" s="15"/>
      <c r="G160" s="23"/>
      <c r="H160" s="24" t="s">
        <v>53</v>
      </c>
      <c r="I160" s="30"/>
      <c r="J160" s="31">
        <v>2000</v>
      </c>
      <c r="K160" s="3" t="str">
        <f t="shared" si="8"/>
        <v>8299</v>
      </c>
      <c r="L160" t="str">
        <f t="shared" si="9"/>
        <v>NWF</v>
      </c>
      <c r="M160" s="4">
        <f t="shared" si="10"/>
        <v>2000</v>
      </c>
      <c r="N160" t="str">
        <f t="shared" si="11"/>
        <v>群聯</v>
      </c>
    </row>
    <row r="161" spans="1:14" ht="20.25" customHeight="1" x14ac:dyDescent="0.25">
      <c r="A161" s="21" t="s">
        <v>510</v>
      </c>
      <c r="B161" s="22" t="s">
        <v>511</v>
      </c>
      <c r="C161" s="21">
        <v>8942</v>
      </c>
      <c r="D161" s="22" t="s">
        <v>512</v>
      </c>
      <c r="E161" s="14" t="s">
        <v>52</v>
      </c>
      <c r="F161" s="15"/>
      <c r="G161" s="23"/>
      <c r="H161" s="24" t="s">
        <v>53</v>
      </c>
      <c r="I161" s="30"/>
      <c r="J161" s="31">
        <v>2000</v>
      </c>
      <c r="K161" s="3" t="str">
        <f>IF(LEFT(C161,2)="00","00","")&amp;TEXT(C161,"@")</f>
        <v>8942</v>
      </c>
      <c r="L161" t="str">
        <f t="shared" si="9"/>
        <v>NXF</v>
      </c>
      <c r="M161" s="4">
        <f t="shared" si="10"/>
        <v>2000</v>
      </c>
      <c r="N161" t="str">
        <f t="shared" si="11"/>
        <v>森鉅</v>
      </c>
    </row>
    <row r="162" spans="1:14" ht="20.25" customHeight="1" x14ac:dyDescent="0.25">
      <c r="A162" s="21" t="s">
        <v>513</v>
      </c>
      <c r="B162" s="22" t="s">
        <v>514</v>
      </c>
      <c r="C162" s="21" t="s">
        <v>515</v>
      </c>
      <c r="D162" s="22" t="s">
        <v>516</v>
      </c>
      <c r="E162" s="14" t="s">
        <v>52</v>
      </c>
      <c r="F162" s="15" t="s">
        <v>52</v>
      </c>
      <c r="G162" s="23"/>
      <c r="H162" s="24"/>
      <c r="I162" s="24" t="s">
        <v>53</v>
      </c>
      <c r="J162" s="31">
        <v>10000</v>
      </c>
      <c r="K162" s="3" t="str">
        <f t="shared" ref="K162:K197" si="12">IF(LEFT(C162,2)="00","00","")&amp;TEXT(C162,"@")</f>
        <v>0050</v>
      </c>
      <c r="L162" t="str">
        <f t="shared" si="9"/>
        <v>NYF</v>
      </c>
      <c r="M162" s="4">
        <f t="shared" si="10"/>
        <v>10000</v>
      </c>
      <c r="N162" t="str">
        <f t="shared" si="11"/>
        <v>元大台灣50ETF</v>
      </c>
    </row>
    <row r="163" spans="1:14" ht="20.25" customHeight="1" x14ac:dyDescent="0.25">
      <c r="A163" s="21" t="s">
        <v>517</v>
      </c>
      <c r="B163" s="22" t="s">
        <v>518</v>
      </c>
      <c r="C163" s="21" t="s">
        <v>519</v>
      </c>
      <c r="D163" s="22" t="s">
        <v>520</v>
      </c>
      <c r="E163" s="14" t="s">
        <v>52</v>
      </c>
      <c r="F163" s="15" t="s">
        <v>52</v>
      </c>
      <c r="G163" s="23"/>
      <c r="H163" s="24"/>
      <c r="I163" s="24" t="s">
        <v>53</v>
      </c>
      <c r="J163" s="31">
        <v>10000</v>
      </c>
      <c r="K163" s="3" t="str">
        <f t="shared" si="12"/>
        <v>0061</v>
      </c>
      <c r="L163" t="str">
        <f t="shared" si="9"/>
        <v>NZF</v>
      </c>
      <c r="M163" s="4">
        <f t="shared" si="10"/>
        <v>10000</v>
      </c>
      <c r="N163" t="str">
        <f t="shared" si="11"/>
        <v>元大寶滬深ETF</v>
      </c>
    </row>
    <row r="164" spans="1:14" ht="20.25" customHeight="1" x14ac:dyDescent="0.25">
      <c r="A164" s="21" t="s">
        <v>521</v>
      </c>
      <c r="B164" s="22" t="s">
        <v>522</v>
      </c>
      <c r="C164" s="21" t="s">
        <v>523</v>
      </c>
      <c r="D164" s="22" t="s">
        <v>524</v>
      </c>
      <c r="E164" s="14" t="s">
        <v>52</v>
      </c>
      <c r="F164" s="15" t="s">
        <v>52</v>
      </c>
      <c r="G164" s="23"/>
      <c r="H164" s="24"/>
      <c r="I164" s="24" t="s">
        <v>53</v>
      </c>
      <c r="J164" s="31">
        <v>10000</v>
      </c>
      <c r="K164" s="3" t="str">
        <f t="shared" si="12"/>
        <v>006205</v>
      </c>
      <c r="L164" t="str">
        <f t="shared" si="9"/>
        <v>OAF</v>
      </c>
      <c r="M164" s="4">
        <f t="shared" si="10"/>
        <v>10000</v>
      </c>
      <c r="N164" t="str">
        <f t="shared" si="11"/>
        <v>富邦上証ETF</v>
      </c>
    </row>
    <row r="165" spans="1:14" ht="20.25" customHeight="1" x14ac:dyDescent="0.25">
      <c r="A165" s="21" t="s">
        <v>525</v>
      </c>
      <c r="B165" s="22" t="s">
        <v>526</v>
      </c>
      <c r="C165" s="21" t="s">
        <v>527</v>
      </c>
      <c r="D165" s="22" t="s">
        <v>528</v>
      </c>
      <c r="E165" s="14" t="s">
        <v>52</v>
      </c>
      <c r="F165" s="15" t="s">
        <v>52</v>
      </c>
      <c r="G165" s="23"/>
      <c r="H165" s="24"/>
      <c r="I165" s="24" t="s">
        <v>53</v>
      </c>
      <c r="J165" s="31">
        <v>10000</v>
      </c>
      <c r="K165" s="3" t="str">
        <f t="shared" si="12"/>
        <v>006206</v>
      </c>
      <c r="L165" t="str">
        <f t="shared" si="9"/>
        <v>OBF</v>
      </c>
      <c r="M165" s="4">
        <f t="shared" si="10"/>
        <v>10000</v>
      </c>
      <c r="N165" t="str">
        <f t="shared" si="11"/>
        <v>元大上證50ETF</v>
      </c>
    </row>
    <row r="166" spans="1:14" ht="20.25" customHeight="1" x14ac:dyDescent="0.25">
      <c r="A166" s="21" t="s">
        <v>529</v>
      </c>
      <c r="B166" s="22" t="s">
        <v>530</v>
      </c>
      <c r="C166" s="21" t="s">
        <v>531</v>
      </c>
      <c r="D166" s="22" t="s">
        <v>532</v>
      </c>
      <c r="E166" s="14" t="s">
        <v>52</v>
      </c>
      <c r="F166" s="15" t="s">
        <v>52</v>
      </c>
      <c r="G166" s="23"/>
      <c r="H166" s="24"/>
      <c r="I166" s="24" t="s">
        <v>53</v>
      </c>
      <c r="J166" s="31">
        <v>10000</v>
      </c>
      <c r="K166" s="3" t="str">
        <f t="shared" si="12"/>
        <v>006207</v>
      </c>
      <c r="L166" t="str">
        <f t="shared" si="9"/>
        <v>OCF</v>
      </c>
      <c r="M166" s="4">
        <f t="shared" si="10"/>
        <v>10000</v>
      </c>
      <c r="N166" t="str">
        <f t="shared" si="11"/>
        <v>FH滬深ETF</v>
      </c>
    </row>
    <row r="167" spans="1:14" ht="20.25" customHeight="1" x14ac:dyDescent="0.25">
      <c r="A167" s="21" t="s">
        <v>533</v>
      </c>
      <c r="B167" s="22" t="s">
        <v>534</v>
      </c>
      <c r="C167" s="21">
        <v>2231</v>
      </c>
      <c r="D167" s="22" t="s">
        <v>535</v>
      </c>
      <c r="E167" s="14" t="s">
        <v>52</v>
      </c>
      <c r="F167" s="15"/>
      <c r="G167" s="23" t="s">
        <v>53</v>
      </c>
      <c r="H167" s="24"/>
      <c r="I167" s="24"/>
      <c r="J167" s="31">
        <v>2000</v>
      </c>
      <c r="K167" s="3" t="str">
        <f t="shared" si="12"/>
        <v>2231</v>
      </c>
      <c r="L167" t="str">
        <f t="shared" si="9"/>
        <v>ODF</v>
      </c>
      <c r="M167" s="4">
        <f t="shared" si="10"/>
        <v>2000</v>
      </c>
      <c r="N167" t="str">
        <f t="shared" si="11"/>
        <v>為升</v>
      </c>
    </row>
    <row r="168" spans="1:14" ht="20.25" customHeight="1" x14ac:dyDescent="0.25">
      <c r="A168" s="21" t="s">
        <v>536</v>
      </c>
      <c r="B168" s="22" t="s">
        <v>537</v>
      </c>
      <c r="C168" s="21">
        <v>6116</v>
      </c>
      <c r="D168" s="22" t="s">
        <v>538</v>
      </c>
      <c r="E168" s="14" t="s">
        <v>52</v>
      </c>
      <c r="F168" s="15"/>
      <c r="G168" s="23" t="s">
        <v>53</v>
      </c>
      <c r="H168" s="24"/>
      <c r="I168" s="24"/>
      <c r="J168" s="31">
        <v>2000</v>
      </c>
      <c r="K168" s="3" t="str">
        <f t="shared" si="12"/>
        <v>6116</v>
      </c>
      <c r="L168" t="str">
        <f t="shared" si="9"/>
        <v>OEF</v>
      </c>
      <c r="M168" s="4">
        <f t="shared" si="10"/>
        <v>2000</v>
      </c>
      <c r="N168" t="str">
        <f t="shared" si="11"/>
        <v>彩晶</v>
      </c>
    </row>
    <row r="169" spans="1:14" ht="20.25" customHeight="1" x14ac:dyDescent="0.25">
      <c r="A169" s="21" t="s">
        <v>539</v>
      </c>
      <c r="B169" s="22" t="s">
        <v>540</v>
      </c>
      <c r="C169" s="21">
        <v>6279</v>
      </c>
      <c r="D169" s="22" t="s">
        <v>541</v>
      </c>
      <c r="E169" s="14" t="s">
        <v>52</v>
      </c>
      <c r="F169" s="15"/>
      <c r="G169" s="23"/>
      <c r="H169" s="24" t="s">
        <v>53</v>
      </c>
      <c r="I169" s="24"/>
      <c r="J169" s="31">
        <v>2000</v>
      </c>
      <c r="K169" s="3" t="str">
        <f t="shared" si="12"/>
        <v>6279</v>
      </c>
      <c r="L169" t="str">
        <f t="shared" si="9"/>
        <v>OHF</v>
      </c>
      <c r="M169" s="4">
        <f t="shared" si="10"/>
        <v>2000</v>
      </c>
      <c r="N169" t="str">
        <f t="shared" si="11"/>
        <v>胡連</v>
      </c>
    </row>
    <row r="170" spans="1:14" ht="20.25" customHeight="1" x14ac:dyDescent="0.25">
      <c r="A170" s="21" t="s">
        <v>542</v>
      </c>
      <c r="B170" s="22" t="s">
        <v>543</v>
      </c>
      <c r="C170" s="21" t="s">
        <v>544</v>
      </c>
      <c r="D170" s="22" t="s">
        <v>545</v>
      </c>
      <c r="E170" s="14" t="s">
        <v>52</v>
      </c>
      <c r="F170" s="15" t="s">
        <v>52</v>
      </c>
      <c r="G170" s="23"/>
      <c r="H170" s="24"/>
      <c r="I170" s="24" t="s">
        <v>53</v>
      </c>
      <c r="J170" s="31">
        <v>10000</v>
      </c>
      <c r="K170" s="3" t="str">
        <f t="shared" si="12"/>
        <v>00636</v>
      </c>
      <c r="L170" t="str">
        <f t="shared" si="9"/>
        <v>OJF</v>
      </c>
      <c r="M170" s="4">
        <f t="shared" si="10"/>
        <v>10000</v>
      </c>
      <c r="N170" t="str">
        <f t="shared" si="11"/>
        <v>國泰中國A50ETF</v>
      </c>
    </row>
    <row r="171" spans="1:14" ht="20.25" customHeight="1" x14ac:dyDescent="0.25">
      <c r="A171" s="21" t="s">
        <v>546</v>
      </c>
      <c r="B171" s="22" t="s">
        <v>547</v>
      </c>
      <c r="C171" s="21" t="s">
        <v>548</v>
      </c>
      <c r="D171" s="22" t="s">
        <v>549</v>
      </c>
      <c r="E171" s="14" t="s">
        <v>52</v>
      </c>
      <c r="F171" s="15" t="s">
        <v>52</v>
      </c>
      <c r="G171" s="23"/>
      <c r="H171" s="24"/>
      <c r="I171" s="24" t="s">
        <v>53</v>
      </c>
      <c r="J171" s="31">
        <v>10000</v>
      </c>
      <c r="K171" s="3" t="str">
        <f t="shared" si="12"/>
        <v>00639</v>
      </c>
      <c r="L171" t="str">
        <f t="shared" si="9"/>
        <v>OKF</v>
      </c>
      <c r="M171" s="4">
        <f t="shared" si="10"/>
        <v>10000</v>
      </c>
      <c r="N171" t="str">
        <f t="shared" si="11"/>
        <v>富邦深100ETF</v>
      </c>
    </row>
    <row r="172" spans="1:14" ht="20.25" customHeight="1" x14ac:dyDescent="0.25">
      <c r="A172" s="21" t="s">
        <v>550</v>
      </c>
      <c r="B172" s="22" t="s">
        <v>307</v>
      </c>
      <c r="C172" s="21">
        <v>3008</v>
      </c>
      <c r="D172" s="22" t="s">
        <v>308</v>
      </c>
      <c r="E172" s="14" t="s">
        <v>52</v>
      </c>
      <c r="F172" s="15"/>
      <c r="G172" s="23" t="s">
        <v>53</v>
      </c>
      <c r="H172" s="24"/>
      <c r="I172" s="24"/>
      <c r="J172" s="31">
        <v>100</v>
      </c>
      <c r="K172" s="3" t="str">
        <f t="shared" si="12"/>
        <v>3008</v>
      </c>
      <c r="L172" t="str">
        <f t="shared" si="9"/>
        <v>OLF</v>
      </c>
      <c r="M172" s="4">
        <f t="shared" si="10"/>
        <v>100</v>
      </c>
      <c r="N172" t="str">
        <f t="shared" si="11"/>
        <v>大立光</v>
      </c>
    </row>
    <row r="173" spans="1:14" ht="20.25" customHeight="1" x14ac:dyDescent="0.25">
      <c r="A173" s="21" t="s">
        <v>551</v>
      </c>
      <c r="B173" s="22" t="s">
        <v>460</v>
      </c>
      <c r="C173" s="21">
        <v>1565</v>
      </c>
      <c r="D173" s="22" t="s">
        <v>461</v>
      </c>
      <c r="E173" s="14" t="s">
        <v>52</v>
      </c>
      <c r="F173" s="15"/>
      <c r="G173" s="23"/>
      <c r="H173" s="24" t="s">
        <v>53</v>
      </c>
      <c r="I173" s="24"/>
      <c r="J173" s="31">
        <v>100</v>
      </c>
      <c r="K173" s="3" t="str">
        <f t="shared" si="12"/>
        <v>1565</v>
      </c>
      <c r="L173" t="str">
        <f t="shared" si="9"/>
        <v>OMF</v>
      </c>
      <c r="M173" s="4">
        <f t="shared" si="10"/>
        <v>100</v>
      </c>
      <c r="N173" t="str">
        <f t="shared" si="11"/>
        <v>精華</v>
      </c>
    </row>
    <row r="174" spans="1:14" ht="20.25" customHeight="1" x14ac:dyDescent="0.25">
      <c r="A174" s="21" t="s">
        <v>552</v>
      </c>
      <c r="B174" s="22" t="s">
        <v>553</v>
      </c>
      <c r="C174" s="32" t="s">
        <v>554</v>
      </c>
      <c r="D174" s="22" t="s">
        <v>555</v>
      </c>
      <c r="E174" s="14" t="s">
        <v>52</v>
      </c>
      <c r="F174" s="15" t="s">
        <v>52</v>
      </c>
      <c r="G174" s="23"/>
      <c r="H174" s="24"/>
      <c r="I174" s="24" t="s">
        <v>53</v>
      </c>
      <c r="J174" s="31">
        <v>10000</v>
      </c>
      <c r="K174" s="3" t="str">
        <f t="shared" si="12"/>
        <v>00643</v>
      </c>
      <c r="L174" t="str">
        <f t="shared" si="9"/>
        <v>OOF</v>
      </c>
      <c r="M174" s="4">
        <f t="shared" si="10"/>
        <v>10000</v>
      </c>
      <c r="N174" t="str">
        <f t="shared" si="11"/>
        <v>群益深証中小ETF</v>
      </c>
    </row>
    <row r="175" spans="1:14" ht="20.25" customHeight="1" x14ac:dyDescent="0.25">
      <c r="A175" s="21" t="s">
        <v>556</v>
      </c>
      <c r="B175" s="22" t="s">
        <v>557</v>
      </c>
      <c r="C175" s="32">
        <v>2345</v>
      </c>
      <c r="D175" s="22" t="s">
        <v>558</v>
      </c>
      <c r="E175" s="14" t="s">
        <v>52</v>
      </c>
      <c r="F175" s="15"/>
      <c r="G175" s="23" t="s">
        <v>53</v>
      </c>
      <c r="H175" s="24"/>
      <c r="I175" s="24"/>
      <c r="J175" s="31">
        <v>2000</v>
      </c>
      <c r="K175" s="3" t="str">
        <f t="shared" si="12"/>
        <v>2345</v>
      </c>
      <c r="L175" t="str">
        <f t="shared" si="9"/>
        <v>OPF</v>
      </c>
      <c r="M175" s="4">
        <f t="shared" si="10"/>
        <v>2000</v>
      </c>
      <c r="N175" t="str">
        <f t="shared" si="11"/>
        <v>智邦</v>
      </c>
    </row>
    <row r="176" spans="1:14" ht="20.25" customHeight="1" x14ac:dyDescent="0.25">
      <c r="A176" s="21" t="s">
        <v>559</v>
      </c>
      <c r="B176" s="22" t="s">
        <v>560</v>
      </c>
      <c r="C176" s="32">
        <v>6414</v>
      </c>
      <c r="D176" s="22" t="s">
        <v>561</v>
      </c>
      <c r="E176" s="14" t="s">
        <v>52</v>
      </c>
      <c r="F176" s="15"/>
      <c r="G176" s="23" t="s">
        <v>53</v>
      </c>
      <c r="H176" s="24"/>
      <c r="I176" s="24"/>
      <c r="J176" s="31">
        <v>2000</v>
      </c>
      <c r="K176" s="3" t="str">
        <f t="shared" si="12"/>
        <v>6414</v>
      </c>
      <c r="L176" t="str">
        <f t="shared" si="9"/>
        <v>OQF</v>
      </c>
      <c r="M176" s="4">
        <f t="shared" si="10"/>
        <v>2000</v>
      </c>
      <c r="N176" t="str">
        <f t="shared" si="11"/>
        <v>樺漢</v>
      </c>
    </row>
    <row r="177" spans="1:14" ht="20.25" customHeight="1" x14ac:dyDescent="0.25">
      <c r="A177" s="21" t="s">
        <v>562</v>
      </c>
      <c r="B177" s="22" t="s">
        <v>563</v>
      </c>
      <c r="C177" s="32">
        <v>1536</v>
      </c>
      <c r="D177" s="22" t="s">
        <v>564</v>
      </c>
      <c r="E177" s="14" t="s">
        <v>52</v>
      </c>
      <c r="F177" s="15"/>
      <c r="G177" s="23" t="s">
        <v>53</v>
      </c>
      <c r="H177" s="24"/>
      <c r="I177" s="24"/>
      <c r="J177" s="31">
        <v>2000</v>
      </c>
      <c r="K177" s="3" t="str">
        <f t="shared" si="12"/>
        <v>1536</v>
      </c>
      <c r="L177" t="str">
        <f t="shared" si="9"/>
        <v>ORF</v>
      </c>
      <c r="M177" s="4">
        <f t="shared" si="10"/>
        <v>2000</v>
      </c>
      <c r="N177" t="str">
        <f t="shared" si="11"/>
        <v>和大</v>
      </c>
    </row>
    <row r="178" spans="1:14" ht="20.25" customHeight="1" x14ac:dyDescent="0.25">
      <c r="A178" s="21" t="s">
        <v>565</v>
      </c>
      <c r="B178" s="22" t="s">
        <v>566</v>
      </c>
      <c r="C178" s="32">
        <v>1909</v>
      </c>
      <c r="D178" s="22" t="s">
        <v>567</v>
      </c>
      <c r="E178" s="14" t="s">
        <v>52</v>
      </c>
      <c r="F178" s="15"/>
      <c r="G178" s="23" t="s">
        <v>53</v>
      </c>
      <c r="H178" s="24"/>
      <c r="I178" s="24"/>
      <c r="J178" s="31">
        <v>2000</v>
      </c>
      <c r="K178" s="3" t="str">
        <f t="shared" si="12"/>
        <v>1909</v>
      </c>
      <c r="L178" t="str">
        <f t="shared" si="9"/>
        <v>OSF</v>
      </c>
      <c r="M178" s="4">
        <f t="shared" si="10"/>
        <v>2000</v>
      </c>
      <c r="N178" t="str">
        <f t="shared" si="11"/>
        <v>榮成</v>
      </c>
    </row>
    <row r="179" spans="1:14" ht="20.25" customHeight="1" x14ac:dyDescent="0.25">
      <c r="A179" s="21" t="s">
        <v>568</v>
      </c>
      <c r="B179" s="22" t="s">
        <v>569</v>
      </c>
      <c r="C179" s="32">
        <v>3081</v>
      </c>
      <c r="D179" s="22" t="s">
        <v>570</v>
      </c>
      <c r="E179" s="14" t="s">
        <v>52</v>
      </c>
      <c r="F179" s="15"/>
      <c r="G179" s="23"/>
      <c r="H179" s="24" t="s">
        <v>53</v>
      </c>
      <c r="I179" s="24"/>
      <c r="J179" s="31">
        <v>2000</v>
      </c>
      <c r="K179" s="3" t="str">
        <f t="shared" si="12"/>
        <v>3081</v>
      </c>
      <c r="L179" t="str">
        <f t="shared" si="9"/>
        <v>OTF</v>
      </c>
      <c r="M179" s="4">
        <f t="shared" si="10"/>
        <v>2000</v>
      </c>
      <c r="N179" t="str">
        <f t="shared" si="11"/>
        <v>聯亞</v>
      </c>
    </row>
    <row r="180" spans="1:14" ht="20.25" customHeight="1" x14ac:dyDescent="0.25">
      <c r="A180" s="21" t="s">
        <v>571</v>
      </c>
      <c r="B180" s="22" t="s">
        <v>572</v>
      </c>
      <c r="C180" s="32">
        <v>3552</v>
      </c>
      <c r="D180" s="22" t="s">
        <v>573</v>
      </c>
      <c r="E180" s="14" t="s">
        <v>52</v>
      </c>
      <c r="F180" s="15"/>
      <c r="G180" s="23"/>
      <c r="H180" s="24" t="s">
        <v>53</v>
      </c>
      <c r="I180" s="24"/>
      <c r="J180" s="31">
        <v>2000</v>
      </c>
      <c r="K180" s="3" t="str">
        <f t="shared" si="12"/>
        <v>3552</v>
      </c>
      <c r="L180" t="str">
        <f t="shared" si="9"/>
        <v>OUF</v>
      </c>
      <c r="M180" s="4">
        <f t="shared" si="10"/>
        <v>2000</v>
      </c>
      <c r="N180" t="str">
        <f t="shared" si="11"/>
        <v>同致</v>
      </c>
    </row>
    <row r="181" spans="1:14" ht="20.25" customHeight="1" x14ac:dyDescent="0.25">
      <c r="A181" s="21" t="s">
        <v>574</v>
      </c>
      <c r="B181" s="22" t="s">
        <v>575</v>
      </c>
      <c r="C181" s="32">
        <v>6274</v>
      </c>
      <c r="D181" s="22" t="s">
        <v>576</v>
      </c>
      <c r="E181" s="14" t="s">
        <v>52</v>
      </c>
      <c r="F181" s="15"/>
      <c r="G181" s="23"/>
      <c r="H181" s="24" t="s">
        <v>53</v>
      </c>
      <c r="I181" s="24"/>
      <c r="J181" s="31">
        <v>2000</v>
      </c>
      <c r="K181" s="3" t="str">
        <f t="shared" si="12"/>
        <v>6274</v>
      </c>
      <c r="L181" t="str">
        <f t="shared" si="9"/>
        <v>OVF</v>
      </c>
      <c r="M181" s="4">
        <f t="shared" si="10"/>
        <v>2000</v>
      </c>
      <c r="N181" t="str">
        <f t="shared" si="11"/>
        <v>台燿</v>
      </c>
    </row>
    <row r="182" spans="1:14" ht="20.25" customHeight="1" x14ac:dyDescent="0.25">
      <c r="A182" s="21" t="s">
        <v>577</v>
      </c>
      <c r="B182" s="22" t="s">
        <v>578</v>
      </c>
      <c r="C182" s="32">
        <v>6488</v>
      </c>
      <c r="D182" s="22" t="s">
        <v>579</v>
      </c>
      <c r="E182" s="14" t="s">
        <v>52</v>
      </c>
      <c r="F182" s="15"/>
      <c r="G182" s="23"/>
      <c r="H182" s="24" t="s">
        <v>53</v>
      </c>
      <c r="I182" s="24"/>
      <c r="J182" s="31">
        <v>2000</v>
      </c>
      <c r="K182" s="3" t="str">
        <f t="shared" si="12"/>
        <v>6488</v>
      </c>
      <c r="L182" t="str">
        <f t="shared" si="9"/>
        <v>OWF</v>
      </c>
      <c r="M182" s="4">
        <f t="shared" si="10"/>
        <v>2000</v>
      </c>
      <c r="N182" t="str">
        <f t="shared" si="11"/>
        <v>環球晶</v>
      </c>
    </row>
    <row r="183" spans="1:14" ht="20.25" customHeight="1" x14ac:dyDescent="0.25">
      <c r="A183" s="21" t="s">
        <v>580</v>
      </c>
      <c r="B183" s="22" t="s">
        <v>581</v>
      </c>
      <c r="C183" s="32">
        <v>6510</v>
      </c>
      <c r="D183" s="22" t="s">
        <v>582</v>
      </c>
      <c r="E183" s="14" t="s">
        <v>52</v>
      </c>
      <c r="F183" s="15"/>
      <c r="G183" s="23"/>
      <c r="H183" s="24" t="s">
        <v>53</v>
      </c>
      <c r="I183" s="24"/>
      <c r="J183" s="31">
        <v>2000</v>
      </c>
      <c r="K183" s="3" t="str">
        <f t="shared" si="12"/>
        <v>6510</v>
      </c>
      <c r="L183" t="str">
        <f t="shared" si="9"/>
        <v>OXF</v>
      </c>
      <c r="M183" s="4">
        <f t="shared" si="10"/>
        <v>2000</v>
      </c>
      <c r="N183" t="str">
        <f t="shared" si="11"/>
        <v>精測</v>
      </c>
    </row>
    <row r="184" spans="1:14" ht="20.25" customHeight="1" x14ac:dyDescent="0.25">
      <c r="A184" s="21" t="s">
        <v>583</v>
      </c>
      <c r="B184" s="22" t="s">
        <v>581</v>
      </c>
      <c r="C184" s="32">
        <v>6510</v>
      </c>
      <c r="D184" s="22" t="s">
        <v>582</v>
      </c>
      <c r="E184" s="14" t="s">
        <v>52</v>
      </c>
      <c r="F184" s="15"/>
      <c r="G184" s="23"/>
      <c r="H184" s="24" t="s">
        <v>53</v>
      </c>
      <c r="I184" s="24"/>
      <c r="J184" s="31">
        <v>100</v>
      </c>
      <c r="K184" s="3" t="str">
        <f t="shared" si="12"/>
        <v>6510</v>
      </c>
      <c r="L184" t="str">
        <f t="shared" si="9"/>
        <v>OYF</v>
      </c>
      <c r="M184" s="4">
        <f t="shared" si="10"/>
        <v>100</v>
      </c>
      <c r="N184" t="str">
        <f t="shared" si="11"/>
        <v>精測</v>
      </c>
    </row>
    <row r="185" spans="1:14" ht="20.25" customHeight="1" x14ac:dyDescent="0.25">
      <c r="A185" s="21" t="s">
        <v>584</v>
      </c>
      <c r="B185" s="22" t="s">
        <v>585</v>
      </c>
      <c r="C185" s="32">
        <v>3711</v>
      </c>
      <c r="D185" s="22" t="s">
        <v>586</v>
      </c>
      <c r="E185" s="14" t="s">
        <v>52</v>
      </c>
      <c r="F185" s="15" t="s">
        <v>52</v>
      </c>
      <c r="G185" s="23" t="s">
        <v>53</v>
      </c>
      <c r="H185" s="24"/>
      <c r="I185" s="24"/>
      <c r="J185" s="31">
        <v>2000</v>
      </c>
      <c r="K185" s="3" t="str">
        <f t="shared" si="12"/>
        <v>3711</v>
      </c>
      <c r="L185" t="str">
        <f t="shared" si="9"/>
        <v>OZF</v>
      </c>
      <c r="M185" s="4">
        <f t="shared" si="10"/>
        <v>2000</v>
      </c>
      <c r="N185" t="str">
        <f t="shared" si="11"/>
        <v>日月光投控</v>
      </c>
    </row>
    <row r="186" spans="1:14" ht="20.25" customHeight="1" x14ac:dyDescent="0.25">
      <c r="A186" s="21" t="s">
        <v>587</v>
      </c>
      <c r="B186" s="22" t="s">
        <v>588</v>
      </c>
      <c r="C186" s="32">
        <v>3227</v>
      </c>
      <c r="D186" s="22" t="s">
        <v>589</v>
      </c>
      <c r="E186" s="14" t="s">
        <v>52</v>
      </c>
      <c r="F186" s="15"/>
      <c r="G186" s="23"/>
      <c r="H186" s="24" t="s">
        <v>53</v>
      </c>
      <c r="I186" s="24"/>
      <c r="J186" s="31">
        <v>2000</v>
      </c>
      <c r="K186" s="3" t="str">
        <f t="shared" si="12"/>
        <v>3227</v>
      </c>
      <c r="L186" t="str">
        <f t="shared" si="9"/>
        <v>PAF</v>
      </c>
      <c r="M186" s="4">
        <f t="shared" si="10"/>
        <v>2000</v>
      </c>
      <c r="N186" t="str">
        <f t="shared" si="11"/>
        <v>原相</v>
      </c>
    </row>
    <row r="187" spans="1:14" ht="20.25" customHeight="1" x14ac:dyDescent="0.25">
      <c r="A187" s="21" t="s">
        <v>590</v>
      </c>
      <c r="B187" s="22" t="s">
        <v>578</v>
      </c>
      <c r="C187" s="32">
        <v>6488</v>
      </c>
      <c r="D187" s="22" t="s">
        <v>579</v>
      </c>
      <c r="E187" s="14" t="s">
        <v>52</v>
      </c>
      <c r="F187" s="15"/>
      <c r="G187" s="23"/>
      <c r="H187" s="24" t="s">
        <v>53</v>
      </c>
      <c r="I187" s="24"/>
      <c r="J187" s="31">
        <v>100</v>
      </c>
      <c r="K187" s="3" t="str">
        <f t="shared" si="12"/>
        <v>6488</v>
      </c>
      <c r="L187" t="str">
        <f t="shared" si="9"/>
        <v>PBF</v>
      </c>
      <c r="M187" s="4">
        <f t="shared" si="10"/>
        <v>100</v>
      </c>
      <c r="N187" t="str">
        <f t="shared" si="11"/>
        <v>環球晶</v>
      </c>
    </row>
    <row r="188" spans="1:14" ht="20.25" customHeight="1" x14ac:dyDescent="0.25">
      <c r="A188" s="21" t="s">
        <v>591</v>
      </c>
      <c r="B188" s="22" t="s">
        <v>592</v>
      </c>
      <c r="C188" s="32">
        <v>4162</v>
      </c>
      <c r="D188" s="22" t="s">
        <v>593</v>
      </c>
      <c r="E188" s="14" t="s">
        <v>52</v>
      </c>
      <c r="F188" s="15"/>
      <c r="G188" s="23"/>
      <c r="H188" s="24" t="s">
        <v>53</v>
      </c>
      <c r="I188" s="24"/>
      <c r="J188" s="31">
        <v>2000</v>
      </c>
      <c r="K188" s="3" t="str">
        <f t="shared" si="12"/>
        <v>4162</v>
      </c>
      <c r="L188" t="str">
        <f t="shared" si="9"/>
        <v>PCF</v>
      </c>
      <c r="M188" s="4">
        <f t="shared" si="10"/>
        <v>2000</v>
      </c>
      <c r="N188" t="str">
        <f t="shared" si="11"/>
        <v>智擎</v>
      </c>
    </row>
    <row r="189" spans="1:14" ht="20.25" customHeight="1" x14ac:dyDescent="0.25">
      <c r="A189" s="21" t="s">
        <v>594</v>
      </c>
      <c r="B189" s="22" t="s">
        <v>595</v>
      </c>
      <c r="C189" s="32">
        <v>4736</v>
      </c>
      <c r="D189" s="22" t="s">
        <v>596</v>
      </c>
      <c r="E189" s="14" t="s">
        <v>52</v>
      </c>
      <c r="F189" s="15"/>
      <c r="G189" s="23"/>
      <c r="H189" s="24" t="s">
        <v>53</v>
      </c>
      <c r="I189" s="24"/>
      <c r="J189" s="31">
        <v>2000</v>
      </c>
      <c r="K189" s="3" t="str">
        <f t="shared" si="12"/>
        <v>4736</v>
      </c>
      <c r="L189" t="str">
        <f t="shared" si="9"/>
        <v>PDF</v>
      </c>
      <c r="M189" s="4">
        <f t="shared" si="10"/>
        <v>2000</v>
      </c>
      <c r="N189" t="str">
        <f t="shared" si="11"/>
        <v>泰博</v>
      </c>
    </row>
    <row r="190" spans="1:14" ht="20.25" customHeight="1" x14ac:dyDescent="0.25">
      <c r="A190" s="21" t="s">
        <v>597</v>
      </c>
      <c r="B190" s="22" t="s">
        <v>598</v>
      </c>
      <c r="C190" s="32">
        <v>5425</v>
      </c>
      <c r="D190" s="22" t="s">
        <v>599</v>
      </c>
      <c r="E190" s="14" t="s">
        <v>52</v>
      </c>
      <c r="F190" s="15"/>
      <c r="G190" s="23"/>
      <c r="H190" s="24" t="s">
        <v>53</v>
      </c>
      <c r="I190" s="24"/>
      <c r="J190" s="31">
        <v>2000</v>
      </c>
      <c r="K190" s="3" t="str">
        <f t="shared" si="12"/>
        <v>5425</v>
      </c>
      <c r="L190" t="str">
        <f t="shared" si="9"/>
        <v>PEF</v>
      </c>
      <c r="M190" s="4">
        <f t="shared" si="10"/>
        <v>2000</v>
      </c>
      <c r="N190" t="str">
        <f t="shared" si="11"/>
        <v>台半</v>
      </c>
    </row>
    <row r="191" spans="1:14" ht="20.25" customHeight="1" x14ac:dyDescent="0.25">
      <c r="A191" s="21" t="s">
        <v>600</v>
      </c>
      <c r="B191" s="22" t="s">
        <v>601</v>
      </c>
      <c r="C191" s="32" t="s">
        <v>602</v>
      </c>
      <c r="D191" s="22" t="s">
        <v>603</v>
      </c>
      <c r="E191" s="14" t="s">
        <v>52</v>
      </c>
      <c r="F191" s="15"/>
      <c r="G191" s="23"/>
      <c r="H191" s="24"/>
      <c r="I191" s="24" t="s">
        <v>53</v>
      </c>
      <c r="J191" s="31">
        <v>10000</v>
      </c>
      <c r="K191" s="3" t="str">
        <f t="shared" si="12"/>
        <v>0056</v>
      </c>
      <c r="L191" t="str">
        <f t="shared" si="9"/>
        <v>PFF</v>
      </c>
      <c r="M191" s="4">
        <f t="shared" si="10"/>
        <v>10000</v>
      </c>
      <c r="N191" t="str">
        <f t="shared" si="11"/>
        <v>元大高股息ETF</v>
      </c>
    </row>
    <row r="192" spans="1:14" ht="20.25" customHeight="1" x14ac:dyDescent="0.25">
      <c r="A192" s="21" t="s">
        <v>604</v>
      </c>
      <c r="B192" s="22" t="s">
        <v>605</v>
      </c>
      <c r="C192" s="32">
        <v>2633</v>
      </c>
      <c r="D192" s="22" t="s">
        <v>606</v>
      </c>
      <c r="E192" s="14" t="s">
        <v>52</v>
      </c>
      <c r="F192" s="42"/>
      <c r="G192" s="23" t="s">
        <v>53</v>
      </c>
      <c r="H192" s="24"/>
      <c r="I192" s="24"/>
      <c r="J192" s="31">
        <v>2000</v>
      </c>
      <c r="K192" s="3" t="str">
        <f t="shared" si="12"/>
        <v>2633</v>
      </c>
      <c r="L192" t="str">
        <f t="shared" si="9"/>
        <v>PGF</v>
      </c>
      <c r="M192" s="4">
        <f t="shared" si="10"/>
        <v>2000</v>
      </c>
      <c r="N192" t="str">
        <f t="shared" si="11"/>
        <v>台灣高鐵</v>
      </c>
    </row>
    <row r="193" spans="1:14" ht="20.25" customHeight="1" x14ac:dyDescent="0.25">
      <c r="A193" s="21" t="s">
        <v>607</v>
      </c>
      <c r="B193" s="22" t="s">
        <v>608</v>
      </c>
      <c r="C193" s="32">
        <v>5269</v>
      </c>
      <c r="D193" s="22" t="s">
        <v>609</v>
      </c>
      <c r="E193" s="14" t="s">
        <v>52</v>
      </c>
      <c r="F193" s="42"/>
      <c r="G193" s="23" t="s">
        <v>53</v>
      </c>
      <c r="H193" s="24"/>
      <c r="I193" s="24"/>
      <c r="J193" s="31">
        <v>2000</v>
      </c>
      <c r="K193" s="3" t="str">
        <f t="shared" si="12"/>
        <v>5269</v>
      </c>
      <c r="L193" t="str">
        <f t="shared" ref="L193:L197" si="13">$A193&amp;"F"</f>
        <v>PHF</v>
      </c>
      <c r="M193" s="4">
        <f t="shared" ref="M193:M221" si="14">$J193</f>
        <v>2000</v>
      </c>
      <c r="N193" t="str">
        <f t="shared" si="11"/>
        <v>祥碩</v>
      </c>
    </row>
    <row r="194" spans="1:14" ht="20.25" customHeight="1" x14ac:dyDescent="0.25">
      <c r="A194" s="21" t="s">
        <v>610</v>
      </c>
      <c r="B194" s="22" t="s">
        <v>611</v>
      </c>
      <c r="C194" s="32">
        <v>3529</v>
      </c>
      <c r="D194" s="22" t="s">
        <v>612</v>
      </c>
      <c r="E194" s="14" t="s">
        <v>52</v>
      </c>
      <c r="F194" s="42"/>
      <c r="G194" s="43"/>
      <c r="H194" s="24" t="s">
        <v>53</v>
      </c>
      <c r="I194" s="24"/>
      <c r="J194" s="31">
        <v>2000</v>
      </c>
      <c r="K194" s="3" t="str">
        <f t="shared" si="12"/>
        <v>3529</v>
      </c>
      <c r="L194" t="str">
        <f t="shared" si="13"/>
        <v>PIF</v>
      </c>
      <c r="M194" s="4">
        <f t="shared" si="14"/>
        <v>2000</v>
      </c>
      <c r="N194" t="str">
        <f t="shared" si="11"/>
        <v>力旺</v>
      </c>
    </row>
    <row r="195" spans="1:14" ht="20.25" customHeight="1" x14ac:dyDescent="0.25">
      <c r="A195" s="21" t="s">
        <v>613</v>
      </c>
      <c r="B195" s="22" t="s">
        <v>614</v>
      </c>
      <c r="C195" s="32">
        <v>2383</v>
      </c>
      <c r="D195" s="22" t="s">
        <v>615</v>
      </c>
      <c r="E195" s="14" t="s">
        <v>52</v>
      </c>
      <c r="F195" s="42"/>
      <c r="G195" s="24" t="s">
        <v>53</v>
      </c>
      <c r="H195" s="24"/>
      <c r="I195" s="24"/>
      <c r="J195" s="31">
        <v>2000</v>
      </c>
      <c r="K195" s="3" t="str">
        <f t="shared" si="12"/>
        <v>2383</v>
      </c>
      <c r="L195" t="str">
        <f t="shared" si="13"/>
        <v>PJF</v>
      </c>
      <c r="M195" s="4">
        <f t="shared" si="14"/>
        <v>2000</v>
      </c>
      <c r="N195" t="str">
        <f t="shared" si="11"/>
        <v>台光電</v>
      </c>
    </row>
    <row r="196" spans="1:14" ht="20.25" customHeight="1" x14ac:dyDescent="0.25">
      <c r="A196" s="21" t="s">
        <v>616</v>
      </c>
      <c r="B196" s="22" t="s">
        <v>617</v>
      </c>
      <c r="C196" s="32">
        <v>6173</v>
      </c>
      <c r="D196" s="22" t="s">
        <v>618</v>
      </c>
      <c r="E196" s="14" t="s">
        <v>52</v>
      </c>
      <c r="F196" s="42"/>
      <c r="G196" s="43"/>
      <c r="H196" s="24" t="s">
        <v>53</v>
      </c>
      <c r="I196" s="24"/>
      <c r="J196" s="31">
        <v>2000</v>
      </c>
      <c r="K196" s="3" t="str">
        <f t="shared" si="12"/>
        <v>6173</v>
      </c>
      <c r="L196" t="str">
        <f t="shared" si="13"/>
        <v>PKF</v>
      </c>
      <c r="M196" s="4">
        <f t="shared" si="14"/>
        <v>2000</v>
      </c>
      <c r="N196" t="str">
        <f t="shared" si="11"/>
        <v>信昌電</v>
      </c>
    </row>
    <row r="197" spans="1:14" ht="20.25" customHeight="1" x14ac:dyDescent="0.25">
      <c r="A197" s="21" t="s">
        <v>619</v>
      </c>
      <c r="B197" s="22" t="s">
        <v>620</v>
      </c>
      <c r="C197" s="32">
        <v>6182</v>
      </c>
      <c r="D197" s="22" t="s">
        <v>621</v>
      </c>
      <c r="E197" s="14" t="s">
        <v>52</v>
      </c>
      <c r="F197" s="42"/>
      <c r="G197" s="43"/>
      <c r="H197" s="24" t="s">
        <v>53</v>
      </c>
      <c r="I197" s="24"/>
      <c r="J197" s="31">
        <v>2000</v>
      </c>
      <c r="K197" s="3" t="str">
        <f t="shared" si="12"/>
        <v>6182</v>
      </c>
      <c r="L197" t="str">
        <f t="shared" si="13"/>
        <v>PLF</v>
      </c>
      <c r="M197" s="4">
        <f t="shared" si="14"/>
        <v>2000</v>
      </c>
      <c r="N197" t="str">
        <f t="shared" ref="N197:N204" si="15">D197</f>
        <v>合晶</v>
      </c>
    </row>
    <row r="198" spans="1:14" ht="20.25" customHeight="1" x14ac:dyDescent="0.25">
      <c r="A198" s="21" t="s">
        <v>622</v>
      </c>
      <c r="B198" s="22" t="s">
        <v>623</v>
      </c>
      <c r="C198" s="32">
        <v>8436</v>
      </c>
      <c r="D198" s="22" t="s">
        <v>624</v>
      </c>
      <c r="E198" s="14" t="s">
        <v>52</v>
      </c>
      <c r="F198" s="42"/>
      <c r="G198" s="43"/>
      <c r="H198" s="24" t="s">
        <v>53</v>
      </c>
      <c r="I198" s="24"/>
      <c r="J198" s="31">
        <v>2000</v>
      </c>
      <c r="K198" s="3" t="str">
        <f>IF(LEFT(C198,2)="00","00","")&amp;TEXT(C198,"@")</f>
        <v>8436</v>
      </c>
      <c r="L198" t="str">
        <f>$A198&amp;"F"</f>
        <v>PMF</v>
      </c>
      <c r="M198" s="4">
        <f>$J198</f>
        <v>2000</v>
      </c>
      <c r="N198" t="str">
        <f t="shared" si="15"/>
        <v>大江</v>
      </c>
    </row>
    <row r="199" spans="1:14" ht="20.25" customHeight="1" x14ac:dyDescent="0.25">
      <c r="A199" s="21" t="s">
        <v>625</v>
      </c>
      <c r="B199" s="22" t="s">
        <v>608</v>
      </c>
      <c r="C199" s="32">
        <v>5269</v>
      </c>
      <c r="D199" s="22" t="s">
        <v>609</v>
      </c>
      <c r="E199" s="14" t="s">
        <v>52</v>
      </c>
      <c r="F199" s="42"/>
      <c r="G199" s="24" t="s">
        <v>53</v>
      </c>
      <c r="H199" s="24"/>
      <c r="I199" s="24"/>
      <c r="J199" s="31">
        <v>100</v>
      </c>
      <c r="K199" s="3" t="str">
        <f>IF(LEFT(C199,2)="00","00","")&amp;TEXT(C199,"@")</f>
        <v>5269</v>
      </c>
      <c r="L199" t="str">
        <f>$A199&amp;"F"</f>
        <v>PNF</v>
      </c>
      <c r="M199" s="4">
        <f>$J199</f>
        <v>100</v>
      </c>
      <c r="N199" t="str">
        <f t="shared" si="15"/>
        <v>祥碩</v>
      </c>
    </row>
    <row r="200" spans="1:14" ht="20.25" customHeight="1" x14ac:dyDescent="0.25">
      <c r="A200" s="21" t="s">
        <v>626</v>
      </c>
      <c r="B200" s="22" t="s">
        <v>627</v>
      </c>
      <c r="C200" s="32">
        <v>6462</v>
      </c>
      <c r="D200" s="22" t="s">
        <v>628</v>
      </c>
      <c r="E200" s="14" t="s">
        <v>52</v>
      </c>
      <c r="F200" s="42"/>
      <c r="G200" s="24"/>
      <c r="H200" s="24" t="s">
        <v>53</v>
      </c>
      <c r="I200" s="24"/>
      <c r="J200" s="31">
        <v>2000</v>
      </c>
      <c r="K200" s="3" t="str">
        <f>IF(LEFT(C200,2)="00","00","")&amp;TEXT(C200,"@")</f>
        <v>6462</v>
      </c>
      <c r="L200" t="str">
        <f>$A200&amp;"F"</f>
        <v>POF</v>
      </c>
      <c r="M200" s="4">
        <f>$J200</f>
        <v>2000</v>
      </c>
      <c r="N200" t="str">
        <f t="shared" si="15"/>
        <v>神盾</v>
      </c>
    </row>
    <row r="201" spans="1:14" ht="20.25" customHeight="1" x14ac:dyDescent="0.25">
      <c r="A201" s="21" t="s">
        <v>629</v>
      </c>
      <c r="B201" s="22" t="s">
        <v>630</v>
      </c>
      <c r="C201" s="32">
        <v>5457</v>
      </c>
      <c r="D201" s="22" t="s">
        <v>631</v>
      </c>
      <c r="E201" s="14" t="s">
        <v>52</v>
      </c>
      <c r="F201" s="42"/>
      <c r="G201" s="43"/>
      <c r="H201" s="24" t="s">
        <v>53</v>
      </c>
      <c r="I201" s="24"/>
      <c r="J201" s="31">
        <v>2000</v>
      </c>
      <c r="K201" s="3" t="str">
        <f>IF(LEFT(C201,2)="00","00","")&amp;TEXT(C201,"@")</f>
        <v>5457</v>
      </c>
      <c r="L201" t="str">
        <f>$A201&amp;"F"</f>
        <v>PPF</v>
      </c>
      <c r="M201" s="4">
        <f>$J201</f>
        <v>2000</v>
      </c>
      <c r="N201" t="str">
        <f t="shared" si="15"/>
        <v>宣德</v>
      </c>
    </row>
    <row r="202" spans="1:14" ht="20.25" customHeight="1" x14ac:dyDescent="0.25">
      <c r="A202" s="21" t="s">
        <v>632</v>
      </c>
      <c r="B202" s="22" t="s">
        <v>633</v>
      </c>
      <c r="C202" s="32">
        <v>8358</v>
      </c>
      <c r="D202" s="22" t="s">
        <v>634</v>
      </c>
      <c r="E202" s="14" t="s">
        <v>52</v>
      </c>
      <c r="F202" s="42"/>
      <c r="G202" s="43"/>
      <c r="H202" s="24" t="s">
        <v>53</v>
      </c>
      <c r="I202" s="24"/>
      <c r="J202" s="31">
        <v>2000</v>
      </c>
      <c r="K202" s="3" t="str">
        <f>IF(LEFT(C202,2)="00","00","")&amp;TEXT(C202,"@")</f>
        <v>8358</v>
      </c>
      <c r="L202" t="str">
        <f>$A202&amp;"F"</f>
        <v>PQF</v>
      </c>
      <c r="M202" s="4">
        <f>$J202</f>
        <v>2000</v>
      </c>
      <c r="N202" t="str">
        <f t="shared" si="15"/>
        <v>金居</v>
      </c>
    </row>
    <row r="203" spans="1:14" ht="20.25" customHeight="1" x14ac:dyDescent="0.25">
      <c r="A203" s="21" t="s">
        <v>840</v>
      </c>
      <c r="B203" s="22" t="s">
        <v>841</v>
      </c>
      <c r="C203" s="21">
        <v>8086</v>
      </c>
      <c r="D203" s="22" t="s">
        <v>842</v>
      </c>
      <c r="E203" s="14" t="s">
        <v>52</v>
      </c>
      <c r="F203" s="15"/>
      <c r="G203" s="23"/>
      <c r="H203" s="24" t="s">
        <v>53</v>
      </c>
      <c r="I203" s="30"/>
      <c r="J203" s="31">
        <v>2000</v>
      </c>
      <c r="K203" s="3" t="str">
        <f t="shared" ref="K203:K221" si="16">IF(LEFT(C203,2)="00","00","")&amp;TEXT(C203,"@")</f>
        <v>8086</v>
      </c>
      <c r="L203" t="str">
        <f t="shared" ref="L203:L221" si="17">$A203&amp;"F"</f>
        <v>PRF</v>
      </c>
      <c r="M203" s="4">
        <f t="shared" si="14"/>
        <v>2000</v>
      </c>
      <c r="N203" t="str">
        <f t="shared" si="15"/>
        <v>宏捷科</v>
      </c>
    </row>
    <row r="204" spans="1:14" ht="20.25" customHeight="1" x14ac:dyDescent="0.25">
      <c r="A204" s="21" t="s">
        <v>843</v>
      </c>
      <c r="B204" s="22" t="s">
        <v>844</v>
      </c>
      <c r="C204" s="32">
        <v>3706</v>
      </c>
      <c r="D204" s="22" t="s">
        <v>845</v>
      </c>
      <c r="E204" s="14" t="s">
        <v>52</v>
      </c>
      <c r="F204" s="42"/>
      <c r="G204" s="43" t="s">
        <v>53</v>
      </c>
      <c r="H204" s="24"/>
      <c r="I204" s="24"/>
      <c r="J204" s="31">
        <v>2000</v>
      </c>
      <c r="K204" s="3" t="str">
        <f t="shared" si="16"/>
        <v>3706</v>
      </c>
      <c r="L204" t="str">
        <f t="shared" si="17"/>
        <v>PSF</v>
      </c>
      <c r="M204" s="4">
        <f t="shared" si="14"/>
        <v>2000</v>
      </c>
      <c r="N204" t="str">
        <f t="shared" si="15"/>
        <v>神達</v>
      </c>
    </row>
    <row r="205" spans="1:14" ht="20.25" customHeight="1" x14ac:dyDescent="0.25">
      <c r="A205" s="21" t="s">
        <v>846</v>
      </c>
      <c r="B205" s="22" t="s">
        <v>847</v>
      </c>
      <c r="C205" s="32">
        <v>3324</v>
      </c>
      <c r="D205" s="22" t="s">
        <v>848</v>
      </c>
      <c r="E205" s="14" t="s">
        <v>52</v>
      </c>
      <c r="F205" s="42"/>
      <c r="G205" s="43"/>
      <c r="H205" s="24" t="s">
        <v>53</v>
      </c>
      <c r="I205" s="24"/>
      <c r="J205" s="31">
        <v>2000</v>
      </c>
      <c r="K205" s="3" t="str">
        <f t="shared" si="16"/>
        <v>3324</v>
      </c>
      <c r="L205" t="str">
        <f t="shared" si="17"/>
        <v>PTF</v>
      </c>
      <c r="M205" s="4">
        <f t="shared" si="14"/>
        <v>2000</v>
      </c>
      <c r="N205" t="str">
        <f t="shared" ref="N205:N221" si="18">D205</f>
        <v>雙鴻</v>
      </c>
    </row>
    <row r="206" spans="1:14" ht="20.25" customHeight="1" x14ac:dyDescent="0.25">
      <c r="A206" s="21" t="s">
        <v>849</v>
      </c>
      <c r="B206" s="22" t="s">
        <v>160</v>
      </c>
      <c r="C206" s="32">
        <v>2454</v>
      </c>
      <c r="D206" s="22" t="s">
        <v>161</v>
      </c>
      <c r="E206" s="14" t="s">
        <v>52</v>
      </c>
      <c r="F206" s="42"/>
      <c r="G206" s="24" t="s">
        <v>53</v>
      </c>
      <c r="H206" s="24"/>
      <c r="I206" s="24"/>
      <c r="J206" s="31">
        <v>100</v>
      </c>
      <c r="K206" s="3" t="str">
        <f t="shared" si="16"/>
        <v>2454</v>
      </c>
      <c r="L206" t="str">
        <f t="shared" si="17"/>
        <v>PUF</v>
      </c>
      <c r="M206" s="4">
        <f t="shared" si="14"/>
        <v>100</v>
      </c>
      <c r="N206" t="str">
        <f t="shared" si="18"/>
        <v>聯發科</v>
      </c>
    </row>
    <row r="207" spans="1:14" ht="20.25" customHeight="1" x14ac:dyDescent="0.25">
      <c r="A207" s="21" t="s">
        <v>850</v>
      </c>
      <c r="B207" s="22" t="s">
        <v>851</v>
      </c>
      <c r="C207" s="32">
        <v>6669</v>
      </c>
      <c r="D207" s="22" t="s">
        <v>852</v>
      </c>
      <c r="E207" s="14" t="s">
        <v>52</v>
      </c>
      <c r="F207" s="42"/>
      <c r="G207" s="24" t="s">
        <v>53</v>
      </c>
      <c r="H207" s="24"/>
      <c r="I207" s="24"/>
      <c r="J207" s="31">
        <v>2000</v>
      </c>
      <c r="K207" s="3" t="str">
        <f t="shared" si="16"/>
        <v>6669</v>
      </c>
      <c r="L207" t="str">
        <f t="shared" si="17"/>
        <v>PVF</v>
      </c>
      <c r="M207" s="4">
        <f t="shared" si="14"/>
        <v>2000</v>
      </c>
      <c r="N207" t="str">
        <f t="shared" si="18"/>
        <v>緯穎</v>
      </c>
    </row>
    <row r="208" spans="1:14" ht="20.25" customHeight="1" x14ac:dyDescent="0.25">
      <c r="A208" s="21" t="s">
        <v>853</v>
      </c>
      <c r="B208" s="22" t="s">
        <v>851</v>
      </c>
      <c r="C208" s="32">
        <v>6669</v>
      </c>
      <c r="D208" s="22" t="s">
        <v>852</v>
      </c>
      <c r="E208" s="14" t="s">
        <v>52</v>
      </c>
      <c r="F208" s="42"/>
      <c r="G208" s="24" t="s">
        <v>53</v>
      </c>
      <c r="H208" s="24"/>
      <c r="I208" s="24"/>
      <c r="J208" s="31">
        <v>100</v>
      </c>
      <c r="K208" s="3" t="str">
        <f t="shared" si="16"/>
        <v>6669</v>
      </c>
      <c r="L208" t="str">
        <f t="shared" si="17"/>
        <v>PWF</v>
      </c>
      <c r="M208" s="4">
        <f t="shared" si="14"/>
        <v>100</v>
      </c>
      <c r="N208" t="str">
        <f t="shared" si="18"/>
        <v>緯穎</v>
      </c>
    </row>
    <row r="209" spans="1:14" ht="20.25" customHeight="1" x14ac:dyDescent="0.25">
      <c r="A209" s="21" t="s">
        <v>854</v>
      </c>
      <c r="B209" s="22" t="s">
        <v>855</v>
      </c>
      <c r="C209" s="32">
        <v>3293</v>
      </c>
      <c r="D209" s="22" t="s">
        <v>856</v>
      </c>
      <c r="E209" s="14" t="s">
        <v>52</v>
      </c>
      <c r="F209" s="42"/>
      <c r="G209" s="43"/>
      <c r="H209" s="24" t="s">
        <v>53</v>
      </c>
      <c r="I209" s="24"/>
      <c r="J209" s="31">
        <v>2000</v>
      </c>
      <c r="K209" s="3" t="str">
        <f t="shared" si="16"/>
        <v>3293</v>
      </c>
      <c r="L209" t="str">
        <f t="shared" si="17"/>
        <v>PXF</v>
      </c>
      <c r="M209" s="4">
        <f t="shared" si="14"/>
        <v>2000</v>
      </c>
      <c r="N209" t="str">
        <f t="shared" si="18"/>
        <v>鈊象</v>
      </c>
    </row>
    <row r="210" spans="1:14" ht="20.25" customHeight="1" x14ac:dyDescent="0.25">
      <c r="A210" s="21" t="s">
        <v>857</v>
      </c>
      <c r="B210" s="22" t="s">
        <v>855</v>
      </c>
      <c r="C210" s="32">
        <v>3293</v>
      </c>
      <c r="D210" s="22" t="s">
        <v>856</v>
      </c>
      <c r="E210" s="14" t="s">
        <v>52</v>
      </c>
      <c r="F210" s="42"/>
      <c r="G210" s="43"/>
      <c r="H210" s="24" t="s">
        <v>53</v>
      </c>
      <c r="I210" s="24"/>
      <c r="J210" s="31">
        <v>100</v>
      </c>
      <c r="K210" s="3" t="str">
        <f t="shared" si="16"/>
        <v>3293</v>
      </c>
      <c r="L210" t="str">
        <f t="shared" si="17"/>
        <v>PYF</v>
      </c>
      <c r="M210" s="4">
        <f t="shared" si="14"/>
        <v>100</v>
      </c>
      <c r="N210" t="str">
        <f t="shared" si="18"/>
        <v>鈊象</v>
      </c>
    </row>
    <row r="211" spans="1:14" ht="20.25" customHeight="1" x14ac:dyDescent="0.25">
      <c r="A211" s="21" t="s">
        <v>858</v>
      </c>
      <c r="B211" s="22" t="s">
        <v>859</v>
      </c>
      <c r="C211" s="32">
        <v>5274</v>
      </c>
      <c r="D211" s="22" t="s">
        <v>860</v>
      </c>
      <c r="E211" s="14" t="s">
        <v>52</v>
      </c>
      <c r="F211" s="42"/>
      <c r="G211" s="43"/>
      <c r="H211" s="24" t="s">
        <v>53</v>
      </c>
      <c r="I211" s="24"/>
      <c r="J211" s="31">
        <v>2000</v>
      </c>
      <c r="K211" s="3" t="str">
        <f t="shared" si="16"/>
        <v>5274</v>
      </c>
      <c r="L211" t="str">
        <f t="shared" si="17"/>
        <v>PZF</v>
      </c>
      <c r="M211" s="4">
        <f t="shared" si="14"/>
        <v>2000</v>
      </c>
      <c r="N211" t="str">
        <f t="shared" si="18"/>
        <v>信驊</v>
      </c>
    </row>
    <row r="212" spans="1:14" ht="20.25" customHeight="1" x14ac:dyDescent="0.25">
      <c r="A212" s="21" t="s">
        <v>861</v>
      </c>
      <c r="B212" s="22" t="s">
        <v>859</v>
      </c>
      <c r="C212" s="32">
        <v>5274</v>
      </c>
      <c r="D212" s="22" t="s">
        <v>860</v>
      </c>
      <c r="E212" s="14" t="s">
        <v>52</v>
      </c>
      <c r="F212" s="42"/>
      <c r="G212" s="43"/>
      <c r="H212" s="24" t="s">
        <v>53</v>
      </c>
      <c r="I212" s="24"/>
      <c r="J212" s="31">
        <v>100</v>
      </c>
      <c r="K212" s="3" t="str">
        <f t="shared" si="16"/>
        <v>5274</v>
      </c>
      <c r="L212" t="str">
        <f t="shared" si="17"/>
        <v>QAF</v>
      </c>
      <c r="M212" s="4">
        <f t="shared" si="14"/>
        <v>100</v>
      </c>
      <c r="N212" t="str">
        <f t="shared" si="18"/>
        <v>信驊</v>
      </c>
    </row>
    <row r="213" spans="1:14" ht="20.25" customHeight="1" x14ac:dyDescent="0.25">
      <c r="A213" s="21" t="s">
        <v>862</v>
      </c>
      <c r="B213" s="22" t="s">
        <v>863</v>
      </c>
      <c r="C213" s="32">
        <v>3714</v>
      </c>
      <c r="D213" s="22" t="s">
        <v>864</v>
      </c>
      <c r="E213" s="14" t="s">
        <v>52</v>
      </c>
      <c r="F213" s="42" t="s">
        <v>52</v>
      </c>
      <c r="G213" s="24" t="s">
        <v>53</v>
      </c>
      <c r="H213" s="24"/>
      <c r="I213" s="24"/>
      <c r="J213" s="31">
        <v>2000</v>
      </c>
      <c r="K213" s="3" t="str">
        <f t="shared" si="16"/>
        <v>3714</v>
      </c>
      <c r="L213" t="str">
        <f t="shared" si="17"/>
        <v>QBF</v>
      </c>
      <c r="M213" s="4">
        <f t="shared" si="14"/>
        <v>2000</v>
      </c>
      <c r="N213" t="str">
        <f t="shared" si="18"/>
        <v>富采</v>
      </c>
    </row>
    <row r="214" spans="1:14" ht="20.25" customHeight="1" x14ac:dyDescent="0.25">
      <c r="A214" s="21" t="s">
        <v>865</v>
      </c>
      <c r="B214" s="22" t="s">
        <v>866</v>
      </c>
      <c r="C214" s="32">
        <v>2606</v>
      </c>
      <c r="D214" s="22" t="s">
        <v>867</v>
      </c>
      <c r="E214" s="14" t="s">
        <v>52</v>
      </c>
      <c r="F214" s="42"/>
      <c r="G214" s="24" t="s">
        <v>53</v>
      </c>
      <c r="H214" s="24"/>
      <c r="I214" s="24"/>
      <c r="J214" s="31">
        <v>2000</v>
      </c>
      <c r="K214" s="3" t="str">
        <f t="shared" si="16"/>
        <v>2606</v>
      </c>
      <c r="L214" t="str">
        <f t="shared" si="17"/>
        <v>QCF</v>
      </c>
      <c r="M214" s="4">
        <f t="shared" si="14"/>
        <v>2000</v>
      </c>
      <c r="N214" t="str">
        <f t="shared" si="18"/>
        <v>裕民</v>
      </c>
    </row>
    <row r="215" spans="1:14" ht="20.25" customHeight="1" x14ac:dyDescent="0.25">
      <c r="A215" s="21" t="s">
        <v>868</v>
      </c>
      <c r="B215" s="22" t="s">
        <v>869</v>
      </c>
      <c r="C215" s="32">
        <v>3532</v>
      </c>
      <c r="D215" s="22" t="s">
        <v>870</v>
      </c>
      <c r="E215" s="14" t="s">
        <v>52</v>
      </c>
      <c r="F215" s="42"/>
      <c r="G215" s="24" t="s">
        <v>53</v>
      </c>
      <c r="H215" s="24"/>
      <c r="I215" s="24"/>
      <c r="J215" s="31">
        <v>2000</v>
      </c>
      <c r="K215" s="3" t="str">
        <f t="shared" si="16"/>
        <v>3532</v>
      </c>
      <c r="L215" t="str">
        <f t="shared" si="17"/>
        <v>QDF</v>
      </c>
      <c r="M215" s="4">
        <f t="shared" si="14"/>
        <v>2000</v>
      </c>
      <c r="N215" t="str">
        <f t="shared" si="18"/>
        <v>台勝科</v>
      </c>
    </row>
    <row r="216" spans="1:14" ht="20.25" customHeight="1" x14ac:dyDescent="0.25">
      <c r="A216" s="21" t="s">
        <v>871</v>
      </c>
      <c r="B216" s="22" t="s">
        <v>433</v>
      </c>
      <c r="C216" s="32">
        <v>2327</v>
      </c>
      <c r="D216" s="22" t="s">
        <v>434</v>
      </c>
      <c r="E216" s="14" t="s">
        <v>52</v>
      </c>
      <c r="F216" s="42"/>
      <c r="G216" s="24" t="s">
        <v>53</v>
      </c>
      <c r="H216" s="24"/>
      <c r="I216" s="24"/>
      <c r="J216" s="31">
        <v>100</v>
      </c>
      <c r="K216" s="3" t="str">
        <f t="shared" si="16"/>
        <v>2327</v>
      </c>
      <c r="L216" t="str">
        <f t="shared" si="17"/>
        <v>QEF</v>
      </c>
      <c r="M216" s="4">
        <f t="shared" si="14"/>
        <v>100</v>
      </c>
      <c r="N216" t="str">
        <f t="shared" si="18"/>
        <v>國巨</v>
      </c>
    </row>
    <row r="217" spans="1:14" ht="20.25" customHeight="1" x14ac:dyDescent="0.25">
      <c r="A217" s="21" t="s">
        <v>872</v>
      </c>
      <c r="B217" s="22" t="s">
        <v>61</v>
      </c>
      <c r="C217" s="32">
        <v>2330</v>
      </c>
      <c r="D217" s="22" t="s">
        <v>62</v>
      </c>
      <c r="E217" s="14" t="s">
        <v>52</v>
      </c>
      <c r="F217" s="42"/>
      <c r="G217" s="24" t="s">
        <v>53</v>
      </c>
      <c r="H217" s="24"/>
      <c r="I217" s="24"/>
      <c r="J217" s="31">
        <v>100</v>
      </c>
      <c r="K217" s="3" t="str">
        <f t="shared" si="16"/>
        <v>2330</v>
      </c>
      <c r="L217" t="str">
        <f t="shared" si="17"/>
        <v>QFF</v>
      </c>
      <c r="M217" s="4">
        <f t="shared" si="14"/>
        <v>100</v>
      </c>
      <c r="N217" t="str">
        <f t="shared" si="18"/>
        <v>台積電</v>
      </c>
    </row>
    <row r="218" spans="1:14" ht="20.25" customHeight="1" x14ac:dyDescent="0.25">
      <c r="A218" s="21" t="s">
        <v>873</v>
      </c>
      <c r="B218" s="22" t="s">
        <v>241</v>
      </c>
      <c r="C218" s="32">
        <v>2379</v>
      </c>
      <c r="D218" s="22" t="s">
        <v>242</v>
      </c>
      <c r="E218" s="14" t="s">
        <v>52</v>
      </c>
      <c r="F218" s="42"/>
      <c r="G218" s="24" t="s">
        <v>53</v>
      </c>
      <c r="H218" s="24"/>
      <c r="I218" s="24"/>
      <c r="J218" s="31">
        <v>100</v>
      </c>
      <c r="K218" s="3" t="str">
        <f t="shared" si="16"/>
        <v>2379</v>
      </c>
      <c r="L218" t="str">
        <f t="shared" si="17"/>
        <v>QGF</v>
      </c>
      <c r="M218" s="4">
        <f t="shared" si="14"/>
        <v>100</v>
      </c>
      <c r="N218" t="str">
        <f t="shared" si="18"/>
        <v>瑞昱</v>
      </c>
    </row>
    <row r="219" spans="1:14" ht="20.25" customHeight="1" x14ac:dyDescent="0.25">
      <c r="A219" s="21" t="s">
        <v>874</v>
      </c>
      <c r="B219" s="22" t="s">
        <v>313</v>
      </c>
      <c r="C219" s="32">
        <v>3034</v>
      </c>
      <c r="D219" s="22" t="s">
        <v>314</v>
      </c>
      <c r="E219" s="14" t="s">
        <v>52</v>
      </c>
      <c r="F219" s="42"/>
      <c r="G219" s="24" t="s">
        <v>53</v>
      </c>
      <c r="H219" s="24"/>
      <c r="I219" s="24"/>
      <c r="J219" s="31">
        <v>100</v>
      </c>
      <c r="K219" s="3" t="str">
        <f t="shared" si="16"/>
        <v>3034</v>
      </c>
      <c r="L219" t="str">
        <f t="shared" si="17"/>
        <v>QHF</v>
      </c>
      <c r="M219" s="4">
        <f t="shared" si="14"/>
        <v>100</v>
      </c>
      <c r="N219" t="str">
        <f t="shared" si="18"/>
        <v>聯詠</v>
      </c>
    </row>
    <row r="220" spans="1:14" ht="20.25" customHeight="1" x14ac:dyDescent="0.25">
      <c r="A220" s="21" t="s">
        <v>875</v>
      </c>
      <c r="B220" s="22" t="s">
        <v>463</v>
      </c>
      <c r="C220" s="32">
        <v>3105</v>
      </c>
      <c r="D220" s="22" t="s">
        <v>464</v>
      </c>
      <c r="E220" s="14" t="s">
        <v>52</v>
      </c>
      <c r="F220" s="42"/>
      <c r="G220" s="24"/>
      <c r="H220" s="24" t="s">
        <v>53</v>
      </c>
      <c r="I220" s="24"/>
      <c r="J220" s="31">
        <v>100</v>
      </c>
      <c r="K220" s="3" t="str">
        <f t="shared" si="16"/>
        <v>3105</v>
      </c>
      <c r="L220" t="str">
        <f t="shared" si="17"/>
        <v>QIF</v>
      </c>
      <c r="M220" s="4">
        <f t="shared" si="14"/>
        <v>100</v>
      </c>
      <c r="N220" t="str">
        <f t="shared" si="18"/>
        <v>穩懋</v>
      </c>
    </row>
    <row r="221" spans="1:14" ht="20.25" customHeight="1" x14ac:dyDescent="0.25">
      <c r="A221" s="21" t="s">
        <v>876</v>
      </c>
      <c r="B221" s="22" t="s">
        <v>403</v>
      </c>
      <c r="C221" s="32">
        <v>3406</v>
      </c>
      <c r="D221" s="22" t="s">
        <v>404</v>
      </c>
      <c r="E221" s="14" t="s">
        <v>52</v>
      </c>
      <c r="F221" s="42"/>
      <c r="G221" s="24" t="s">
        <v>53</v>
      </c>
      <c r="H221" s="24"/>
      <c r="I221" s="24"/>
      <c r="J221" s="31">
        <v>100</v>
      </c>
      <c r="K221" s="3" t="str">
        <f t="shared" si="16"/>
        <v>3406</v>
      </c>
      <c r="L221" t="str">
        <f t="shared" si="17"/>
        <v>QJF</v>
      </c>
      <c r="M221" s="4">
        <f t="shared" si="14"/>
        <v>100</v>
      </c>
      <c r="N221" t="str">
        <f t="shared" si="18"/>
        <v>玉晶光</v>
      </c>
    </row>
    <row r="222" spans="1:14" ht="20.25" customHeight="1" x14ac:dyDescent="0.25">
      <c r="A222" s="13"/>
      <c r="B222" s="25" t="s">
        <v>635</v>
      </c>
      <c r="C222" s="13"/>
      <c r="D222" s="12"/>
      <c r="E222" s="11">
        <v>218</v>
      </c>
      <c r="F222" s="41">
        <v>49</v>
      </c>
      <c r="G222" s="40">
        <v>164</v>
      </c>
      <c r="H222" s="11">
        <v>45</v>
      </c>
      <c r="I222" s="11">
        <v>9</v>
      </c>
      <c r="J222" s="28"/>
      <c r="K222" s="3"/>
      <c r="M222" s="4"/>
    </row>
    <row r="223" spans="1:14" ht="20.25" customHeight="1" x14ac:dyDescent="0.25">
      <c r="A223" s="54" t="s">
        <v>877</v>
      </c>
      <c r="B223" s="55"/>
      <c r="C223" s="55"/>
      <c r="D223" s="55"/>
      <c r="E223" s="55"/>
      <c r="F223" s="55"/>
      <c r="G223" s="38"/>
      <c r="H223" s="38"/>
      <c r="I223" s="38"/>
      <c r="J223" s="39"/>
      <c r="K223" s="3"/>
      <c r="M223" s="4"/>
    </row>
    <row r="224" spans="1:14" ht="20.25" customHeight="1" x14ac:dyDescent="0.25">
      <c r="A224" s="50"/>
      <c r="B224" s="51"/>
      <c r="C224" s="51"/>
      <c r="D224" s="51"/>
      <c r="E224" s="51"/>
      <c r="F224" s="51"/>
      <c r="G224" s="17"/>
      <c r="H224" s="17"/>
      <c r="I224" s="17"/>
      <c r="J224" s="29"/>
    </row>
  </sheetData>
  <mergeCells count="10">
    <mergeCell ref="J2:J3"/>
    <mergeCell ref="A224:F224"/>
    <mergeCell ref="G2:I2"/>
    <mergeCell ref="A223:F223"/>
    <mergeCell ref="A1:F1"/>
    <mergeCell ref="A2:A3"/>
    <mergeCell ref="B2:B3"/>
    <mergeCell ref="C2:C3"/>
    <mergeCell ref="D2:D3"/>
    <mergeCell ref="E2:F2"/>
  </mergeCells>
  <phoneticPr fontId="2" type="noConversion"/>
  <hyperlinks>
    <hyperlink ref="A1" r:id="rId1" display="http://newmops.twse.com.tw/"/>
    <hyperlink ref="A1:F1" r:id="rId2" display="●標的證券資訊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5"/>
  <sheetViews>
    <sheetView tabSelected="1" zoomScaleNormal="100" workbookViewId="0">
      <pane xSplit="6" ySplit="4" topLeftCell="G172" activePane="bottomRight" state="frozen"/>
      <selection pane="topRight" activeCell="G1" sqref="G1"/>
      <selection pane="bottomLeft" activeCell="A5" sqref="A5"/>
      <selection pane="bottomRight" activeCell="V195" sqref="V195"/>
    </sheetView>
  </sheetViews>
  <sheetFormatPr defaultRowHeight="13.5" x14ac:dyDescent="0.25"/>
  <cols>
    <col min="1" max="1" width="4.375" style="5" customWidth="1"/>
    <col min="2" max="2" width="5.375" style="5" customWidth="1"/>
    <col min="3" max="3" width="8.75" style="5" customWidth="1"/>
    <col min="4" max="4" width="6.375" style="5" customWidth="1"/>
    <col min="5" max="5" width="6.875" style="5" customWidth="1"/>
    <col min="6" max="6" width="8.25" style="5" customWidth="1"/>
    <col min="7" max="7" width="7.875" style="5" customWidth="1"/>
    <col min="8" max="14" width="6.5" style="5" customWidth="1"/>
    <col min="15" max="16" width="5.625" style="5" customWidth="1"/>
    <col min="17" max="17" width="5.875" style="5" customWidth="1"/>
    <col min="18" max="18" width="5.75" style="5" customWidth="1"/>
    <col min="19" max="19" width="7.25" style="5" customWidth="1"/>
    <col min="20" max="20" width="9" style="5"/>
    <col min="21" max="21" width="5.25" style="5" customWidth="1"/>
    <col min="22" max="23" width="9" style="5"/>
    <col min="24" max="24" width="8.125" style="5" customWidth="1"/>
    <col min="25" max="25" width="9" style="49"/>
    <col min="26" max="26" width="9" style="5"/>
    <col min="27" max="27" width="7.75" style="5" customWidth="1"/>
    <col min="28" max="39" width="6.375" style="5" customWidth="1"/>
    <col min="40" max="16384" width="9" style="5"/>
  </cols>
  <sheetData>
    <row r="1" spans="1:39" x14ac:dyDescent="0.25">
      <c r="C1" s="5" t="s">
        <v>823</v>
      </c>
      <c r="D1" s="6" t="s">
        <v>878</v>
      </c>
      <c r="E1" s="5" t="s">
        <v>879</v>
      </c>
      <c r="F1" s="5">
        <v>1</v>
      </c>
      <c r="H1" s="5">
        <v>5</v>
      </c>
      <c r="I1" s="5">
        <v>4</v>
      </c>
      <c r="J1" s="5">
        <v>11</v>
      </c>
      <c r="K1" s="5">
        <v>12</v>
      </c>
      <c r="L1" s="5">
        <v>10</v>
      </c>
      <c r="M1" s="5">
        <v>7</v>
      </c>
      <c r="N1" s="5">
        <v>8</v>
      </c>
      <c r="O1" s="5">
        <v>9</v>
      </c>
      <c r="P1" s="5">
        <v>14</v>
      </c>
      <c r="Q1" s="5">
        <v>15</v>
      </c>
      <c r="W1" s="5" t="s">
        <v>823</v>
      </c>
      <c r="X1" s="6" t="s">
        <v>5797</v>
      </c>
      <c r="Y1" s="49" t="s">
        <v>5796</v>
      </c>
      <c r="Z1" s="5">
        <v>1</v>
      </c>
      <c r="AB1" s="5">
        <v>5</v>
      </c>
      <c r="AC1" s="5">
        <v>4</v>
      </c>
      <c r="AD1" s="5">
        <v>11</v>
      </c>
      <c r="AE1" s="5">
        <v>12</v>
      </c>
      <c r="AF1" s="5">
        <v>10</v>
      </c>
      <c r="AG1" s="5">
        <v>7</v>
      </c>
      <c r="AH1" s="5">
        <v>8</v>
      </c>
      <c r="AI1" s="5">
        <v>9</v>
      </c>
      <c r="AJ1" s="5">
        <v>14</v>
      </c>
      <c r="AK1" s="5">
        <v>15</v>
      </c>
    </row>
    <row r="2" spans="1:39" hidden="1" x14ac:dyDescent="0.25"/>
    <row r="3" spans="1:39" hidden="1" x14ac:dyDescent="0.25"/>
    <row r="4" spans="1:39" x14ac:dyDescent="0.25">
      <c r="A4" s="5" t="s">
        <v>1111</v>
      </c>
      <c r="B4" s="5" t="s">
        <v>818</v>
      </c>
      <c r="C4" s="5" t="s">
        <v>819</v>
      </c>
      <c r="D4" s="5" t="s">
        <v>821</v>
      </c>
      <c r="E4" s="5" t="s">
        <v>822</v>
      </c>
      <c r="F4" s="5" t="s">
        <v>824</v>
      </c>
      <c r="G4" s="5" t="s">
        <v>825</v>
      </c>
      <c r="H4" s="5" t="s">
        <v>4</v>
      </c>
      <c r="I4" s="5" t="s">
        <v>3</v>
      </c>
      <c r="J4" s="5" t="s">
        <v>10</v>
      </c>
      <c r="K4" s="5" t="s">
        <v>11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13</v>
      </c>
      <c r="Q4" s="5" t="s">
        <v>14</v>
      </c>
      <c r="R4" s="5" t="s">
        <v>826</v>
      </c>
      <c r="S4" s="5" t="s">
        <v>5795</v>
      </c>
      <c r="U4" s="5" t="s">
        <v>1111</v>
      </c>
      <c r="V4" s="5" t="s">
        <v>818</v>
      </c>
      <c r="W4" s="5" t="s">
        <v>819</v>
      </c>
      <c r="X4" s="5" t="s">
        <v>821</v>
      </c>
      <c r="Y4" s="49" t="s">
        <v>822</v>
      </c>
      <c r="Z4" s="5" t="s">
        <v>824</v>
      </c>
      <c r="AA4" s="5" t="s">
        <v>825</v>
      </c>
      <c r="AB4" s="5" t="s">
        <v>4</v>
      </c>
      <c r="AC4" s="5" t="s">
        <v>3</v>
      </c>
      <c r="AD4" s="5" t="s">
        <v>10</v>
      </c>
      <c r="AE4" s="5" t="s">
        <v>11</v>
      </c>
      <c r="AF4" s="5" t="s">
        <v>9</v>
      </c>
      <c r="AG4" s="5" t="s">
        <v>6</v>
      </c>
      <c r="AH4" s="5" t="s">
        <v>7</v>
      </c>
      <c r="AI4" s="5" t="s">
        <v>8</v>
      </c>
      <c r="AJ4" s="5" t="s">
        <v>13</v>
      </c>
      <c r="AK4" s="5" t="s">
        <v>14</v>
      </c>
      <c r="AL4" s="5" t="s">
        <v>826</v>
      </c>
      <c r="AM4" s="5" t="s">
        <v>5795</v>
      </c>
    </row>
    <row r="5" spans="1:39" x14ac:dyDescent="0.25">
      <c r="A5" s="5" t="str">
        <f>IF(E5=10000,"ETF",IF(E5&lt;&gt;2000,"小型",""))</f>
        <v>ETF</v>
      </c>
      <c r="B5" s="5" t="s">
        <v>515</v>
      </c>
      <c r="C5" s="5" t="s">
        <v>516</v>
      </c>
      <c r="D5" s="5" t="s">
        <v>880</v>
      </c>
      <c r="E5" s="5">
        <f>VLOOKUP($B5,股期名單!$K:$M,3,FALSE)</f>
        <v>10000</v>
      </c>
      <c r="F5" s="5" t="str">
        <f>$D5&amp;$E$1&amp;$F$1</f>
        <v>NYFB1</v>
      </c>
      <c r="G5" s="7" t="e">
        <f>IF(S5&lt;&gt;"",H5/S5,"")</f>
        <v>#VALUE!</v>
      </c>
      <c r="H5" s="5" t="str">
        <f>VLOOKUP($F5,DDE!$A:$AJ,H$1,FALSE)</f>
        <v xml:space="preserve"> </v>
      </c>
      <c r="I5" s="5">
        <f>VLOOKUP($F5,DDE!$A:$AJ,I$1,FALSE)</f>
        <v>20878632</v>
      </c>
      <c r="J5" s="5" t="str">
        <f>VLOOKUP($F5,DDE!$A:$AJ,J$1,FALSE)</f>
        <v xml:space="preserve"> -</v>
      </c>
      <c r="K5" s="5" t="str">
        <f>VLOOKUP($F5,DDE!$A:$AJ,K$1,FALSE)</f>
        <v xml:space="preserve"> -</v>
      </c>
      <c r="L5" s="5">
        <f>VLOOKUP($F5,DDE!$A:$AJ,L$1,FALSE)</f>
        <v>2088371110</v>
      </c>
      <c r="M5" s="5">
        <f>VLOOKUP($F5,DDE!$A:$AJ,M$1,FALSE)</f>
        <v>20803788</v>
      </c>
      <c r="N5" s="5">
        <f>VLOOKUP($F5,DDE!$A:$AJ,N$1,FALSE)</f>
        <v>20804690</v>
      </c>
      <c r="O5" s="5">
        <f>VLOOKUP($F5,DDE!$A:$AJ,O$1,FALSE)</f>
        <v>10989732</v>
      </c>
      <c r="P5" s="5" t="str">
        <f>VLOOKUP($F5,DDE!$A:$AJ,P$1,FALSE)</f>
        <v xml:space="preserve"> -</v>
      </c>
      <c r="Q5" s="5" t="str">
        <f>VLOOKUP($F5,DDE!$A:$AJ,Q$1,FALSE)</f>
        <v xml:space="preserve"> -</v>
      </c>
      <c r="R5" s="5" t="e">
        <f t="shared" ref="R5:R42" si="0">IF(L5&gt;0,I5-H5,"")</f>
        <v>#VALUE!</v>
      </c>
      <c r="S5" s="5">
        <f>VLOOKUP(D5,cmoney!$A:$M,12,FALSE)</f>
        <v>138.4</v>
      </c>
      <c r="U5" s="5" t="str">
        <f>A5</f>
        <v>ETF</v>
      </c>
      <c r="V5" s="5" t="str">
        <f>B5</f>
        <v>0050</v>
      </c>
      <c r="W5" s="5" t="str">
        <f>C5</f>
        <v>元大台灣50ETF</v>
      </c>
      <c r="X5" s="5" t="str">
        <f>D5</f>
        <v>NYF</v>
      </c>
      <c r="Y5" s="49">
        <f>VLOOKUP($X5,股期名單!$L:$M,2,FALSE)</f>
        <v>10000</v>
      </c>
      <c r="Z5" s="5" t="str">
        <f>$X5&amp;$Y$1&amp;$Z$1</f>
        <v>NYFC1</v>
      </c>
      <c r="AA5" s="7" t="e">
        <f>IF(AM5&lt;&gt;"",AB5/AM5,"")</f>
        <v>#VALUE!</v>
      </c>
      <c r="AB5" s="5" t="str">
        <f>VLOOKUP($F5,DDE!$A:$AJ,AB$1,FALSE)</f>
        <v xml:space="preserve"> </v>
      </c>
      <c r="AC5" s="5">
        <f>VLOOKUP($F5,DDE!$A:$AJ,AC$1,FALSE)</f>
        <v>20878632</v>
      </c>
      <c r="AD5" s="5" t="str">
        <f>VLOOKUP($F5,DDE!$A:$AJ,AD$1,FALSE)</f>
        <v xml:space="preserve"> -</v>
      </c>
      <c r="AE5" s="5" t="str">
        <f>VLOOKUP($F5,DDE!$A:$AJ,AE$1,FALSE)</f>
        <v xml:space="preserve"> -</v>
      </c>
      <c r="AF5" s="5">
        <f>VLOOKUP($F5,DDE!$A:$AJ,AF$1,FALSE)</f>
        <v>2088371110</v>
      </c>
      <c r="AG5" s="5">
        <f>VLOOKUP($F5,DDE!$A:$AJ,AG$1,FALSE)</f>
        <v>20803788</v>
      </c>
      <c r="AH5" s="5">
        <f>VLOOKUP($F5,DDE!$A:$AJ,AH$1,FALSE)</f>
        <v>20804690</v>
      </c>
      <c r="AI5" s="5">
        <f>VLOOKUP($F5,DDE!$A:$AJ,AI$1,FALSE)</f>
        <v>10989732</v>
      </c>
      <c r="AJ5" s="5" t="str">
        <f>VLOOKUP($F5,DDE!$A:$AJ,AJ$1,FALSE)</f>
        <v xml:space="preserve"> -</v>
      </c>
      <c r="AK5" s="5" t="str">
        <f>VLOOKUP($F5,DDE!$A:$AJ,AK$1,FALSE)</f>
        <v xml:space="preserve"> -</v>
      </c>
      <c r="AL5" s="5" t="e">
        <f t="shared" ref="AL5" si="1">IF(AF5&gt;0,AC5-AB5,"")</f>
        <v>#VALUE!</v>
      </c>
      <c r="AM5" s="5">
        <f>VLOOKUP(X5,cmoney!$A:$M,12,FALSE)</f>
        <v>138.4</v>
      </c>
    </row>
    <row r="6" spans="1:39" x14ac:dyDescent="0.25">
      <c r="A6" s="5" t="str">
        <f t="shared" ref="A6:A13" si="2">IF(E6=10000,"ETF",IF(E6&lt;&gt;2000,"小型",""))</f>
        <v>ETF</v>
      </c>
      <c r="B6" s="5" t="s">
        <v>602</v>
      </c>
      <c r="C6" s="5" t="s">
        <v>603</v>
      </c>
      <c r="D6" s="5" t="s">
        <v>881</v>
      </c>
      <c r="E6" s="5">
        <f>VLOOKUP($B6,股期名單!$K:$M,3,FALSE)</f>
        <v>10000</v>
      </c>
      <c r="F6" s="5" t="str">
        <f t="shared" ref="F6:F75" si="3">$D6&amp;$E$1&amp;$F$1</f>
        <v>PFFB1</v>
      </c>
      <c r="G6" s="7" t="e">
        <f t="shared" ref="G6:G13" si="4">IF(S6&lt;&gt;"",H6/S6,"")</f>
        <v>#VALUE!</v>
      </c>
      <c r="H6" s="5" t="str">
        <f>VLOOKUP($F6,DDE!$A:$AJ,H$1,FALSE)</f>
        <v xml:space="preserve"> </v>
      </c>
      <c r="I6" s="5">
        <f>VLOOKUP($F6,DDE!$A:$AJ,I$1,FALSE)</f>
        <v>20878632</v>
      </c>
      <c r="J6" s="5" t="str">
        <f>VLOOKUP($F6,DDE!$A:$AJ,J$1,FALSE)</f>
        <v xml:space="preserve"> -</v>
      </c>
      <c r="K6" s="5" t="str">
        <f>VLOOKUP($F6,DDE!$A:$AJ,K$1,FALSE)</f>
        <v xml:space="preserve"> -</v>
      </c>
      <c r="L6" s="5">
        <f>VLOOKUP($F6,DDE!$A:$AJ,L$1,FALSE)</f>
        <v>2088371110</v>
      </c>
      <c r="M6" s="5">
        <f>VLOOKUP($F6,DDE!$A:$AJ,M$1,FALSE)</f>
        <v>20803788</v>
      </c>
      <c r="N6" s="5">
        <f>VLOOKUP($F6,DDE!$A:$AJ,N$1,FALSE)</f>
        <v>20804690</v>
      </c>
      <c r="O6" s="5">
        <f>VLOOKUP($F6,DDE!$A:$AJ,O$1,FALSE)</f>
        <v>10989732</v>
      </c>
      <c r="P6" s="5" t="str">
        <f>VLOOKUP($F6,DDE!$A:$AJ,P$1,FALSE)</f>
        <v xml:space="preserve"> -</v>
      </c>
      <c r="Q6" s="5" t="str">
        <f>VLOOKUP($F6,DDE!$A:$AJ,Q$1,FALSE)</f>
        <v xml:space="preserve"> -</v>
      </c>
      <c r="R6" s="5" t="e">
        <f t="shared" si="0"/>
        <v>#VALUE!</v>
      </c>
      <c r="S6" s="5">
        <f>VLOOKUP(D6,cmoney!$A:$M,12,FALSE)</f>
        <v>31.79</v>
      </c>
      <c r="U6" s="5" t="str">
        <f t="shared" ref="U6:U13" si="5">A6</f>
        <v>ETF</v>
      </c>
      <c r="V6" s="5" t="str">
        <f t="shared" ref="V6:V13" si="6">B6</f>
        <v>0056</v>
      </c>
      <c r="W6" s="5" t="str">
        <f t="shared" ref="W6:W13" si="7">C6</f>
        <v>元大高股息ETF</v>
      </c>
      <c r="X6" s="5" t="str">
        <f t="shared" ref="X6:X13" si="8">D6</f>
        <v>PFF</v>
      </c>
      <c r="Y6" s="49">
        <f>VLOOKUP($X6,股期名單!$L:$M,2,FALSE)</f>
        <v>10000</v>
      </c>
      <c r="Z6" s="5" t="str">
        <f t="shared" ref="Z6:Z13" si="9">$X6&amp;$Y$1&amp;$Z$1</f>
        <v>PFFC1</v>
      </c>
      <c r="AA6" s="7" t="e">
        <f t="shared" ref="AA6:AA13" si="10">IF(AM6&lt;&gt;"",AB6/AM6,"")</f>
        <v>#VALUE!</v>
      </c>
      <c r="AB6" s="5" t="str">
        <f>VLOOKUP($F6,DDE!$A:$AJ,AB$1,FALSE)</f>
        <v xml:space="preserve"> </v>
      </c>
      <c r="AC6" s="5">
        <f>VLOOKUP($F6,DDE!$A:$AJ,AC$1,FALSE)</f>
        <v>20878632</v>
      </c>
      <c r="AD6" s="5" t="str">
        <f>VLOOKUP($F6,DDE!$A:$AJ,AD$1,FALSE)</f>
        <v xml:space="preserve"> -</v>
      </c>
      <c r="AE6" s="5" t="str">
        <f>VLOOKUP($F6,DDE!$A:$AJ,AE$1,FALSE)</f>
        <v xml:space="preserve"> -</v>
      </c>
      <c r="AF6" s="5">
        <f>VLOOKUP($F6,DDE!$A:$AJ,AF$1,FALSE)</f>
        <v>2088371110</v>
      </c>
      <c r="AG6" s="5">
        <f>VLOOKUP($F6,DDE!$A:$AJ,AG$1,FALSE)</f>
        <v>20803788</v>
      </c>
      <c r="AH6" s="5">
        <f>VLOOKUP($F6,DDE!$A:$AJ,AH$1,FALSE)</f>
        <v>20804690</v>
      </c>
      <c r="AI6" s="5">
        <f>VLOOKUP($F6,DDE!$A:$AJ,AI$1,FALSE)</f>
        <v>10989732</v>
      </c>
      <c r="AJ6" s="5" t="str">
        <f>VLOOKUP($F6,DDE!$A:$AJ,AJ$1,FALSE)</f>
        <v xml:space="preserve"> -</v>
      </c>
      <c r="AK6" s="5" t="str">
        <f>VLOOKUP($F6,DDE!$A:$AJ,AK$1,FALSE)</f>
        <v xml:space="preserve"> -</v>
      </c>
      <c r="AL6" s="5" t="e">
        <f t="shared" ref="AL6:AL13" si="11">IF(AF6&gt;0,AC6-AB6,"")</f>
        <v>#VALUE!</v>
      </c>
      <c r="AM6" s="5">
        <f>VLOOKUP(X6,cmoney!$A:$M,12,FALSE)</f>
        <v>31.79</v>
      </c>
    </row>
    <row r="7" spans="1:39" x14ac:dyDescent="0.25">
      <c r="A7" s="5" t="str">
        <f t="shared" si="2"/>
        <v>ETF</v>
      </c>
      <c r="B7" s="5" t="s">
        <v>519</v>
      </c>
      <c r="C7" s="5" t="s">
        <v>520</v>
      </c>
      <c r="D7" s="5" t="s">
        <v>882</v>
      </c>
      <c r="E7" s="5">
        <f>VLOOKUP($B7,股期名單!$K:$M,3,FALSE)</f>
        <v>10000</v>
      </c>
      <c r="F7" s="5" t="str">
        <f t="shared" si="3"/>
        <v>NZFB1</v>
      </c>
      <c r="G7" s="7">
        <f t="shared" si="4"/>
        <v>-0.73052959501557635</v>
      </c>
      <c r="H7" s="5">
        <f>VLOOKUP($F7,DDE!$A:$AJ,H$1,FALSE)</f>
        <v>-18.760000000000002</v>
      </c>
      <c r="I7" s="5">
        <f>VLOOKUP($F7,DDE!$A:$AJ,I$1,FALSE)</f>
        <v>16424.64</v>
      </c>
      <c r="J7" s="5" t="str">
        <f>VLOOKUP($F7,DDE!$A:$AJ,J$1,FALSE)</f>
        <v xml:space="preserve"> -</v>
      </c>
      <c r="K7" s="5" t="str">
        <f>VLOOKUP($F7,DDE!$A:$AJ,K$1,FALSE)</f>
        <v xml:space="preserve"> -</v>
      </c>
      <c r="L7" s="5">
        <f>VLOOKUP($F7,DDE!$A:$AJ,L$1,FALSE)</f>
        <v>4020107</v>
      </c>
      <c r="M7" s="5">
        <f>VLOOKUP($F7,DDE!$A:$AJ,M$1,FALSE)</f>
        <v>16329.54</v>
      </c>
      <c r="N7" s="5">
        <f>VLOOKUP($F7,DDE!$A:$AJ,N$1,FALSE)</f>
        <v>16456.939999999999</v>
      </c>
      <c r="O7" s="5">
        <f>VLOOKUP($F7,DDE!$A:$AJ,O$1,FALSE)</f>
        <v>16329.54</v>
      </c>
      <c r="P7" s="5" t="str">
        <f>VLOOKUP($F7,DDE!$A:$AJ,P$1,FALSE)</f>
        <v xml:space="preserve"> -</v>
      </c>
      <c r="Q7" s="5" t="str">
        <f>VLOOKUP($F7,DDE!$A:$AJ,Q$1,FALSE)</f>
        <v xml:space="preserve"> -</v>
      </c>
      <c r="R7" s="5">
        <f t="shared" si="0"/>
        <v>16443.399999999998</v>
      </c>
      <c r="S7" s="5">
        <f>VLOOKUP(D7,cmoney!$A:$M,12,FALSE)</f>
        <v>25.68</v>
      </c>
      <c r="U7" s="5" t="str">
        <f t="shared" si="5"/>
        <v>ETF</v>
      </c>
      <c r="V7" s="5" t="str">
        <f t="shared" si="6"/>
        <v>0061</v>
      </c>
      <c r="W7" s="5" t="str">
        <f t="shared" si="7"/>
        <v>元大寶滬深ETF</v>
      </c>
      <c r="X7" s="5" t="str">
        <f t="shared" si="8"/>
        <v>NZF</v>
      </c>
      <c r="Y7" s="49">
        <f>VLOOKUP($X7,股期名單!$L:$M,2,FALSE)</f>
        <v>10000</v>
      </c>
      <c r="Z7" s="5" t="str">
        <f t="shared" si="9"/>
        <v>NZFC1</v>
      </c>
      <c r="AA7" s="7">
        <f t="shared" si="10"/>
        <v>-0.73052959501557635</v>
      </c>
      <c r="AB7" s="5">
        <f>VLOOKUP($F7,DDE!$A:$AJ,AB$1,FALSE)</f>
        <v>-18.760000000000002</v>
      </c>
      <c r="AC7" s="5">
        <f>VLOOKUP($F7,DDE!$A:$AJ,AC$1,FALSE)</f>
        <v>16424.64</v>
      </c>
      <c r="AD7" s="5" t="str">
        <f>VLOOKUP($F7,DDE!$A:$AJ,AD$1,FALSE)</f>
        <v xml:space="preserve"> -</v>
      </c>
      <c r="AE7" s="5" t="str">
        <f>VLOOKUP($F7,DDE!$A:$AJ,AE$1,FALSE)</f>
        <v xml:space="preserve"> -</v>
      </c>
      <c r="AF7" s="5">
        <f>VLOOKUP($F7,DDE!$A:$AJ,AF$1,FALSE)</f>
        <v>4020107</v>
      </c>
      <c r="AG7" s="5">
        <f>VLOOKUP($F7,DDE!$A:$AJ,AG$1,FALSE)</f>
        <v>16329.54</v>
      </c>
      <c r="AH7" s="5">
        <f>VLOOKUP($F7,DDE!$A:$AJ,AH$1,FALSE)</f>
        <v>16456.939999999999</v>
      </c>
      <c r="AI7" s="5">
        <f>VLOOKUP($F7,DDE!$A:$AJ,AI$1,FALSE)</f>
        <v>16329.54</v>
      </c>
      <c r="AJ7" s="5" t="str">
        <f>VLOOKUP($F7,DDE!$A:$AJ,AJ$1,FALSE)</f>
        <v xml:space="preserve"> -</v>
      </c>
      <c r="AK7" s="5" t="str">
        <f>VLOOKUP($F7,DDE!$A:$AJ,AK$1,FALSE)</f>
        <v xml:space="preserve"> -</v>
      </c>
      <c r="AL7" s="5">
        <f t="shared" si="11"/>
        <v>16443.399999999998</v>
      </c>
      <c r="AM7" s="5">
        <f>VLOOKUP(X7,cmoney!$A:$M,12,FALSE)</f>
        <v>25.68</v>
      </c>
    </row>
    <row r="8" spans="1:39" s="8" customFormat="1" x14ac:dyDescent="0.25">
      <c r="A8" s="5" t="str">
        <f t="shared" si="2"/>
        <v>ETF</v>
      </c>
      <c r="B8" s="8" t="s">
        <v>523</v>
      </c>
      <c r="C8" s="8" t="s">
        <v>524</v>
      </c>
      <c r="D8" s="8" t="s">
        <v>883</v>
      </c>
      <c r="E8" s="8">
        <f>VLOOKUP($B8,股期名單!$K:$M,3,FALSE)</f>
        <v>10000</v>
      </c>
      <c r="F8" s="5" t="str">
        <f t="shared" si="3"/>
        <v>OAFB1</v>
      </c>
      <c r="G8" s="7">
        <f t="shared" si="4"/>
        <v>-0.5277441240610613</v>
      </c>
      <c r="H8" s="8">
        <f>VLOOKUP($F8,DDE!$A:$AJ,H$1,FALSE)</f>
        <v>-21.78</v>
      </c>
      <c r="I8" s="8">
        <f>VLOOKUP($F8,DDE!$A:$AJ,I$1,FALSE)</f>
        <v>16421.62</v>
      </c>
      <c r="J8" s="8" t="str">
        <f>VLOOKUP($F8,DDE!$A:$AJ,J$1,FALSE)</f>
        <v xml:space="preserve"> -</v>
      </c>
      <c r="K8" s="8" t="str">
        <f>VLOOKUP($F8,DDE!$A:$AJ,K$1,FALSE)</f>
        <v xml:space="preserve"> -</v>
      </c>
      <c r="L8" s="8">
        <f>VLOOKUP($F8,DDE!$A:$AJ,L$1,FALSE)</f>
        <v>4027056</v>
      </c>
      <c r="M8" s="8">
        <f>VLOOKUP($F8,DDE!$A:$AJ,M$1,FALSE)</f>
        <v>16329.54</v>
      </c>
      <c r="N8" s="8">
        <f>VLOOKUP($F8,DDE!$A:$AJ,N$1,FALSE)</f>
        <v>16456.939999999999</v>
      </c>
      <c r="O8" s="8">
        <f>VLOOKUP($F8,DDE!$A:$AJ,O$1,FALSE)</f>
        <v>16329.54</v>
      </c>
      <c r="P8" s="8" t="str">
        <f>VLOOKUP($F8,DDE!$A:$AJ,P$1,FALSE)</f>
        <v xml:space="preserve"> -</v>
      </c>
      <c r="Q8" s="8" t="str">
        <f>VLOOKUP($F8,DDE!$A:$AJ,Q$1,FALSE)</f>
        <v xml:space="preserve"> -</v>
      </c>
      <c r="R8" s="8">
        <f t="shared" si="0"/>
        <v>16443.399999999998</v>
      </c>
      <c r="S8" s="5">
        <f>VLOOKUP(D8,cmoney!$A:$M,12,FALSE)</f>
        <v>41.27</v>
      </c>
      <c r="U8" s="5" t="str">
        <f t="shared" si="5"/>
        <v>ETF</v>
      </c>
      <c r="V8" s="5" t="str">
        <f t="shared" si="6"/>
        <v>006205</v>
      </c>
      <c r="W8" s="5" t="str">
        <f t="shared" si="7"/>
        <v>富邦上証ETF</v>
      </c>
      <c r="X8" s="5" t="str">
        <f t="shared" si="8"/>
        <v>OAF</v>
      </c>
      <c r="Y8" s="49">
        <f>VLOOKUP($X8,股期名單!$L:$M,2,FALSE)</f>
        <v>10000</v>
      </c>
      <c r="Z8" s="5" t="str">
        <f t="shared" si="9"/>
        <v>OAFC1</v>
      </c>
      <c r="AA8" s="7">
        <f t="shared" si="10"/>
        <v>-0.5277441240610613</v>
      </c>
      <c r="AB8" s="5">
        <f>VLOOKUP($F8,DDE!$A:$AJ,AB$1,FALSE)</f>
        <v>-21.78</v>
      </c>
      <c r="AC8" s="5">
        <f>VLOOKUP($F8,DDE!$A:$AJ,AC$1,FALSE)</f>
        <v>16421.62</v>
      </c>
      <c r="AD8" s="5" t="str">
        <f>VLOOKUP($F8,DDE!$A:$AJ,AD$1,FALSE)</f>
        <v xml:space="preserve"> -</v>
      </c>
      <c r="AE8" s="5" t="str">
        <f>VLOOKUP($F8,DDE!$A:$AJ,AE$1,FALSE)</f>
        <v xml:space="preserve"> -</v>
      </c>
      <c r="AF8" s="5">
        <f>VLOOKUP($F8,DDE!$A:$AJ,AF$1,FALSE)</f>
        <v>4027056</v>
      </c>
      <c r="AG8" s="5">
        <f>VLOOKUP($F8,DDE!$A:$AJ,AG$1,FALSE)</f>
        <v>16329.54</v>
      </c>
      <c r="AH8" s="5">
        <f>VLOOKUP($F8,DDE!$A:$AJ,AH$1,FALSE)</f>
        <v>16456.939999999999</v>
      </c>
      <c r="AI8" s="5">
        <f>VLOOKUP($F8,DDE!$A:$AJ,AI$1,FALSE)</f>
        <v>16329.54</v>
      </c>
      <c r="AJ8" s="5" t="str">
        <f>VLOOKUP($F8,DDE!$A:$AJ,AJ$1,FALSE)</f>
        <v xml:space="preserve"> -</v>
      </c>
      <c r="AK8" s="5" t="str">
        <f>VLOOKUP($F8,DDE!$A:$AJ,AK$1,FALSE)</f>
        <v xml:space="preserve"> -</v>
      </c>
      <c r="AL8" s="5">
        <f t="shared" si="11"/>
        <v>16443.399999999998</v>
      </c>
      <c r="AM8" s="5">
        <f>VLOOKUP(X8,cmoney!$A:$M,12,FALSE)</f>
        <v>41.27</v>
      </c>
    </row>
    <row r="9" spans="1:39" x14ac:dyDescent="0.25">
      <c r="A9" s="5" t="str">
        <f t="shared" si="2"/>
        <v>ETF</v>
      </c>
      <c r="B9" s="5" t="s">
        <v>527</v>
      </c>
      <c r="C9" s="5" t="s">
        <v>528</v>
      </c>
      <c r="D9" s="5" t="s">
        <v>884</v>
      </c>
      <c r="E9" s="5">
        <f>VLOOKUP($B9,股期名單!$K:$M,3,FALSE)</f>
        <v>10000</v>
      </c>
      <c r="F9" s="5" t="str">
        <f t="shared" si="3"/>
        <v>OBFB1</v>
      </c>
      <c r="G9" s="7" t="e">
        <f t="shared" si="4"/>
        <v>#VALUE!</v>
      </c>
      <c r="H9" s="5" t="str">
        <f>VLOOKUP($F9,DDE!$A:$AJ,H$1,FALSE)</f>
        <v xml:space="preserve"> </v>
      </c>
      <c r="I9" s="5">
        <f>VLOOKUP($F9,DDE!$A:$AJ,I$1,FALSE)</f>
        <v>20878632</v>
      </c>
      <c r="J9" s="5" t="str">
        <f>VLOOKUP($F9,DDE!$A:$AJ,J$1,FALSE)</f>
        <v xml:space="preserve"> -</v>
      </c>
      <c r="K9" s="5" t="str">
        <f>VLOOKUP($F9,DDE!$A:$AJ,K$1,FALSE)</f>
        <v xml:space="preserve"> -</v>
      </c>
      <c r="L9" s="5">
        <f>VLOOKUP($F9,DDE!$A:$AJ,L$1,FALSE)</f>
        <v>2088371110</v>
      </c>
      <c r="M9" s="5">
        <f>VLOOKUP($F9,DDE!$A:$AJ,M$1,FALSE)</f>
        <v>20803788</v>
      </c>
      <c r="N9" s="5">
        <f>VLOOKUP($F9,DDE!$A:$AJ,N$1,FALSE)</f>
        <v>20804690</v>
      </c>
      <c r="O9" s="5">
        <f>VLOOKUP($F9,DDE!$A:$AJ,O$1,FALSE)</f>
        <v>10989732</v>
      </c>
      <c r="P9" s="5" t="str">
        <f>VLOOKUP($F9,DDE!$A:$AJ,P$1,FALSE)</f>
        <v xml:space="preserve"> -</v>
      </c>
      <c r="Q9" s="5" t="str">
        <f>VLOOKUP($F9,DDE!$A:$AJ,Q$1,FALSE)</f>
        <v xml:space="preserve"> -</v>
      </c>
      <c r="R9" s="5" t="e">
        <f t="shared" si="0"/>
        <v>#VALUE!</v>
      </c>
      <c r="S9" s="5">
        <f>VLOOKUP(D9,cmoney!$A:$M,12,FALSE)</f>
        <v>42.1</v>
      </c>
      <c r="U9" s="5" t="str">
        <f t="shared" si="5"/>
        <v>ETF</v>
      </c>
      <c r="V9" s="5" t="str">
        <f t="shared" si="6"/>
        <v>006206</v>
      </c>
      <c r="W9" s="5" t="str">
        <f t="shared" si="7"/>
        <v>元大上證50ETF</v>
      </c>
      <c r="X9" s="5" t="str">
        <f t="shared" si="8"/>
        <v>OBF</v>
      </c>
      <c r="Y9" s="49">
        <f>VLOOKUP($X9,股期名單!$L:$M,2,FALSE)</f>
        <v>10000</v>
      </c>
      <c r="Z9" s="5" t="str">
        <f t="shared" si="9"/>
        <v>OBFC1</v>
      </c>
      <c r="AA9" s="7" t="e">
        <f t="shared" si="10"/>
        <v>#VALUE!</v>
      </c>
      <c r="AB9" s="5" t="str">
        <f>VLOOKUP($F9,DDE!$A:$AJ,AB$1,FALSE)</f>
        <v xml:space="preserve"> </v>
      </c>
      <c r="AC9" s="5">
        <f>VLOOKUP($F9,DDE!$A:$AJ,AC$1,FALSE)</f>
        <v>20878632</v>
      </c>
      <c r="AD9" s="5" t="str">
        <f>VLOOKUP($F9,DDE!$A:$AJ,AD$1,FALSE)</f>
        <v xml:space="preserve"> -</v>
      </c>
      <c r="AE9" s="5" t="str">
        <f>VLOOKUP($F9,DDE!$A:$AJ,AE$1,FALSE)</f>
        <v xml:space="preserve"> -</v>
      </c>
      <c r="AF9" s="5">
        <f>VLOOKUP($F9,DDE!$A:$AJ,AF$1,FALSE)</f>
        <v>2088371110</v>
      </c>
      <c r="AG9" s="5">
        <f>VLOOKUP($F9,DDE!$A:$AJ,AG$1,FALSE)</f>
        <v>20803788</v>
      </c>
      <c r="AH9" s="5">
        <f>VLOOKUP($F9,DDE!$A:$AJ,AH$1,FALSE)</f>
        <v>20804690</v>
      </c>
      <c r="AI9" s="5">
        <f>VLOOKUP($F9,DDE!$A:$AJ,AI$1,FALSE)</f>
        <v>10989732</v>
      </c>
      <c r="AJ9" s="5" t="str">
        <f>VLOOKUP($F9,DDE!$A:$AJ,AJ$1,FALSE)</f>
        <v xml:space="preserve"> -</v>
      </c>
      <c r="AK9" s="5" t="str">
        <f>VLOOKUP($F9,DDE!$A:$AJ,AK$1,FALSE)</f>
        <v xml:space="preserve"> -</v>
      </c>
      <c r="AL9" s="5" t="e">
        <f t="shared" si="11"/>
        <v>#VALUE!</v>
      </c>
      <c r="AM9" s="5">
        <f>VLOOKUP(X9,cmoney!$A:$M,12,FALSE)</f>
        <v>42.1</v>
      </c>
    </row>
    <row r="10" spans="1:39" x14ac:dyDescent="0.25">
      <c r="A10" s="5" t="str">
        <f t="shared" si="2"/>
        <v>ETF</v>
      </c>
      <c r="B10" s="5" t="s">
        <v>531</v>
      </c>
      <c r="C10" s="5" t="s">
        <v>532</v>
      </c>
      <c r="D10" s="5" t="s">
        <v>885</v>
      </c>
      <c r="E10" s="5">
        <f>VLOOKUP($B10,股期名單!$K:$M,3,FALSE)</f>
        <v>10000</v>
      </c>
      <c r="F10" s="5" t="str">
        <f t="shared" si="3"/>
        <v>OCFB1</v>
      </c>
      <c r="G10" s="7">
        <f t="shared" si="4"/>
        <v>-0.62657847263980759</v>
      </c>
      <c r="H10" s="5">
        <f>VLOOKUP($F10,DDE!$A:$AJ,H$1,FALSE)</f>
        <v>-20.84</v>
      </c>
      <c r="I10" s="5">
        <f>VLOOKUP($F10,DDE!$A:$AJ,I$1,FALSE)</f>
        <v>16422.560000000001</v>
      </c>
      <c r="J10" s="5" t="str">
        <f>VLOOKUP($F10,DDE!$A:$AJ,J$1,FALSE)</f>
        <v xml:space="preserve"> -</v>
      </c>
      <c r="K10" s="5" t="str">
        <f>VLOOKUP($F10,DDE!$A:$AJ,K$1,FALSE)</f>
        <v xml:space="preserve"> -</v>
      </c>
      <c r="L10" s="5">
        <f>VLOOKUP($F10,DDE!$A:$AJ,L$1,FALSE)</f>
        <v>4024617</v>
      </c>
      <c r="M10" s="5">
        <f>VLOOKUP($F10,DDE!$A:$AJ,M$1,FALSE)</f>
        <v>16329.54</v>
      </c>
      <c r="N10" s="5">
        <f>VLOOKUP($F10,DDE!$A:$AJ,N$1,FALSE)</f>
        <v>16456.939999999999</v>
      </c>
      <c r="O10" s="5">
        <f>VLOOKUP($F10,DDE!$A:$AJ,O$1,FALSE)</f>
        <v>16329.54</v>
      </c>
      <c r="P10" s="5" t="str">
        <f>VLOOKUP($F10,DDE!$A:$AJ,P$1,FALSE)</f>
        <v xml:space="preserve"> -</v>
      </c>
      <c r="Q10" s="5" t="str">
        <f>VLOOKUP($F10,DDE!$A:$AJ,Q$1,FALSE)</f>
        <v xml:space="preserve"> -</v>
      </c>
      <c r="R10" s="5">
        <f t="shared" si="0"/>
        <v>16443.400000000001</v>
      </c>
      <c r="S10" s="5">
        <f>VLOOKUP(D10,cmoney!$A:$M,12,FALSE)</f>
        <v>33.26</v>
      </c>
      <c r="U10" s="5" t="str">
        <f t="shared" si="5"/>
        <v>ETF</v>
      </c>
      <c r="V10" s="5" t="str">
        <f t="shared" si="6"/>
        <v>006207</v>
      </c>
      <c r="W10" s="5" t="str">
        <f t="shared" si="7"/>
        <v>FH滬深ETF</v>
      </c>
      <c r="X10" s="5" t="str">
        <f t="shared" si="8"/>
        <v>OCF</v>
      </c>
      <c r="Y10" s="49">
        <f>VLOOKUP($X10,股期名單!$L:$M,2,FALSE)</f>
        <v>10000</v>
      </c>
      <c r="Z10" s="5" t="str">
        <f t="shared" si="9"/>
        <v>OCFC1</v>
      </c>
      <c r="AA10" s="7">
        <f t="shared" si="10"/>
        <v>-0.62657847263980759</v>
      </c>
      <c r="AB10" s="5">
        <f>VLOOKUP($F10,DDE!$A:$AJ,AB$1,FALSE)</f>
        <v>-20.84</v>
      </c>
      <c r="AC10" s="5">
        <f>VLOOKUP($F10,DDE!$A:$AJ,AC$1,FALSE)</f>
        <v>16422.560000000001</v>
      </c>
      <c r="AD10" s="5" t="str">
        <f>VLOOKUP($F10,DDE!$A:$AJ,AD$1,FALSE)</f>
        <v xml:space="preserve"> -</v>
      </c>
      <c r="AE10" s="5" t="str">
        <f>VLOOKUP($F10,DDE!$A:$AJ,AE$1,FALSE)</f>
        <v xml:space="preserve"> -</v>
      </c>
      <c r="AF10" s="5">
        <f>VLOOKUP($F10,DDE!$A:$AJ,AF$1,FALSE)</f>
        <v>4024617</v>
      </c>
      <c r="AG10" s="5">
        <f>VLOOKUP($F10,DDE!$A:$AJ,AG$1,FALSE)</f>
        <v>16329.54</v>
      </c>
      <c r="AH10" s="5">
        <f>VLOOKUP($F10,DDE!$A:$AJ,AH$1,FALSE)</f>
        <v>16456.939999999999</v>
      </c>
      <c r="AI10" s="5">
        <f>VLOOKUP($F10,DDE!$A:$AJ,AI$1,FALSE)</f>
        <v>16329.54</v>
      </c>
      <c r="AJ10" s="5" t="str">
        <f>VLOOKUP($F10,DDE!$A:$AJ,AJ$1,FALSE)</f>
        <v xml:space="preserve"> -</v>
      </c>
      <c r="AK10" s="5" t="str">
        <f>VLOOKUP($F10,DDE!$A:$AJ,AK$1,FALSE)</f>
        <v xml:space="preserve"> -</v>
      </c>
      <c r="AL10" s="5">
        <f t="shared" si="11"/>
        <v>16443.400000000001</v>
      </c>
      <c r="AM10" s="5">
        <f>VLOOKUP(X10,cmoney!$A:$M,12,FALSE)</f>
        <v>33.26</v>
      </c>
    </row>
    <row r="11" spans="1:39" x14ac:dyDescent="0.25">
      <c r="A11" s="5" t="str">
        <f t="shared" si="2"/>
        <v>ETF</v>
      </c>
      <c r="B11" s="5" t="s">
        <v>544</v>
      </c>
      <c r="C11" s="5" t="s">
        <v>545</v>
      </c>
      <c r="D11" s="5" t="s">
        <v>886</v>
      </c>
      <c r="E11" s="5">
        <f>VLOOKUP($B11,股期名單!$K:$M,3,FALSE)</f>
        <v>10000</v>
      </c>
      <c r="F11" s="5" t="str">
        <f t="shared" si="3"/>
        <v>OJFB1</v>
      </c>
      <c r="G11" s="7">
        <f t="shared" si="4"/>
        <v>-0.62575050033355573</v>
      </c>
      <c r="H11" s="5">
        <f>VLOOKUP($F11,DDE!$A:$AJ,H$1,FALSE)</f>
        <v>-18.760000000000002</v>
      </c>
      <c r="I11" s="5">
        <f>VLOOKUP($F11,DDE!$A:$AJ,I$1,FALSE)</f>
        <v>16424.64</v>
      </c>
      <c r="J11" s="5" t="str">
        <f>VLOOKUP($F11,DDE!$A:$AJ,J$1,FALSE)</f>
        <v xml:space="preserve"> -</v>
      </c>
      <c r="K11" s="5" t="str">
        <f>VLOOKUP($F11,DDE!$A:$AJ,K$1,FALSE)</f>
        <v xml:space="preserve"> -</v>
      </c>
      <c r="L11" s="5">
        <f>VLOOKUP($F11,DDE!$A:$AJ,L$1,FALSE)</f>
        <v>4020107</v>
      </c>
      <c r="M11" s="5">
        <f>VLOOKUP($F11,DDE!$A:$AJ,M$1,FALSE)</f>
        <v>16329.54</v>
      </c>
      <c r="N11" s="5">
        <f>VLOOKUP($F11,DDE!$A:$AJ,N$1,FALSE)</f>
        <v>16456.939999999999</v>
      </c>
      <c r="O11" s="5">
        <f>VLOOKUP($F11,DDE!$A:$AJ,O$1,FALSE)</f>
        <v>16329.54</v>
      </c>
      <c r="P11" s="5" t="str">
        <f>VLOOKUP($F11,DDE!$A:$AJ,P$1,FALSE)</f>
        <v xml:space="preserve"> -</v>
      </c>
      <c r="Q11" s="5" t="str">
        <f>VLOOKUP($F11,DDE!$A:$AJ,Q$1,FALSE)</f>
        <v xml:space="preserve"> -</v>
      </c>
      <c r="R11" s="5">
        <f t="shared" ref="R11:R13" si="12">IF(L11&gt;0,I11-H11,"")</f>
        <v>16443.399999999998</v>
      </c>
      <c r="S11" s="5">
        <f>VLOOKUP(D11,cmoney!$A:$M,12,FALSE)</f>
        <v>29.98</v>
      </c>
      <c r="U11" s="5" t="str">
        <f t="shared" si="5"/>
        <v>ETF</v>
      </c>
      <c r="V11" s="5" t="str">
        <f t="shared" si="6"/>
        <v>00636</v>
      </c>
      <c r="W11" s="5" t="str">
        <f t="shared" si="7"/>
        <v>國泰中國A50ETF</v>
      </c>
      <c r="X11" s="5" t="str">
        <f t="shared" si="8"/>
        <v>OJF</v>
      </c>
      <c r="Y11" s="49">
        <f>VLOOKUP($X11,股期名單!$L:$M,2,FALSE)</f>
        <v>10000</v>
      </c>
      <c r="Z11" s="5" t="str">
        <f t="shared" si="9"/>
        <v>OJFC1</v>
      </c>
      <c r="AA11" s="7">
        <f t="shared" si="10"/>
        <v>-0.62575050033355573</v>
      </c>
      <c r="AB11" s="5">
        <f>VLOOKUP($F11,DDE!$A:$AJ,AB$1,FALSE)</f>
        <v>-18.760000000000002</v>
      </c>
      <c r="AC11" s="5">
        <f>VLOOKUP($F11,DDE!$A:$AJ,AC$1,FALSE)</f>
        <v>16424.64</v>
      </c>
      <c r="AD11" s="5" t="str">
        <f>VLOOKUP($F11,DDE!$A:$AJ,AD$1,FALSE)</f>
        <v xml:space="preserve"> -</v>
      </c>
      <c r="AE11" s="5" t="str">
        <f>VLOOKUP($F11,DDE!$A:$AJ,AE$1,FALSE)</f>
        <v xml:space="preserve"> -</v>
      </c>
      <c r="AF11" s="5">
        <f>VLOOKUP($F11,DDE!$A:$AJ,AF$1,FALSE)</f>
        <v>4020107</v>
      </c>
      <c r="AG11" s="5">
        <f>VLOOKUP($F11,DDE!$A:$AJ,AG$1,FALSE)</f>
        <v>16329.54</v>
      </c>
      <c r="AH11" s="5">
        <f>VLOOKUP($F11,DDE!$A:$AJ,AH$1,FALSE)</f>
        <v>16456.939999999999</v>
      </c>
      <c r="AI11" s="5">
        <f>VLOOKUP($F11,DDE!$A:$AJ,AI$1,FALSE)</f>
        <v>16329.54</v>
      </c>
      <c r="AJ11" s="5" t="str">
        <f>VLOOKUP($F11,DDE!$A:$AJ,AJ$1,FALSE)</f>
        <v xml:space="preserve"> -</v>
      </c>
      <c r="AK11" s="5" t="str">
        <f>VLOOKUP($F11,DDE!$A:$AJ,AK$1,FALSE)</f>
        <v xml:space="preserve"> -</v>
      </c>
      <c r="AL11" s="5">
        <f t="shared" si="11"/>
        <v>16443.399999999998</v>
      </c>
      <c r="AM11" s="5">
        <f>VLOOKUP(X11,cmoney!$A:$M,12,FALSE)</f>
        <v>29.98</v>
      </c>
    </row>
    <row r="12" spans="1:39" x14ac:dyDescent="0.25">
      <c r="A12" s="5" t="str">
        <f t="shared" si="2"/>
        <v>ETF</v>
      </c>
      <c r="B12" s="5" t="s">
        <v>548</v>
      </c>
      <c r="C12" s="5" t="s">
        <v>549</v>
      </c>
      <c r="D12" s="5" t="s">
        <v>887</v>
      </c>
      <c r="E12" s="5">
        <f>VLOOKUP($B12,股期名單!$K:$M,3,FALSE)</f>
        <v>10000</v>
      </c>
      <c r="F12" s="5" t="str">
        <f t="shared" si="3"/>
        <v>OKFB1</v>
      </c>
      <c r="G12" s="7">
        <f t="shared" si="4"/>
        <v>-1.03646408839779</v>
      </c>
      <c r="H12" s="5">
        <f>VLOOKUP($F12,DDE!$A:$AJ,H$1,FALSE)</f>
        <v>-18.760000000000002</v>
      </c>
      <c r="I12" s="5">
        <f>VLOOKUP($F12,DDE!$A:$AJ,I$1,FALSE)</f>
        <v>16424.64</v>
      </c>
      <c r="J12" s="5" t="str">
        <f>VLOOKUP($F12,DDE!$A:$AJ,J$1,FALSE)</f>
        <v xml:space="preserve"> -</v>
      </c>
      <c r="K12" s="5" t="str">
        <f>VLOOKUP($F12,DDE!$A:$AJ,K$1,FALSE)</f>
        <v xml:space="preserve"> -</v>
      </c>
      <c r="L12" s="5">
        <f>VLOOKUP($F12,DDE!$A:$AJ,L$1,FALSE)</f>
        <v>4020107</v>
      </c>
      <c r="M12" s="5">
        <f>VLOOKUP($F12,DDE!$A:$AJ,M$1,FALSE)</f>
        <v>16329.54</v>
      </c>
      <c r="N12" s="5">
        <f>VLOOKUP($F12,DDE!$A:$AJ,N$1,FALSE)</f>
        <v>16456.939999999999</v>
      </c>
      <c r="O12" s="5">
        <f>VLOOKUP($F12,DDE!$A:$AJ,O$1,FALSE)</f>
        <v>16329.54</v>
      </c>
      <c r="P12" s="5" t="str">
        <f>VLOOKUP($F12,DDE!$A:$AJ,P$1,FALSE)</f>
        <v xml:space="preserve"> -</v>
      </c>
      <c r="Q12" s="5" t="str">
        <f>VLOOKUP($F12,DDE!$A:$AJ,Q$1,FALSE)</f>
        <v xml:space="preserve"> -</v>
      </c>
      <c r="R12" s="5">
        <f t="shared" si="12"/>
        <v>16443.399999999998</v>
      </c>
      <c r="S12" s="5">
        <f>VLOOKUP(D12,cmoney!$A:$M,12,FALSE)</f>
        <v>18.100000000000001</v>
      </c>
      <c r="U12" s="5" t="str">
        <f t="shared" si="5"/>
        <v>ETF</v>
      </c>
      <c r="V12" s="5" t="str">
        <f t="shared" si="6"/>
        <v>00639</v>
      </c>
      <c r="W12" s="5" t="str">
        <f t="shared" si="7"/>
        <v>富邦深100ETF</v>
      </c>
      <c r="X12" s="5" t="str">
        <f t="shared" si="8"/>
        <v>OKF</v>
      </c>
      <c r="Y12" s="49">
        <f>VLOOKUP($X12,股期名單!$L:$M,2,FALSE)</f>
        <v>10000</v>
      </c>
      <c r="Z12" s="5" t="str">
        <f t="shared" si="9"/>
        <v>OKFC1</v>
      </c>
      <c r="AA12" s="7">
        <f t="shared" si="10"/>
        <v>-1.03646408839779</v>
      </c>
      <c r="AB12" s="5">
        <f>VLOOKUP($F12,DDE!$A:$AJ,AB$1,FALSE)</f>
        <v>-18.760000000000002</v>
      </c>
      <c r="AC12" s="5">
        <f>VLOOKUP($F12,DDE!$A:$AJ,AC$1,FALSE)</f>
        <v>16424.64</v>
      </c>
      <c r="AD12" s="5" t="str">
        <f>VLOOKUP($F12,DDE!$A:$AJ,AD$1,FALSE)</f>
        <v xml:space="preserve"> -</v>
      </c>
      <c r="AE12" s="5" t="str">
        <f>VLOOKUP($F12,DDE!$A:$AJ,AE$1,FALSE)</f>
        <v xml:space="preserve"> -</v>
      </c>
      <c r="AF12" s="5">
        <f>VLOOKUP($F12,DDE!$A:$AJ,AF$1,FALSE)</f>
        <v>4020107</v>
      </c>
      <c r="AG12" s="5">
        <f>VLOOKUP($F12,DDE!$A:$AJ,AG$1,FALSE)</f>
        <v>16329.54</v>
      </c>
      <c r="AH12" s="5">
        <f>VLOOKUP($F12,DDE!$A:$AJ,AH$1,FALSE)</f>
        <v>16456.939999999999</v>
      </c>
      <c r="AI12" s="5">
        <f>VLOOKUP($F12,DDE!$A:$AJ,AI$1,FALSE)</f>
        <v>16329.54</v>
      </c>
      <c r="AJ12" s="5" t="str">
        <f>VLOOKUP($F12,DDE!$A:$AJ,AJ$1,FALSE)</f>
        <v xml:space="preserve"> -</v>
      </c>
      <c r="AK12" s="5" t="str">
        <f>VLOOKUP($F12,DDE!$A:$AJ,AK$1,FALSE)</f>
        <v xml:space="preserve"> -</v>
      </c>
      <c r="AL12" s="5">
        <f t="shared" si="11"/>
        <v>16443.399999999998</v>
      </c>
      <c r="AM12" s="5">
        <f>VLOOKUP(X12,cmoney!$A:$M,12,FALSE)</f>
        <v>18.100000000000001</v>
      </c>
    </row>
    <row r="13" spans="1:39" x14ac:dyDescent="0.25">
      <c r="A13" s="5" t="str">
        <f t="shared" si="2"/>
        <v>ETF</v>
      </c>
      <c r="B13" s="5" t="s">
        <v>554</v>
      </c>
      <c r="C13" s="5" t="s">
        <v>555</v>
      </c>
      <c r="D13" s="5" t="s">
        <v>888</v>
      </c>
      <c r="E13" s="5">
        <f>VLOOKUP($B13,股期名單!$K:$M,3,FALSE)</f>
        <v>10000</v>
      </c>
      <c r="F13" s="5" t="str">
        <f t="shared" si="3"/>
        <v>OOFB1</v>
      </c>
      <c r="G13" s="7">
        <f t="shared" si="4"/>
        <v>-1.0756811301715439</v>
      </c>
      <c r="H13" s="5">
        <f>VLOOKUP($F13,DDE!$A:$AJ,H$1,FALSE)</f>
        <v>-21.32</v>
      </c>
      <c r="I13" s="5">
        <f>VLOOKUP($F13,DDE!$A:$AJ,I$1,FALSE)</f>
        <v>16422.080000000002</v>
      </c>
      <c r="J13" s="5" t="str">
        <f>VLOOKUP($F13,DDE!$A:$AJ,J$1,FALSE)</f>
        <v xml:space="preserve"> -</v>
      </c>
      <c r="K13" s="5" t="str">
        <f>VLOOKUP($F13,DDE!$A:$AJ,K$1,FALSE)</f>
        <v xml:space="preserve"> -</v>
      </c>
      <c r="L13" s="5">
        <f>VLOOKUP($F13,DDE!$A:$AJ,L$1,FALSE)</f>
        <v>4018459</v>
      </c>
      <c r="M13" s="5">
        <f>VLOOKUP($F13,DDE!$A:$AJ,M$1,FALSE)</f>
        <v>16329.54</v>
      </c>
      <c r="N13" s="5">
        <f>VLOOKUP($F13,DDE!$A:$AJ,N$1,FALSE)</f>
        <v>16456.939999999999</v>
      </c>
      <c r="O13" s="5">
        <f>VLOOKUP($F13,DDE!$A:$AJ,O$1,FALSE)</f>
        <v>16329.54</v>
      </c>
      <c r="P13" s="5" t="str">
        <f>VLOOKUP($F13,DDE!$A:$AJ,P$1,FALSE)</f>
        <v xml:space="preserve"> -</v>
      </c>
      <c r="Q13" s="5" t="str">
        <f>VLOOKUP($F13,DDE!$A:$AJ,Q$1,FALSE)</f>
        <v xml:space="preserve"> -</v>
      </c>
      <c r="R13" s="5">
        <f t="shared" si="12"/>
        <v>16443.400000000001</v>
      </c>
      <c r="S13" s="5">
        <f>VLOOKUP(D13,cmoney!$A:$M,12,FALSE)</f>
        <v>19.82</v>
      </c>
      <c r="U13" s="5" t="str">
        <f t="shared" si="5"/>
        <v>ETF</v>
      </c>
      <c r="V13" s="5" t="str">
        <f t="shared" si="6"/>
        <v>00643</v>
      </c>
      <c r="W13" s="5" t="str">
        <f t="shared" si="7"/>
        <v>群益深証中小ETF</v>
      </c>
      <c r="X13" s="5" t="str">
        <f t="shared" si="8"/>
        <v>OOF</v>
      </c>
      <c r="Y13" s="49">
        <f>VLOOKUP($X13,股期名單!$L:$M,2,FALSE)</f>
        <v>10000</v>
      </c>
      <c r="Z13" s="5" t="str">
        <f t="shared" si="9"/>
        <v>OOFC1</v>
      </c>
      <c r="AA13" s="7">
        <f t="shared" si="10"/>
        <v>-1.0756811301715439</v>
      </c>
      <c r="AB13" s="5">
        <f>VLOOKUP($F13,DDE!$A:$AJ,AB$1,FALSE)</f>
        <v>-21.32</v>
      </c>
      <c r="AC13" s="5">
        <f>VLOOKUP($F13,DDE!$A:$AJ,AC$1,FALSE)</f>
        <v>16422.080000000002</v>
      </c>
      <c r="AD13" s="5" t="str">
        <f>VLOOKUP($F13,DDE!$A:$AJ,AD$1,FALSE)</f>
        <v xml:space="preserve"> -</v>
      </c>
      <c r="AE13" s="5" t="str">
        <f>VLOOKUP($F13,DDE!$A:$AJ,AE$1,FALSE)</f>
        <v xml:space="preserve"> -</v>
      </c>
      <c r="AF13" s="5">
        <f>VLOOKUP($F13,DDE!$A:$AJ,AF$1,FALSE)</f>
        <v>4018459</v>
      </c>
      <c r="AG13" s="5">
        <f>VLOOKUP($F13,DDE!$A:$AJ,AG$1,FALSE)</f>
        <v>16329.54</v>
      </c>
      <c r="AH13" s="5">
        <f>VLOOKUP($F13,DDE!$A:$AJ,AH$1,FALSE)</f>
        <v>16456.939999999999</v>
      </c>
      <c r="AI13" s="5">
        <f>VLOOKUP($F13,DDE!$A:$AJ,AI$1,FALSE)</f>
        <v>16329.54</v>
      </c>
      <c r="AJ13" s="5" t="str">
        <f>VLOOKUP($F13,DDE!$A:$AJ,AJ$1,FALSE)</f>
        <v xml:space="preserve"> -</v>
      </c>
      <c r="AK13" s="5" t="str">
        <f>VLOOKUP($F13,DDE!$A:$AJ,AK$1,FALSE)</f>
        <v xml:space="preserve"> -</v>
      </c>
      <c r="AL13" s="5">
        <f t="shared" si="11"/>
        <v>16443.400000000001</v>
      </c>
      <c r="AM13" s="5">
        <f>VLOOKUP(X13,cmoney!$A:$M,12,FALSE)</f>
        <v>19.82</v>
      </c>
    </row>
    <row r="14" spans="1:39" x14ac:dyDescent="0.25">
      <c r="G14" s="7"/>
      <c r="AA14" s="7"/>
    </row>
    <row r="15" spans="1:39" x14ac:dyDescent="0.25">
      <c r="G15" s="7"/>
    </row>
    <row r="16" spans="1:39" x14ac:dyDescent="0.25">
      <c r="A16" s="5" t="s">
        <v>1111</v>
      </c>
      <c r="B16" s="5" t="s">
        <v>818</v>
      </c>
      <c r="C16" s="5" t="s">
        <v>819</v>
      </c>
      <c r="D16" s="5" t="s">
        <v>821</v>
      </c>
      <c r="E16" s="5" t="s">
        <v>822</v>
      </c>
      <c r="F16" s="5" t="s">
        <v>824</v>
      </c>
      <c r="G16" s="5" t="s">
        <v>825</v>
      </c>
      <c r="H16" s="5" t="s">
        <v>4</v>
      </c>
      <c r="I16" s="5" t="s">
        <v>3</v>
      </c>
      <c r="J16" s="5" t="s">
        <v>10</v>
      </c>
      <c r="K16" s="5" t="s">
        <v>11</v>
      </c>
      <c r="L16" s="5" t="s">
        <v>9</v>
      </c>
      <c r="M16" s="5" t="s">
        <v>6</v>
      </c>
      <c r="N16" s="5" t="s">
        <v>7</v>
      </c>
      <c r="O16" s="5" t="s">
        <v>8</v>
      </c>
      <c r="P16" s="5" t="s">
        <v>13</v>
      </c>
      <c r="Q16" s="5" t="s">
        <v>14</v>
      </c>
      <c r="R16" s="5" t="s">
        <v>826</v>
      </c>
      <c r="S16" s="5" t="s">
        <v>5795</v>
      </c>
      <c r="U16" s="5" t="s">
        <v>1111</v>
      </c>
      <c r="V16" s="5" t="s">
        <v>818</v>
      </c>
      <c r="W16" s="5" t="s">
        <v>819</v>
      </c>
      <c r="X16" s="5" t="s">
        <v>821</v>
      </c>
      <c r="Y16" s="49" t="s">
        <v>822</v>
      </c>
      <c r="Z16" s="5" t="s">
        <v>824</v>
      </c>
      <c r="AA16" s="5" t="s">
        <v>825</v>
      </c>
      <c r="AB16" s="5" t="s">
        <v>4</v>
      </c>
      <c r="AC16" s="5" t="s">
        <v>3</v>
      </c>
      <c r="AD16" s="5" t="s">
        <v>10</v>
      </c>
      <c r="AE16" s="5" t="s">
        <v>11</v>
      </c>
      <c r="AF16" s="5" t="s">
        <v>9</v>
      </c>
      <c r="AG16" s="5" t="s">
        <v>6</v>
      </c>
      <c r="AH16" s="5" t="s">
        <v>7</v>
      </c>
      <c r="AI16" s="5" t="s">
        <v>8</v>
      </c>
      <c r="AJ16" s="5" t="s">
        <v>13</v>
      </c>
      <c r="AK16" s="5" t="s">
        <v>14</v>
      </c>
      <c r="AL16" s="5" t="s">
        <v>826</v>
      </c>
      <c r="AM16" s="5" t="s">
        <v>5795</v>
      </c>
    </row>
    <row r="17" spans="1:39" x14ac:dyDescent="0.25">
      <c r="A17" s="5" t="str">
        <f>IF(E17=10000,"ETF",IF(E17&lt;&gt;2000,"小型",""))</f>
        <v/>
      </c>
      <c r="B17" s="5" t="s">
        <v>660</v>
      </c>
      <c r="C17" s="5" t="s">
        <v>125</v>
      </c>
      <c r="D17" s="5" t="s">
        <v>889</v>
      </c>
      <c r="E17" s="5">
        <f>VLOOKUP($D17,股期名單!$L:$M,2,FALSE)</f>
        <v>2000</v>
      </c>
      <c r="F17" s="5" t="str">
        <f t="shared" si="3"/>
        <v>DFFB1</v>
      </c>
      <c r="G17" s="7">
        <f>IF(S17&lt;&gt;"",H17/S17,"")</f>
        <v>0.1868544600938967</v>
      </c>
      <c r="H17" s="5">
        <f>VLOOKUP($F17,DDE!$A:$AJ,H$1,FALSE)</f>
        <v>7.96</v>
      </c>
      <c r="I17" s="5">
        <f>VLOOKUP($F17,DDE!$A:$AJ,I$1,FALSE)</f>
        <v>13894.54</v>
      </c>
      <c r="J17" s="5" t="str">
        <f>VLOOKUP($F17,DDE!$A:$AJ,J$1,FALSE)</f>
        <v xml:space="preserve"> -</v>
      </c>
      <c r="K17" s="5" t="str">
        <f>VLOOKUP($F17,DDE!$A:$AJ,K$1,FALSE)</f>
        <v xml:space="preserve"> -</v>
      </c>
      <c r="L17" s="5">
        <f>VLOOKUP($F17,DDE!$A:$AJ,L$1,FALSE)</f>
        <v>870725</v>
      </c>
      <c r="M17" s="5">
        <f>VLOOKUP($F17,DDE!$A:$AJ,M$1,FALSE)</f>
        <v>13893.03</v>
      </c>
      <c r="N17" s="5">
        <f>VLOOKUP($F17,DDE!$A:$AJ,N$1,FALSE)</f>
        <v>13945.78</v>
      </c>
      <c r="O17" s="5">
        <f>VLOOKUP($F17,DDE!$A:$AJ,O$1,FALSE)</f>
        <v>13875.82</v>
      </c>
      <c r="P17" s="5" t="str">
        <f>VLOOKUP($F17,DDE!$A:$AJ,P$1,FALSE)</f>
        <v xml:space="preserve"> -</v>
      </c>
      <c r="Q17" s="5" t="str">
        <f>VLOOKUP($F17,DDE!$A:$AJ,Q$1,FALSE)</f>
        <v xml:space="preserve"> -</v>
      </c>
      <c r="R17" s="5">
        <f t="shared" si="0"/>
        <v>13886.580000000002</v>
      </c>
      <c r="S17" s="5">
        <f>VLOOKUP(D17,cmoney!$A:$M,12,FALSE)</f>
        <v>42.6</v>
      </c>
      <c r="U17" s="5" t="str">
        <f>A17</f>
        <v/>
      </c>
      <c r="V17" s="5" t="str">
        <f>B17</f>
        <v>1101</v>
      </c>
      <c r="W17" s="5" t="str">
        <f>C17</f>
        <v>台泥</v>
      </c>
      <c r="X17" s="5" t="str">
        <f>D17</f>
        <v>DFF</v>
      </c>
      <c r="Y17" s="49">
        <f>VLOOKUP($X17,股期名單!$L:$M,2,FALSE)</f>
        <v>2000</v>
      </c>
      <c r="Z17" s="5" t="str">
        <f>$X17&amp;$Y$1&amp;$Z$1</f>
        <v>DFFC1</v>
      </c>
      <c r="AA17" s="7">
        <f>IF(AM17&lt;&gt;"",AB17/AM17,"")</f>
        <v>0.1868544600938967</v>
      </c>
      <c r="AB17" s="5">
        <f>VLOOKUP($F17,DDE!$A:$AJ,AB$1,FALSE)</f>
        <v>7.96</v>
      </c>
      <c r="AC17" s="5">
        <f>VLOOKUP($F17,DDE!$A:$AJ,AC$1,FALSE)</f>
        <v>13894.54</v>
      </c>
      <c r="AD17" s="5" t="str">
        <f>VLOOKUP($F17,DDE!$A:$AJ,AD$1,FALSE)</f>
        <v xml:space="preserve"> -</v>
      </c>
      <c r="AE17" s="5" t="str">
        <f>VLOOKUP($F17,DDE!$A:$AJ,AE$1,FALSE)</f>
        <v xml:space="preserve"> -</v>
      </c>
      <c r="AF17" s="5">
        <f>VLOOKUP($F17,DDE!$A:$AJ,AF$1,FALSE)</f>
        <v>870725</v>
      </c>
      <c r="AG17" s="5">
        <f>VLOOKUP($F17,DDE!$A:$AJ,AG$1,FALSE)</f>
        <v>13893.03</v>
      </c>
      <c r="AH17" s="5">
        <f>VLOOKUP($F17,DDE!$A:$AJ,AH$1,FALSE)</f>
        <v>13945.78</v>
      </c>
      <c r="AI17" s="5">
        <f>VLOOKUP($F17,DDE!$A:$AJ,AI$1,FALSE)</f>
        <v>13875.82</v>
      </c>
      <c r="AJ17" s="5" t="str">
        <f>VLOOKUP($F17,DDE!$A:$AJ,AJ$1,FALSE)</f>
        <v xml:space="preserve"> -</v>
      </c>
      <c r="AK17" s="5" t="str">
        <f>VLOOKUP($F17,DDE!$A:$AJ,AK$1,FALSE)</f>
        <v xml:space="preserve"> -</v>
      </c>
      <c r="AL17" s="5">
        <f t="shared" ref="AL17" si="13">IF(AF17&gt;0,AC17-AB17,"")</f>
        <v>13886.580000000002</v>
      </c>
      <c r="AM17" s="5">
        <f>VLOOKUP(X17,cmoney!$A:$M,12,FALSE)</f>
        <v>42.6</v>
      </c>
    </row>
    <row r="18" spans="1:39" x14ac:dyDescent="0.25">
      <c r="A18" s="5" t="str">
        <f t="shared" ref="A18:A81" si="14">IF(E18=10000,"ETF",IF(E18&lt;&gt;2000,"小型",""))</f>
        <v/>
      </c>
      <c r="B18" s="5" t="s">
        <v>675</v>
      </c>
      <c r="C18" s="5" t="s">
        <v>170</v>
      </c>
      <c r="D18" s="5" t="s">
        <v>890</v>
      </c>
      <c r="E18" s="5">
        <f>VLOOKUP($D18,股期名單!$L:$M,2,FALSE)</f>
        <v>2000</v>
      </c>
      <c r="F18" s="5" t="str">
        <f t="shared" si="3"/>
        <v>DYFB1</v>
      </c>
      <c r="G18" s="7">
        <f t="shared" ref="G18:G81" si="15">IF(S18&lt;&gt;"",H18/S18,"")</f>
        <v>-0.50710128055878934</v>
      </c>
      <c r="H18" s="5">
        <f>VLOOKUP($F18,DDE!$A:$AJ,H$1,FALSE)</f>
        <v>-21.78</v>
      </c>
      <c r="I18" s="5">
        <f>VLOOKUP($F18,DDE!$A:$AJ,I$1,FALSE)</f>
        <v>16421.62</v>
      </c>
      <c r="J18" s="5" t="str">
        <f>VLOOKUP($F18,DDE!$A:$AJ,J$1,FALSE)</f>
        <v xml:space="preserve"> -</v>
      </c>
      <c r="K18" s="5" t="str">
        <f>VLOOKUP($F18,DDE!$A:$AJ,K$1,FALSE)</f>
        <v xml:space="preserve"> -</v>
      </c>
      <c r="L18" s="5">
        <f>VLOOKUP($F18,DDE!$A:$AJ,L$1,FALSE)</f>
        <v>4027056</v>
      </c>
      <c r="M18" s="5">
        <f>VLOOKUP($F18,DDE!$A:$AJ,M$1,FALSE)</f>
        <v>16329.54</v>
      </c>
      <c r="N18" s="5">
        <f>VLOOKUP($F18,DDE!$A:$AJ,N$1,FALSE)</f>
        <v>16456.939999999999</v>
      </c>
      <c r="O18" s="5">
        <f>VLOOKUP($F18,DDE!$A:$AJ,O$1,FALSE)</f>
        <v>16329.54</v>
      </c>
      <c r="P18" s="5" t="str">
        <f>VLOOKUP($F18,DDE!$A:$AJ,P$1,FALSE)</f>
        <v xml:space="preserve"> -</v>
      </c>
      <c r="Q18" s="5" t="str">
        <f>VLOOKUP($F18,DDE!$A:$AJ,Q$1,FALSE)</f>
        <v xml:space="preserve"> -</v>
      </c>
      <c r="R18" s="5">
        <f t="shared" si="0"/>
        <v>16443.399999999998</v>
      </c>
      <c r="S18" s="5">
        <f>VLOOKUP(D18,cmoney!$A:$M,12,FALSE)</f>
        <v>42.95</v>
      </c>
      <c r="U18" s="5" t="str">
        <f t="shared" ref="U18:U81" si="16">A18</f>
        <v/>
      </c>
      <c r="V18" s="5" t="str">
        <f t="shared" ref="V18:V81" si="17">B18</f>
        <v>1102</v>
      </c>
      <c r="W18" s="5" t="str">
        <f t="shared" ref="W18:W81" si="18">C18</f>
        <v>亞泥</v>
      </c>
      <c r="X18" s="5" t="str">
        <f t="shared" ref="X18:X81" si="19">D18</f>
        <v>DYF</v>
      </c>
      <c r="Y18" s="49">
        <f>VLOOKUP($X18,股期名單!$L:$M,2,FALSE)</f>
        <v>2000</v>
      </c>
      <c r="Z18" s="5" t="str">
        <f t="shared" ref="Z18:Z81" si="20">$X18&amp;$Y$1&amp;$Z$1</f>
        <v>DYFC1</v>
      </c>
      <c r="AA18" s="7">
        <f t="shared" ref="AA18:AA81" si="21">IF(AM18&lt;&gt;"",AB18/AM18,"")</f>
        <v>-0.50710128055878934</v>
      </c>
      <c r="AB18" s="5">
        <f>VLOOKUP($F18,DDE!$A:$AJ,AB$1,FALSE)</f>
        <v>-21.78</v>
      </c>
      <c r="AC18" s="5">
        <f>VLOOKUP($F18,DDE!$A:$AJ,AC$1,FALSE)</f>
        <v>16421.62</v>
      </c>
      <c r="AD18" s="5" t="str">
        <f>VLOOKUP($F18,DDE!$A:$AJ,AD$1,FALSE)</f>
        <v xml:space="preserve"> -</v>
      </c>
      <c r="AE18" s="5" t="str">
        <f>VLOOKUP($F18,DDE!$A:$AJ,AE$1,FALSE)</f>
        <v xml:space="preserve"> -</v>
      </c>
      <c r="AF18" s="5">
        <f>VLOOKUP($F18,DDE!$A:$AJ,AF$1,FALSE)</f>
        <v>4027056</v>
      </c>
      <c r="AG18" s="5">
        <f>VLOOKUP($F18,DDE!$A:$AJ,AG$1,FALSE)</f>
        <v>16329.54</v>
      </c>
      <c r="AH18" s="5">
        <f>VLOOKUP($F18,DDE!$A:$AJ,AH$1,FALSE)</f>
        <v>16456.939999999999</v>
      </c>
      <c r="AI18" s="5">
        <f>VLOOKUP($F18,DDE!$A:$AJ,AI$1,FALSE)</f>
        <v>16329.54</v>
      </c>
      <c r="AJ18" s="5" t="str">
        <f>VLOOKUP($F18,DDE!$A:$AJ,AJ$1,FALSE)</f>
        <v xml:space="preserve"> -</v>
      </c>
      <c r="AK18" s="5" t="str">
        <f>VLOOKUP($F18,DDE!$A:$AJ,AK$1,FALSE)</f>
        <v xml:space="preserve"> -</v>
      </c>
      <c r="AL18" s="5">
        <f t="shared" ref="AL18:AL81" si="22">IF(AF18&gt;0,AC18-AB18,"")</f>
        <v>16443.399999999998</v>
      </c>
      <c r="AM18" s="5">
        <f>VLOOKUP(X18,cmoney!$A:$M,12,FALSE)</f>
        <v>42.95</v>
      </c>
    </row>
    <row r="19" spans="1:39" x14ac:dyDescent="0.25">
      <c r="A19" s="5" t="str">
        <f t="shared" si="14"/>
        <v/>
      </c>
      <c r="B19" s="5" t="s">
        <v>676</v>
      </c>
      <c r="C19" s="5" t="s">
        <v>173</v>
      </c>
      <c r="D19" s="5" t="s">
        <v>891</v>
      </c>
      <c r="E19" s="5">
        <f>VLOOKUP($D19,股期名單!$L:$M,2,FALSE)</f>
        <v>2000</v>
      </c>
      <c r="F19" s="5" t="str">
        <f t="shared" si="3"/>
        <v>DZFB1</v>
      </c>
      <c r="G19" s="7">
        <f t="shared" si="15"/>
        <v>-0.43473053892215568</v>
      </c>
      <c r="H19" s="5">
        <f>VLOOKUP($F19,DDE!$A:$AJ,H$1,FALSE)</f>
        <v>-21.78</v>
      </c>
      <c r="I19" s="5">
        <f>VLOOKUP($F19,DDE!$A:$AJ,I$1,FALSE)</f>
        <v>16421.62</v>
      </c>
      <c r="J19" s="5" t="str">
        <f>VLOOKUP($F19,DDE!$A:$AJ,J$1,FALSE)</f>
        <v xml:space="preserve"> -</v>
      </c>
      <c r="K19" s="5" t="str">
        <f>VLOOKUP($F19,DDE!$A:$AJ,K$1,FALSE)</f>
        <v xml:space="preserve"> -</v>
      </c>
      <c r="L19" s="5">
        <f>VLOOKUP($F19,DDE!$A:$AJ,L$1,FALSE)</f>
        <v>4027056</v>
      </c>
      <c r="M19" s="5">
        <f>VLOOKUP($F19,DDE!$A:$AJ,M$1,FALSE)</f>
        <v>16329.54</v>
      </c>
      <c r="N19" s="5">
        <f>VLOOKUP($F19,DDE!$A:$AJ,N$1,FALSE)</f>
        <v>16456.939999999999</v>
      </c>
      <c r="O19" s="5">
        <f>VLOOKUP($F19,DDE!$A:$AJ,O$1,FALSE)</f>
        <v>16329.54</v>
      </c>
      <c r="P19" s="5" t="str">
        <f>VLOOKUP($F19,DDE!$A:$AJ,P$1,FALSE)</f>
        <v xml:space="preserve"> -</v>
      </c>
      <c r="Q19" s="5" t="str">
        <f>VLOOKUP($F19,DDE!$A:$AJ,Q$1,FALSE)</f>
        <v xml:space="preserve"> -</v>
      </c>
      <c r="R19" s="5">
        <f t="shared" si="0"/>
        <v>16443.399999999998</v>
      </c>
      <c r="S19" s="5">
        <f>VLOOKUP(D19,cmoney!$A:$M,12,FALSE)</f>
        <v>50.1</v>
      </c>
      <c r="U19" s="5" t="str">
        <f t="shared" si="16"/>
        <v/>
      </c>
      <c r="V19" s="5" t="str">
        <f t="shared" si="17"/>
        <v>1210</v>
      </c>
      <c r="W19" s="5" t="str">
        <f t="shared" si="18"/>
        <v>大成</v>
      </c>
      <c r="X19" s="5" t="str">
        <f t="shared" si="19"/>
        <v>DZF</v>
      </c>
      <c r="Y19" s="49">
        <f>VLOOKUP($X19,股期名單!$L:$M,2,FALSE)</f>
        <v>2000</v>
      </c>
      <c r="Z19" s="5" t="str">
        <f t="shared" si="20"/>
        <v>DZFC1</v>
      </c>
      <c r="AA19" s="7">
        <f t="shared" si="21"/>
        <v>-0.43473053892215568</v>
      </c>
      <c r="AB19" s="5">
        <f>VLOOKUP($F19,DDE!$A:$AJ,AB$1,FALSE)</f>
        <v>-21.78</v>
      </c>
      <c r="AC19" s="5">
        <f>VLOOKUP($F19,DDE!$A:$AJ,AC$1,FALSE)</f>
        <v>16421.62</v>
      </c>
      <c r="AD19" s="5" t="str">
        <f>VLOOKUP($F19,DDE!$A:$AJ,AD$1,FALSE)</f>
        <v xml:space="preserve"> -</v>
      </c>
      <c r="AE19" s="5" t="str">
        <f>VLOOKUP($F19,DDE!$A:$AJ,AE$1,FALSE)</f>
        <v xml:space="preserve"> -</v>
      </c>
      <c r="AF19" s="5">
        <f>VLOOKUP($F19,DDE!$A:$AJ,AF$1,FALSE)</f>
        <v>4027056</v>
      </c>
      <c r="AG19" s="5">
        <f>VLOOKUP($F19,DDE!$A:$AJ,AG$1,FALSE)</f>
        <v>16329.54</v>
      </c>
      <c r="AH19" s="5">
        <f>VLOOKUP($F19,DDE!$A:$AJ,AH$1,FALSE)</f>
        <v>16456.939999999999</v>
      </c>
      <c r="AI19" s="5">
        <f>VLOOKUP($F19,DDE!$A:$AJ,AI$1,FALSE)</f>
        <v>16329.54</v>
      </c>
      <c r="AJ19" s="5" t="str">
        <f>VLOOKUP($F19,DDE!$A:$AJ,AJ$1,FALSE)</f>
        <v xml:space="preserve"> -</v>
      </c>
      <c r="AK19" s="5" t="str">
        <f>VLOOKUP($F19,DDE!$A:$AJ,AK$1,FALSE)</f>
        <v xml:space="preserve"> -</v>
      </c>
      <c r="AL19" s="5">
        <f t="shared" si="22"/>
        <v>16443.399999999998</v>
      </c>
      <c r="AM19" s="5">
        <f>VLOOKUP(X19,cmoney!$A:$M,12,FALSE)</f>
        <v>50.1</v>
      </c>
    </row>
    <row r="20" spans="1:39" x14ac:dyDescent="0.25">
      <c r="A20" s="5" t="str">
        <f t="shared" si="14"/>
        <v/>
      </c>
      <c r="B20" s="5" t="s">
        <v>649</v>
      </c>
      <c r="C20" s="5" t="s">
        <v>92</v>
      </c>
      <c r="D20" s="5" t="s">
        <v>892</v>
      </c>
      <c r="E20" s="5">
        <f>VLOOKUP($D20,股期名單!$L:$M,2,FALSE)</f>
        <v>2000</v>
      </c>
      <c r="F20" s="5" t="str">
        <f t="shared" si="3"/>
        <v>CQFB1</v>
      </c>
      <c r="G20" s="7" t="e">
        <f t="shared" si="15"/>
        <v>#VALUE!</v>
      </c>
      <c r="H20" s="5" t="str">
        <f>VLOOKUP($F20,DDE!$A:$AJ,H$1,FALSE)</f>
        <v xml:space="preserve"> </v>
      </c>
      <c r="I20" s="5">
        <f>VLOOKUP($F20,DDE!$A:$AJ,I$1,FALSE)</f>
        <v>20878632</v>
      </c>
      <c r="J20" s="5" t="str">
        <f>VLOOKUP($F20,DDE!$A:$AJ,J$1,FALSE)</f>
        <v xml:space="preserve"> -</v>
      </c>
      <c r="K20" s="5" t="str">
        <f>VLOOKUP($F20,DDE!$A:$AJ,K$1,FALSE)</f>
        <v xml:space="preserve"> -</v>
      </c>
      <c r="L20" s="5">
        <f>VLOOKUP($F20,DDE!$A:$AJ,L$1,FALSE)</f>
        <v>2088371110</v>
      </c>
      <c r="M20" s="5">
        <f>VLOOKUP($F20,DDE!$A:$AJ,M$1,FALSE)</f>
        <v>20803788</v>
      </c>
      <c r="N20" s="5">
        <f>VLOOKUP($F20,DDE!$A:$AJ,N$1,FALSE)</f>
        <v>20804690</v>
      </c>
      <c r="O20" s="5">
        <f>VLOOKUP($F20,DDE!$A:$AJ,O$1,FALSE)</f>
        <v>10989732</v>
      </c>
      <c r="P20" s="5" t="str">
        <f>VLOOKUP($F20,DDE!$A:$AJ,P$1,FALSE)</f>
        <v xml:space="preserve"> -</v>
      </c>
      <c r="Q20" s="5" t="str">
        <f>VLOOKUP($F20,DDE!$A:$AJ,Q$1,FALSE)</f>
        <v xml:space="preserve"> -</v>
      </c>
      <c r="R20" s="5" t="e">
        <f t="shared" si="0"/>
        <v>#VALUE!</v>
      </c>
      <c r="S20" s="5">
        <f>VLOOKUP(D20,cmoney!$A:$M,12,FALSE)</f>
        <v>69.400000000000006</v>
      </c>
      <c r="U20" s="5" t="str">
        <f t="shared" si="16"/>
        <v/>
      </c>
      <c r="V20" s="5" t="str">
        <f t="shared" si="17"/>
        <v>1216</v>
      </c>
      <c r="W20" s="5" t="str">
        <f t="shared" si="18"/>
        <v>統一</v>
      </c>
      <c r="X20" s="5" t="str">
        <f t="shared" si="19"/>
        <v>CQF</v>
      </c>
      <c r="Y20" s="49">
        <f>VLOOKUP($X20,股期名單!$L:$M,2,FALSE)</f>
        <v>2000</v>
      </c>
      <c r="Z20" s="5" t="str">
        <f t="shared" si="20"/>
        <v>CQFC1</v>
      </c>
      <c r="AA20" s="7" t="e">
        <f t="shared" si="21"/>
        <v>#VALUE!</v>
      </c>
      <c r="AB20" s="5" t="str">
        <f>VLOOKUP($F20,DDE!$A:$AJ,AB$1,FALSE)</f>
        <v xml:space="preserve"> </v>
      </c>
      <c r="AC20" s="5">
        <f>VLOOKUP($F20,DDE!$A:$AJ,AC$1,FALSE)</f>
        <v>20878632</v>
      </c>
      <c r="AD20" s="5" t="str">
        <f>VLOOKUP($F20,DDE!$A:$AJ,AD$1,FALSE)</f>
        <v xml:space="preserve"> -</v>
      </c>
      <c r="AE20" s="5" t="str">
        <f>VLOOKUP($F20,DDE!$A:$AJ,AE$1,FALSE)</f>
        <v xml:space="preserve"> -</v>
      </c>
      <c r="AF20" s="5">
        <f>VLOOKUP($F20,DDE!$A:$AJ,AF$1,FALSE)</f>
        <v>2088371110</v>
      </c>
      <c r="AG20" s="5">
        <f>VLOOKUP($F20,DDE!$A:$AJ,AG$1,FALSE)</f>
        <v>20803788</v>
      </c>
      <c r="AH20" s="5">
        <f>VLOOKUP($F20,DDE!$A:$AJ,AH$1,FALSE)</f>
        <v>20804690</v>
      </c>
      <c r="AI20" s="5">
        <f>VLOOKUP($F20,DDE!$A:$AJ,AI$1,FALSE)</f>
        <v>10989732</v>
      </c>
      <c r="AJ20" s="5" t="str">
        <f>VLOOKUP($F20,DDE!$A:$AJ,AJ$1,FALSE)</f>
        <v xml:space="preserve"> -</v>
      </c>
      <c r="AK20" s="5" t="str">
        <f>VLOOKUP($F20,DDE!$A:$AJ,AK$1,FALSE)</f>
        <v xml:space="preserve"> -</v>
      </c>
      <c r="AL20" s="5" t="e">
        <f t="shared" si="22"/>
        <v>#VALUE!</v>
      </c>
      <c r="AM20" s="5">
        <f>VLOOKUP(X20,cmoney!$A:$M,12,FALSE)</f>
        <v>69.400000000000006</v>
      </c>
    </row>
    <row r="21" spans="1:39" x14ac:dyDescent="0.25">
      <c r="A21" s="5" t="str">
        <f t="shared" si="14"/>
        <v/>
      </c>
      <c r="B21" s="5" t="s">
        <v>641</v>
      </c>
      <c r="C21" s="5" t="s">
        <v>68</v>
      </c>
      <c r="D21" s="5" t="s">
        <v>893</v>
      </c>
      <c r="E21" s="5">
        <f>VLOOKUP($D21,股期名單!$L:$M,2,FALSE)</f>
        <v>2000</v>
      </c>
      <c r="F21" s="5" t="str">
        <f t="shared" si="3"/>
        <v>CFFB1</v>
      </c>
      <c r="G21" s="7">
        <f t="shared" si="15"/>
        <v>-0.21867469879518076</v>
      </c>
      <c r="H21" s="5">
        <f>VLOOKUP($F21,DDE!$A:$AJ,H$1,FALSE)</f>
        <v>-21.78</v>
      </c>
      <c r="I21" s="5">
        <f>VLOOKUP($F21,DDE!$A:$AJ,I$1,FALSE)</f>
        <v>16421.62</v>
      </c>
      <c r="J21" s="5" t="str">
        <f>VLOOKUP($F21,DDE!$A:$AJ,J$1,FALSE)</f>
        <v xml:space="preserve"> -</v>
      </c>
      <c r="K21" s="5" t="str">
        <f>VLOOKUP($F21,DDE!$A:$AJ,K$1,FALSE)</f>
        <v xml:space="preserve"> -</v>
      </c>
      <c r="L21" s="5">
        <f>VLOOKUP($F21,DDE!$A:$AJ,L$1,FALSE)</f>
        <v>4027056</v>
      </c>
      <c r="M21" s="5">
        <f>VLOOKUP($F21,DDE!$A:$AJ,M$1,FALSE)</f>
        <v>16329.54</v>
      </c>
      <c r="N21" s="5">
        <f>VLOOKUP($F21,DDE!$A:$AJ,N$1,FALSE)</f>
        <v>16456.939999999999</v>
      </c>
      <c r="O21" s="5">
        <f>VLOOKUP($F21,DDE!$A:$AJ,O$1,FALSE)</f>
        <v>16329.54</v>
      </c>
      <c r="P21" s="5" t="str">
        <f>VLOOKUP($F21,DDE!$A:$AJ,P$1,FALSE)</f>
        <v xml:space="preserve"> -</v>
      </c>
      <c r="Q21" s="5" t="str">
        <f>VLOOKUP($F21,DDE!$A:$AJ,Q$1,FALSE)</f>
        <v xml:space="preserve"> -</v>
      </c>
      <c r="R21" s="5">
        <f t="shared" si="0"/>
        <v>16443.399999999998</v>
      </c>
      <c r="S21" s="5">
        <f>VLOOKUP(D21,cmoney!$A:$M,12,FALSE)</f>
        <v>99.6</v>
      </c>
      <c r="U21" s="5" t="str">
        <f t="shared" si="16"/>
        <v/>
      </c>
      <c r="V21" s="5" t="str">
        <f t="shared" si="17"/>
        <v>1301</v>
      </c>
      <c r="W21" s="5" t="str">
        <f t="shared" si="18"/>
        <v>台塑</v>
      </c>
      <c r="X21" s="5" t="str">
        <f t="shared" si="19"/>
        <v>CFF</v>
      </c>
      <c r="Y21" s="49">
        <f>VLOOKUP($X21,股期名單!$L:$M,2,FALSE)</f>
        <v>2000</v>
      </c>
      <c r="Z21" s="5" t="str">
        <f t="shared" si="20"/>
        <v>CFFC1</v>
      </c>
      <c r="AA21" s="7">
        <f t="shared" si="21"/>
        <v>-0.21867469879518076</v>
      </c>
      <c r="AB21" s="5">
        <f>VLOOKUP($F21,DDE!$A:$AJ,AB$1,FALSE)</f>
        <v>-21.78</v>
      </c>
      <c r="AC21" s="5">
        <f>VLOOKUP($F21,DDE!$A:$AJ,AC$1,FALSE)</f>
        <v>16421.62</v>
      </c>
      <c r="AD21" s="5" t="str">
        <f>VLOOKUP($F21,DDE!$A:$AJ,AD$1,FALSE)</f>
        <v xml:space="preserve"> -</v>
      </c>
      <c r="AE21" s="5" t="str">
        <f>VLOOKUP($F21,DDE!$A:$AJ,AE$1,FALSE)</f>
        <v xml:space="preserve"> -</v>
      </c>
      <c r="AF21" s="5">
        <f>VLOOKUP($F21,DDE!$A:$AJ,AF$1,FALSE)</f>
        <v>4027056</v>
      </c>
      <c r="AG21" s="5">
        <f>VLOOKUP($F21,DDE!$A:$AJ,AG$1,FALSE)</f>
        <v>16329.54</v>
      </c>
      <c r="AH21" s="5">
        <f>VLOOKUP($F21,DDE!$A:$AJ,AH$1,FALSE)</f>
        <v>16456.939999999999</v>
      </c>
      <c r="AI21" s="5">
        <f>VLOOKUP($F21,DDE!$A:$AJ,AI$1,FALSE)</f>
        <v>16329.54</v>
      </c>
      <c r="AJ21" s="5" t="str">
        <f>VLOOKUP($F21,DDE!$A:$AJ,AJ$1,FALSE)</f>
        <v xml:space="preserve"> -</v>
      </c>
      <c r="AK21" s="5" t="str">
        <f>VLOOKUP($F21,DDE!$A:$AJ,AK$1,FALSE)</f>
        <v xml:space="preserve"> -</v>
      </c>
      <c r="AL21" s="5">
        <f t="shared" si="22"/>
        <v>16443.399999999998</v>
      </c>
      <c r="AM21" s="5">
        <f>VLOOKUP(X21,cmoney!$A:$M,12,FALSE)</f>
        <v>99.6</v>
      </c>
    </row>
    <row r="22" spans="1:39" x14ac:dyDescent="0.25">
      <c r="A22" s="5" t="str">
        <f t="shared" si="14"/>
        <v/>
      </c>
      <c r="B22" s="5" t="s">
        <v>636</v>
      </c>
      <c r="C22" s="5" t="s">
        <v>51</v>
      </c>
      <c r="D22" s="5" t="s">
        <v>894</v>
      </c>
      <c r="E22" s="5">
        <f>VLOOKUP($D22,股期名單!$L:$M,2,FALSE)</f>
        <v>2000</v>
      </c>
      <c r="F22" s="5" t="str">
        <f t="shared" si="3"/>
        <v>CAFB1</v>
      </c>
      <c r="G22" s="7">
        <f t="shared" si="15"/>
        <v>-0.19407008086253369</v>
      </c>
      <c r="H22" s="5">
        <f>VLOOKUP($F22,DDE!$A:$AJ,H$1,FALSE)</f>
        <v>-14.4</v>
      </c>
      <c r="I22" s="5">
        <f>VLOOKUP($F22,DDE!$A:$AJ,I$1,FALSE)</f>
        <v>16429</v>
      </c>
      <c r="J22" s="5" t="str">
        <f>VLOOKUP($F22,DDE!$A:$AJ,J$1,FALSE)</f>
        <v xml:space="preserve"> -</v>
      </c>
      <c r="K22" s="5" t="str">
        <f>VLOOKUP($F22,DDE!$A:$AJ,K$1,FALSE)</f>
        <v xml:space="preserve"> -</v>
      </c>
      <c r="L22" s="5">
        <f>VLOOKUP($F22,DDE!$A:$AJ,L$1,FALSE)</f>
        <v>4015112</v>
      </c>
      <c r="M22" s="5">
        <f>VLOOKUP($F22,DDE!$A:$AJ,M$1,FALSE)</f>
        <v>16329.54</v>
      </c>
      <c r="N22" s="5">
        <f>VLOOKUP($F22,DDE!$A:$AJ,N$1,FALSE)</f>
        <v>16456.939999999999</v>
      </c>
      <c r="O22" s="5">
        <f>VLOOKUP($F22,DDE!$A:$AJ,O$1,FALSE)</f>
        <v>16329.54</v>
      </c>
      <c r="P22" s="5" t="str">
        <f>VLOOKUP($F22,DDE!$A:$AJ,P$1,FALSE)</f>
        <v xml:space="preserve"> -</v>
      </c>
      <c r="Q22" s="5" t="str">
        <f>VLOOKUP($F22,DDE!$A:$AJ,Q$1,FALSE)</f>
        <v xml:space="preserve"> -</v>
      </c>
      <c r="R22" s="5">
        <f t="shared" si="0"/>
        <v>16443.400000000001</v>
      </c>
      <c r="S22" s="5">
        <f>VLOOKUP(D22,cmoney!$A:$M,12,FALSE)</f>
        <v>74.2</v>
      </c>
      <c r="U22" s="5" t="str">
        <f t="shared" si="16"/>
        <v/>
      </c>
      <c r="V22" s="5" t="str">
        <f t="shared" si="17"/>
        <v>1303</v>
      </c>
      <c r="W22" s="5" t="str">
        <f t="shared" si="18"/>
        <v>南亞</v>
      </c>
      <c r="X22" s="5" t="str">
        <f t="shared" si="19"/>
        <v>CAF</v>
      </c>
      <c r="Y22" s="49">
        <f>VLOOKUP($X22,股期名單!$L:$M,2,FALSE)</f>
        <v>2000</v>
      </c>
      <c r="Z22" s="5" t="str">
        <f t="shared" si="20"/>
        <v>CAFC1</v>
      </c>
      <c r="AA22" s="7">
        <f t="shared" si="21"/>
        <v>-0.19407008086253369</v>
      </c>
      <c r="AB22" s="5">
        <f>VLOOKUP($F22,DDE!$A:$AJ,AB$1,FALSE)</f>
        <v>-14.4</v>
      </c>
      <c r="AC22" s="5">
        <f>VLOOKUP($F22,DDE!$A:$AJ,AC$1,FALSE)</f>
        <v>16429</v>
      </c>
      <c r="AD22" s="5" t="str">
        <f>VLOOKUP($F22,DDE!$A:$AJ,AD$1,FALSE)</f>
        <v xml:space="preserve"> -</v>
      </c>
      <c r="AE22" s="5" t="str">
        <f>VLOOKUP($F22,DDE!$A:$AJ,AE$1,FALSE)</f>
        <v xml:space="preserve"> -</v>
      </c>
      <c r="AF22" s="5">
        <f>VLOOKUP($F22,DDE!$A:$AJ,AF$1,FALSE)</f>
        <v>4015112</v>
      </c>
      <c r="AG22" s="5">
        <f>VLOOKUP($F22,DDE!$A:$AJ,AG$1,FALSE)</f>
        <v>16329.54</v>
      </c>
      <c r="AH22" s="5">
        <f>VLOOKUP($F22,DDE!$A:$AJ,AH$1,FALSE)</f>
        <v>16456.939999999999</v>
      </c>
      <c r="AI22" s="5">
        <f>VLOOKUP($F22,DDE!$A:$AJ,AI$1,FALSE)</f>
        <v>16329.54</v>
      </c>
      <c r="AJ22" s="5" t="str">
        <f>VLOOKUP($F22,DDE!$A:$AJ,AJ$1,FALSE)</f>
        <v xml:space="preserve"> -</v>
      </c>
      <c r="AK22" s="5" t="str">
        <f>VLOOKUP($F22,DDE!$A:$AJ,AK$1,FALSE)</f>
        <v xml:space="preserve"> -</v>
      </c>
      <c r="AL22" s="5">
        <f t="shared" si="22"/>
        <v>16443.400000000001</v>
      </c>
      <c r="AM22" s="5">
        <f>VLOOKUP(X22,cmoney!$A:$M,12,FALSE)</f>
        <v>74.2</v>
      </c>
    </row>
    <row r="23" spans="1:39" x14ac:dyDescent="0.25">
      <c r="A23" s="5" t="str">
        <f t="shared" si="14"/>
        <v/>
      </c>
      <c r="B23" s="5" t="s">
        <v>677</v>
      </c>
      <c r="C23" s="5" t="s">
        <v>176</v>
      </c>
      <c r="D23" s="5" t="s">
        <v>895</v>
      </c>
      <c r="E23" s="5">
        <f>VLOOKUP($D23,股期名單!$L:$M,2,FALSE)</f>
        <v>2000</v>
      </c>
      <c r="F23" s="5" t="str">
        <f t="shared" si="3"/>
        <v>EEFB1</v>
      </c>
      <c r="G23" s="7">
        <f t="shared" si="15"/>
        <v>-0.76728016359918205</v>
      </c>
      <c r="H23" s="5">
        <f>VLOOKUP($F23,DDE!$A:$AJ,H$1,FALSE)</f>
        <v>-18.760000000000002</v>
      </c>
      <c r="I23" s="5">
        <f>VLOOKUP($F23,DDE!$A:$AJ,I$1,FALSE)</f>
        <v>16424.64</v>
      </c>
      <c r="J23" s="5" t="str">
        <f>VLOOKUP($F23,DDE!$A:$AJ,J$1,FALSE)</f>
        <v xml:space="preserve"> -</v>
      </c>
      <c r="K23" s="5" t="str">
        <f>VLOOKUP($F23,DDE!$A:$AJ,K$1,FALSE)</f>
        <v xml:space="preserve"> -</v>
      </c>
      <c r="L23" s="5">
        <f>VLOOKUP($F23,DDE!$A:$AJ,L$1,FALSE)</f>
        <v>4020107</v>
      </c>
      <c r="M23" s="5">
        <f>VLOOKUP($F23,DDE!$A:$AJ,M$1,FALSE)</f>
        <v>16329.54</v>
      </c>
      <c r="N23" s="5">
        <f>VLOOKUP($F23,DDE!$A:$AJ,N$1,FALSE)</f>
        <v>16456.939999999999</v>
      </c>
      <c r="O23" s="5">
        <f>VLOOKUP($F23,DDE!$A:$AJ,O$1,FALSE)</f>
        <v>16329.54</v>
      </c>
      <c r="P23" s="5" t="str">
        <f>VLOOKUP($F23,DDE!$A:$AJ,P$1,FALSE)</f>
        <v xml:space="preserve"> -</v>
      </c>
      <c r="Q23" s="5" t="str">
        <f>VLOOKUP($F23,DDE!$A:$AJ,Q$1,FALSE)</f>
        <v xml:space="preserve"> -</v>
      </c>
      <c r="R23" s="5">
        <f t="shared" si="0"/>
        <v>16443.399999999998</v>
      </c>
      <c r="S23" s="5">
        <f>VLOOKUP(D23,cmoney!$A:$M,12,FALSE)</f>
        <v>24.45</v>
      </c>
      <c r="U23" s="5" t="str">
        <f t="shared" si="16"/>
        <v/>
      </c>
      <c r="V23" s="5" t="str">
        <f t="shared" si="17"/>
        <v>1312</v>
      </c>
      <c r="W23" s="5" t="str">
        <f t="shared" si="18"/>
        <v>國喬</v>
      </c>
      <c r="X23" s="5" t="str">
        <f t="shared" si="19"/>
        <v>EEF</v>
      </c>
      <c r="Y23" s="49">
        <f>VLOOKUP($X23,股期名單!$L:$M,2,FALSE)</f>
        <v>2000</v>
      </c>
      <c r="Z23" s="5" t="str">
        <f t="shared" si="20"/>
        <v>EEFC1</v>
      </c>
      <c r="AA23" s="7">
        <f t="shared" si="21"/>
        <v>-0.76728016359918205</v>
      </c>
      <c r="AB23" s="5">
        <f>VLOOKUP($F23,DDE!$A:$AJ,AB$1,FALSE)</f>
        <v>-18.760000000000002</v>
      </c>
      <c r="AC23" s="5">
        <f>VLOOKUP($F23,DDE!$A:$AJ,AC$1,FALSE)</f>
        <v>16424.64</v>
      </c>
      <c r="AD23" s="5" t="str">
        <f>VLOOKUP($F23,DDE!$A:$AJ,AD$1,FALSE)</f>
        <v xml:space="preserve"> -</v>
      </c>
      <c r="AE23" s="5" t="str">
        <f>VLOOKUP($F23,DDE!$A:$AJ,AE$1,FALSE)</f>
        <v xml:space="preserve"> -</v>
      </c>
      <c r="AF23" s="5">
        <f>VLOOKUP($F23,DDE!$A:$AJ,AF$1,FALSE)</f>
        <v>4020107</v>
      </c>
      <c r="AG23" s="5">
        <f>VLOOKUP($F23,DDE!$A:$AJ,AG$1,FALSE)</f>
        <v>16329.54</v>
      </c>
      <c r="AH23" s="5">
        <f>VLOOKUP($F23,DDE!$A:$AJ,AH$1,FALSE)</f>
        <v>16456.939999999999</v>
      </c>
      <c r="AI23" s="5">
        <f>VLOOKUP($F23,DDE!$A:$AJ,AI$1,FALSE)</f>
        <v>16329.54</v>
      </c>
      <c r="AJ23" s="5" t="str">
        <f>VLOOKUP($F23,DDE!$A:$AJ,AJ$1,FALSE)</f>
        <v xml:space="preserve"> -</v>
      </c>
      <c r="AK23" s="5" t="str">
        <f>VLOOKUP($F23,DDE!$A:$AJ,AK$1,FALSE)</f>
        <v xml:space="preserve"> -</v>
      </c>
      <c r="AL23" s="5">
        <f t="shared" si="22"/>
        <v>16443.399999999998</v>
      </c>
      <c r="AM23" s="5">
        <f>VLOOKUP(X23,cmoney!$A:$M,12,FALSE)</f>
        <v>24.45</v>
      </c>
    </row>
    <row r="24" spans="1:39" x14ac:dyDescent="0.25">
      <c r="A24" s="5" t="str">
        <f t="shared" si="14"/>
        <v/>
      </c>
      <c r="B24" s="5" t="s">
        <v>678</v>
      </c>
      <c r="C24" s="5" t="s">
        <v>179</v>
      </c>
      <c r="D24" s="5" t="s">
        <v>896</v>
      </c>
      <c r="E24" s="5">
        <f>VLOOKUP($D24,股期名單!$L:$M,2,FALSE)</f>
        <v>2000</v>
      </c>
      <c r="F24" s="5" t="str">
        <f t="shared" si="3"/>
        <v>EGFB1</v>
      </c>
      <c r="G24" s="7">
        <f t="shared" si="15"/>
        <v>-1.3031674208144797</v>
      </c>
      <c r="H24" s="5">
        <f>VLOOKUP($F24,DDE!$A:$AJ,H$1,FALSE)</f>
        <v>-14.4</v>
      </c>
      <c r="I24" s="5">
        <f>VLOOKUP($F24,DDE!$A:$AJ,I$1,FALSE)</f>
        <v>16429</v>
      </c>
      <c r="J24" s="5" t="str">
        <f>VLOOKUP($F24,DDE!$A:$AJ,J$1,FALSE)</f>
        <v xml:space="preserve"> -</v>
      </c>
      <c r="K24" s="5" t="str">
        <f>VLOOKUP($F24,DDE!$A:$AJ,K$1,FALSE)</f>
        <v xml:space="preserve"> -</v>
      </c>
      <c r="L24" s="5">
        <f>VLOOKUP($F24,DDE!$A:$AJ,L$1,FALSE)</f>
        <v>4015112</v>
      </c>
      <c r="M24" s="5">
        <f>VLOOKUP($F24,DDE!$A:$AJ,M$1,FALSE)</f>
        <v>16329.54</v>
      </c>
      <c r="N24" s="5">
        <f>VLOOKUP($F24,DDE!$A:$AJ,N$1,FALSE)</f>
        <v>16456.939999999999</v>
      </c>
      <c r="O24" s="5">
        <f>VLOOKUP($F24,DDE!$A:$AJ,O$1,FALSE)</f>
        <v>16329.54</v>
      </c>
      <c r="P24" s="5" t="str">
        <f>VLOOKUP($F24,DDE!$A:$AJ,P$1,FALSE)</f>
        <v xml:space="preserve"> -</v>
      </c>
      <c r="Q24" s="5" t="str">
        <f>VLOOKUP($F24,DDE!$A:$AJ,Q$1,FALSE)</f>
        <v xml:space="preserve"> -</v>
      </c>
      <c r="R24" s="5">
        <f t="shared" si="0"/>
        <v>16443.400000000001</v>
      </c>
      <c r="S24" s="5">
        <f>VLOOKUP(D24,cmoney!$A:$M,12,FALSE)</f>
        <v>11.05</v>
      </c>
      <c r="U24" s="5" t="str">
        <f t="shared" si="16"/>
        <v/>
      </c>
      <c r="V24" s="5" t="str">
        <f t="shared" si="17"/>
        <v>1314</v>
      </c>
      <c r="W24" s="5" t="str">
        <f t="shared" si="18"/>
        <v>中石化</v>
      </c>
      <c r="X24" s="5" t="str">
        <f t="shared" si="19"/>
        <v>EGF</v>
      </c>
      <c r="Y24" s="49">
        <f>VLOOKUP($X24,股期名單!$L:$M,2,FALSE)</f>
        <v>2000</v>
      </c>
      <c r="Z24" s="5" t="str">
        <f t="shared" si="20"/>
        <v>EGFC1</v>
      </c>
      <c r="AA24" s="7">
        <f t="shared" si="21"/>
        <v>-1.3031674208144797</v>
      </c>
      <c r="AB24" s="5">
        <f>VLOOKUP($F24,DDE!$A:$AJ,AB$1,FALSE)</f>
        <v>-14.4</v>
      </c>
      <c r="AC24" s="5">
        <f>VLOOKUP($F24,DDE!$A:$AJ,AC$1,FALSE)</f>
        <v>16429</v>
      </c>
      <c r="AD24" s="5" t="str">
        <f>VLOOKUP($F24,DDE!$A:$AJ,AD$1,FALSE)</f>
        <v xml:space="preserve"> -</v>
      </c>
      <c r="AE24" s="5" t="str">
        <f>VLOOKUP($F24,DDE!$A:$AJ,AE$1,FALSE)</f>
        <v xml:space="preserve"> -</v>
      </c>
      <c r="AF24" s="5">
        <f>VLOOKUP($F24,DDE!$A:$AJ,AF$1,FALSE)</f>
        <v>4015112</v>
      </c>
      <c r="AG24" s="5">
        <f>VLOOKUP($F24,DDE!$A:$AJ,AG$1,FALSE)</f>
        <v>16329.54</v>
      </c>
      <c r="AH24" s="5">
        <f>VLOOKUP($F24,DDE!$A:$AJ,AH$1,FALSE)</f>
        <v>16456.939999999999</v>
      </c>
      <c r="AI24" s="5">
        <f>VLOOKUP($F24,DDE!$A:$AJ,AI$1,FALSE)</f>
        <v>16329.54</v>
      </c>
      <c r="AJ24" s="5" t="str">
        <f>VLOOKUP($F24,DDE!$A:$AJ,AJ$1,FALSE)</f>
        <v xml:space="preserve"> -</v>
      </c>
      <c r="AK24" s="5" t="str">
        <f>VLOOKUP($F24,DDE!$A:$AJ,AK$1,FALSE)</f>
        <v xml:space="preserve"> -</v>
      </c>
      <c r="AL24" s="5">
        <f t="shared" si="22"/>
        <v>16443.400000000001</v>
      </c>
      <c r="AM24" s="5">
        <f>VLOOKUP(X24,cmoney!$A:$M,12,FALSE)</f>
        <v>11.05</v>
      </c>
    </row>
    <row r="25" spans="1:39" x14ac:dyDescent="0.25">
      <c r="A25" s="5" t="str">
        <f t="shared" si="14"/>
        <v/>
      </c>
      <c r="B25" s="5" t="s">
        <v>679</v>
      </c>
      <c r="C25" s="5" t="s">
        <v>182</v>
      </c>
      <c r="D25" s="5" t="s">
        <v>897</v>
      </c>
      <c r="E25" s="5">
        <f>VLOOKUP($D25,股期名單!$L:$M,2,FALSE)</f>
        <v>2000</v>
      </c>
      <c r="F25" s="5" t="str">
        <f t="shared" si="3"/>
        <v>EHFB1</v>
      </c>
      <c r="G25" s="7">
        <f t="shared" si="15"/>
        <v>0.38423913043478264</v>
      </c>
      <c r="H25" s="5">
        <f>VLOOKUP($F25,DDE!$A:$AJ,H$1,FALSE)</f>
        <v>14.14</v>
      </c>
      <c r="I25" s="5">
        <f>VLOOKUP($F25,DDE!$A:$AJ,I$1,FALSE)</f>
        <v>13900.72</v>
      </c>
      <c r="J25" s="5" t="str">
        <f>VLOOKUP($F25,DDE!$A:$AJ,J$1,FALSE)</f>
        <v xml:space="preserve"> -</v>
      </c>
      <c r="K25" s="5" t="str">
        <f>VLOOKUP($F25,DDE!$A:$AJ,K$1,FALSE)</f>
        <v xml:space="preserve"> -</v>
      </c>
      <c r="L25" s="5">
        <f>VLOOKUP($F25,DDE!$A:$AJ,L$1,FALSE)</f>
        <v>873827</v>
      </c>
      <c r="M25" s="5">
        <f>VLOOKUP($F25,DDE!$A:$AJ,M$1,FALSE)</f>
        <v>13893.03</v>
      </c>
      <c r="N25" s="5">
        <f>VLOOKUP($F25,DDE!$A:$AJ,N$1,FALSE)</f>
        <v>13945.78</v>
      </c>
      <c r="O25" s="5">
        <f>VLOOKUP($F25,DDE!$A:$AJ,O$1,FALSE)</f>
        <v>13875.82</v>
      </c>
      <c r="P25" s="5" t="str">
        <f>VLOOKUP($F25,DDE!$A:$AJ,P$1,FALSE)</f>
        <v xml:space="preserve"> -</v>
      </c>
      <c r="Q25" s="5" t="str">
        <f>VLOOKUP($F25,DDE!$A:$AJ,Q$1,FALSE)</f>
        <v xml:space="preserve"> -</v>
      </c>
      <c r="R25" s="5">
        <f t="shared" si="0"/>
        <v>13886.58</v>
      </c>
      <c r="S25" s="5">
        <f>VLOOKUP(D25,cmoney!$A:$M,12,FALSE)</f>
        <v>36.799999999999997</v>
      </c>
      <c r="U25" s="5" t="str">
        <f t="shared" si="16"/>
        <v/>
      </c>
      <c r="V25" s="5" t="str">
        <f t="shared" si="17"/>
        <v>1319</v>
      </c>
      <c r="W25" s="5" t="str">
        <f t="shared" si="18"/>
        <v>東陽</v>
      </c>
      <c r="X25" s="5" t="str">
        <f t="shared" si="19"/>
        <v>EHF</v>
      </c>
      <c r="Y25" s="49">
        <f>VLOOKUP($X25,股期名單!$L:$M,2,FALSE)</f>
        <v>2000</v>
      </c>
      <c r="Z25" s="5" t="str">
        <f t="shared" si="20"/>
        <v>EHFC1</v>
      </c>
      <c r="AA25" s="7">
        <f t="shared" si="21"/>
        <v>0.38423913043478264</v>
      </c>
      <c r="AB25" s="5">
        <f>VLOOKUP($F25,DDE!$A:$AJ,AB$1,FALSE)</f>
        <v>14.14</v>
      </c>
      <c r="AC25" s="5">
        <f>VLOOKUP($F25,DDE!$A:$AJ,AC$1,FALSE)</f>
        <v>13900.72</v>
      </c>
      <c r="AD25" s="5" t="str">
        <f>VLOOKUP($F25,DDE!$A:$AJ,AD$1,FALSE)</f>
        <v xml:space="preserve"> -</v>
      </c>
      <c r="AE25" s="5" t="str">
        <f>VLOOKUP($F25,DDE!$A:$AJ,AE$1,FALSE)</f>
        <v xml:space="preserve"> -</v>
      </c>
      <c r="AF25" s="5">
        <f>VLOOKUP($F25,DDE!$A:$AJ,AF$1,FALSE)</f>
        <v>873827</v>
      </c>
      <c r="AG25" s="5">
        <f>VLOOKUP($F25,DDE!$A:$AJ,AG$1,FALSE)</f>
        <v>13893.03</v>
      </c>
      <c r="AH25" s="5">
        <f>VLOOKUP($F25,DDE!$A:$AJ,AH$1,FALSE)</f>
        <v>13945.78</v>
      </c>
      <c r="AI25" s="5">
        <f>VLOOKUP($F25,DDE!$A:$AJ,AI$1,FALSE)</f>
        <v>13875.82</v>
      </c>
      <c r="AJ25" s="5" t="str">
        <f>VLOOKUP($F25,DDE!$A:$AJ,AJ$1,FALSE)</f>
        <v xml:space="preserve"> -</v>
      </c>
      <c r="AK25" s="5" t="str">
        <f>VLOOKUP($F25,DDE!$A:$AJ,AK$1,FALSE)</f>
        <v xml:space="preserve"> -</v>
      </c>
      <c r="AL25" s="5">
        <f t="shared" si="22"/>
        <v>13886.58</v>
      </c>
      <c r="AM25" s="5">
        <f>VLOOKUP(X25,cmoney!$A:$M,12,FALSE)</f>
        <v>36.799999999999997</v>
      </c>
    </row>
    <row r="26" spans="1:39" x14ac:dyDescent="0.25">
      <c r="A26" s="5" t="str">
        <f t="shared" si="14"/>
        <v/>
      </c>
      <c r="B26" s="5" t="s">
        <v>661</v>
      </c>
      <c r="C26" s="5" t="s">
        <v>128</v>
      </c>
      <c r="D26" s="5" t="s">
        <v>898</v>
      </c>
      <c r="E26" s="5">
        <f>VLOOKUP($D26,股期名單!$L:$M,2,FALSE)</f>
        <v>2000</v>
      </c>
      <c r="F26" s="5" t="str">
        <f t="shared" si="3"/>
        <v>DGFB1</v>
      </c>
      <c r="G26" s="7">
        <f t="shared" si="15"/>
        <v>-0.25414235705950994</v>
      </c>
      <c r="H26" s="5">
        <f>VLOOKUP($F26,DDE!$A:$AJ,H$1,FALSE)</f>
        <v>-21.78</v>
      </c>
      <c r="I26" s="5">
        <f>VLOOKUP($F26,DDE!$A:$AJ,I$1,FALSE)</f>
        <v>16421.62</v>
      </c>
      <c r="J26" s="5" t="str">
        <f>VLOOKUP($F26,DDE!$A:$AJ,J$1,FALSE)</f>
        <v xml:space="preserve"> -</v>
      </c>
      <c r="K26" s="5" t="str">
        <f>VLOOKUP($F26,DDE!$A:$AJ,K$1,FALSE)</f>
        <v xml:space="preserve"> -</v>
      </c>
      <c r="L26" s="5">
        <f>VLOOKUP($F26,DDE!$A:$AJ,L$1,FALSE)</f>
        <v>4027056</v>
      </c>
      <c r="M26" s="5">
        <f>VLOOKUP($F26,DDE!$A:$AJ,M$1,FALSE)</f>
        <v>16329.54</v>
      </c>
      <c r="N26" s="5">
        <f>VLOOKUP($F26,DDE!$A:$AJ,N$1,FALSE)</f>
        <v>16456.939999999999</v>
      </c>
      <c r="O26" s="5">
        <f>VLOOKUP($F26,DDE!$A:$AJ,O$1,FALSE)</f>
        <v>16329.54</v>
      </c>
      <c r="P26" s="5" t="str">
        <f>VLOOKUP($F26,DDE!$A:$AJ,P$1,FALSE)</f>
        <v xml:space="preserve"> -</v>
      </c>
      <c r="Q26" s="5" t="str">
        <f>VLOOKUP($F26,DDE!$A:$AJ,Q$1,FALSE)</f>
        <v xml:space="preserve"> -</v>
      </c>
      <c r="R26" s="5">
        <f t="shared" si="0"/>
        <v>16443.399999999998</v>
      </c>
      <c r="S26" s="5">
        <f>VLOOKUP(D26,cmoney!$A:$M,12,FALSE)</f>
        <v>85.7</v>
      </c>
      <c r="U26" s="5" t="str">
        <f t="shared" si="16"/>
        <v/>
      </c>
      <c r="V26" s="5" t="str">
        <f t="shared" si="17"/>
        <v>1326</v>
      </c>
      <c r="W26" s="5" t="str">
        <f t="shared" si="18"/>
        <v>台化</v>
      </c>
      <c r="X26" s="5" t="str">
        <f t="shared" si="19"/>
        <v>DGF</v>
      </c>
      <c r="Y26" s="49">
        <f>VLOOKUP($X26,股期名單!$L:$M,2,FALSE)</f>
        <v>2000</v>
      </c>
      <c r="Z26" s="5" t="str">
        <f t="shared" si="20"/>
        <v>DGFC1</v>
      </c>
      <c r="AA26" s="7">
        <f t="shared" si="21"/>
        <v>-0.25414235705950994</v>
      </c>
      <c r="AB26" s="5">
        <f>VLOOKUP($F26,DDE!$A:$AJ,AB$1,FALSE)</f>
        <v>-21.78</v>
      </c>
      <c r="AC26" s="5">
        <f>VLOOKUP($F26,DDE!$A:$AJ,AC$1,FALSE)</f>
        <v>16421.62</v>
      </c>
      <c r="AD26" s="5" t="str">
        <f>VLOOKUP($F26,DDE!$A:$AJ,AD$1,FALSE)</f>
        <v xml:space="preserve"> -</v>
      </c>
      <c r="AE26" s="5" t="str">
        <f>VLOOKUP($F26,DDE!$A:$AJ,AE$1,FALSE)</f>
        <v xml:space="preserve"> -</v>
      </c>
      <c r="AF26" s="5">
        <f>VLOOKUP($F26,DDE!$A:$AJ,AF$1,FALSE)</f>
        <v>4027056</v>
      </c>
      <c r="AG26" s="5">
        <f>VLOOKUP($F26,DDE!$A:$AJ,AG$1,FALSE)</f>
        <v>16329.54</v>
      </c>
      <c r="AH26" s="5">
        <f>VLOOKUP($F26,DDE!$A:$AJ,AH$1,FALSE)</f>
        <v>16456.939999999999</v>
      </c>
      <c r="AI26" s="5">
        <f>VLOOKUP($F26,DDE!$A:$AJ,AI$1,FALSE)</f>
        <v>16329.54</v>
      </c>
      <c r="AJ26" s="5" t="str">
        <f>VLOOKUP($F26,DDE!$A:$AJ,AJ$1,FALSE)</f>
        <v xml:space="preserve"> -</v>
      </c>
      <c r="AK26" s="5" t="str">
        <f>VLOOKUP($F26,DDE!$A:$AJ,AK$1,FALSE)</f>
        <v xml:space="preserve"> -</v>
      </c>
      <c r="AL26" s="5">
        <f t="shared" si="22"/>
        <v>16443.399999999998</v>
      </c>
      <c r="AM26" s="5">
        <f>VLOOKUP(X26,cmoney!$A:$M,12,FALSE)</f>
        <v>85.7</v>
      </c>
    </row>
    <row r="27" spans="1:39" x14ac:dyDescent="0.25">
      <c r="A27" s="5" t="str">
        <f t="shared" si="14"/>
        <v/>
      </c>
      <c r="B27" s="5" t="s">
        <v>650</v>
      </c>
      <c r="C27" s="5" t="s">
        <v>95</v>
      </c>
      <c r="D27" s="5" t="s">
        <v>899</v>
      </c>
      <c r="E27" s="5">
        <f>VLOOKUP($D27,股期名單!$L:$M,2,FALSE)</f>
        <v>2000</v>
      </c>
      <c r="F27" s="5" t="str">
        <f t="shared" si="3"/>
        <v>CRFB1</v>
      </c>
      <c r="G27" s="7">
        <f t="shared" si="15"/>
        <v>-0.66761565836298931</v>
      </c>
      <c r="H27" s="5">
        <f>VLOOKUP($F27,DDE!$A:$AJ,H$1,FALSE)</f>
        <v>-18.760000000000002</v>
      </c>
      <c r="I27" s="5">
        <f>VLOOKUP($F27,DDE!$A:$AJ,I$1,FALSE)</f>
        <v>16424.64</v>
      </c>
      <c r="J27" s="5" t="str">
        <f>VLOOKUP($F27,DDE!$A:$AJ,J$1,FALSE)</f>
        <v xml:space="preserve"> -</v>
      </c>
      <c r="K27" s="5" t="str">
        <f>VLOOKUP($F27,DDE!$A:$AJ,K$1,FALSE)</f>
        <v xml:space="preserve"> -</v>
      </c>
      <c r="L27" s="5">
        <f>VLOOKUP($F27,DDE!$A:$AJ,L$1,FALSE)</f>
        <v>4020107</v>
      </c>
      <c r="M27" s="5">
        <f>VLOOKUP($F27,DDE!$A:$AJ,M$1,FALSE)</f>
        <v>16329.54</v>
      </c>
      <c r="N27" s="5">
        <f>VLOOKUP($F27,DDE!$A:$AJ,N$1,FALSE)</f>
        <v>16456.939999999999</v>
      </c>
      <c r="O27" s="5">
        <f>VLOOKUP($F27,DDE!$A:$AJ,O$1,FALSE)</f>
        <v>16329.54</v>
      </c>
      <c r="P27" s="5" t="str">
        <f>VLOOKUP($F27,DDE!$A:$AJ,P$1,FALSE)</f>
        <v xml:space="preserve"> -</v>
      </c>
      <c r="Q27" s="5" t="str">
        <f>VLOOKUP($F27,DDE!$A:$AJ,Q$1,FALSE)</f>
        <v xml:space="preserve"> -</v>
      </c>
      <c r="R27" s="5">
        <f t="shared" si="0"/>
        <v>16443.399999999998</v>
      </c>
      <c r="S27" s="5">
        <f>VLOOKUP(D27,cmoney!$A:$M,12,FALSE)</f>
        <v>28.1</v>
      </c>
      <c r="U27" s="5" t="str">
        <f t="shared" si="16"/>
        <v/>
      </c>
      <c r="V27" s="5" t="str">
        <f t="shared" si="17"/>
        <v>1402</v>
      </c>
      <c r="W27" s="5" t="str">
        <f t="shared" si="18"/>
        <v>遠東新</v>
      </c>
      <c r="X27" s="5" t="str">
        <f t="shared" si="19"/>
        <v>CRF</v>
      </c>
      <c r="Y27" s="49">
        <f>VLOOKUP($X27,股期名單!$L:$M,2,FALSE)</f>
        <v>2000</v>
      </c>
      <c r="Z27" s="5" t="str">
        <f t="shared" si="20"/>
        <v>CRFC1</v>
      </c>
      <c r="AA27" s="7">
        <f t="shared" si="21"/>
        <v>-0.66761565836298931</v>
      </c>
      <c r="AB27" s="5">
        <f>VLOOKUP($F27,DDE!$A:$AJ,AB$1,FALSE)</f>
        <v>-18.760000000000002</v>
      </c>
      <c r="AC27" s="5">
        <f>VLOOKUP($F27,DDE!$A:$AJ,AC$1,FALSE)</f>
        <v>16424.64</v>
      </c>
      <c r="AD27" s="5" t="str">
        <f>VLOOKUP($F27,DDE!$A:$AJ,AD$1,FALSE)</f>
        <v xml:space="preserve"> -</v>
      </c>
      <c r="AE27" s="5" t="str">
        <f>VLOOKUP($F27,DDE!$A:$AJ,AE$1,FALSE)</f>
        <v xml:space="preserve"> -</v>
      </c>
      <c r="AF27" s="5">
        <f>VLOOKUP($F27,DDE!$A:$AJ,AF$1,FALSE)</f>
        <v>4020107</v>
      </c>
      <c r="AG27" s="5">
        <f>VLOOKUP($F27,DDE!$A:$AJ,AG$1,FALSE)</f>
        <v>16329.54</v>
      </c>
      <c r="AH27" s="5">
        <f>VLOOKUP($F27,DDE!$A:$AJ,AH$1,FALSE)</f>
        <v>16456.939999999999</v>
      </c>
      <c r="AI27" s="5">
        <f>VLOOKUP($F27,DDE!$A:$AJ,AI$1,FALSE)</f>
        <v>16329.54</v>
      </c>
      <c r="AJ27" s="5" t="str">
        <f>VLOOKUP($F27,DDE!$A:$AJ,AJ$1,FALSE)</f>
        <v xml:space="preserve"> -</v>
      </c>
      <c r="AK27" s="5" t="str">
        <f>VLOOKUP($F27,DDE!$A:$AJ,AK$1,FALSE)</f>
        <v xml:space="preserve"> -</v>
      </c>
      <c r="AL27" s="5">
        <f t="shared" si="22"/>
        <v>16443.399999999998</v>
      </c>
      <c r="AM27" s="5">
        <f>VLOOKUP(X27,cmoney!$A:$M,12,FALSE)</f>
        <v>28.1</v>
      </c>
    </row>
    <row r="28" spans="1:39" x14ac:dyDescent="0.25">
      <c r="A28" s="5" t="str">
        <f t="shared" si="14"/>
        <v/>
      </c>
      <c r="B28" s="5" t="s">
        <v>762</v>
      </c>
      <c r="C28" s="5" t="s">
        <v>431</v>
      </c>
      <c r="D28" s="5" t="s">
        <v>900</v>
      </c>
      <c r="E28" s="5">
        <f>VLOOKUP($D28,股期名單!$L:$M,2,FALSE)</f>
        <v>2000</v>
      </c>
      <c r="F28" s="5" t="str">
        <f t="shared" si="3"/>
        <v>LWFB1</v>
      </c>
      <c r="G28" s="7">
        <f t="shared" si="15"/>
        <v>1.494903737259343E-2</v>
      </c>
      <c r="H28" s="5">
        <f>VLOOKUP($F28,DDE!$A:$AJ,H$1,FALSE)</f>
        <v>6.6</v>
      </c>
      <c r="I28" s="5">
        <f>VLOOKUP($F28,DDE!$A:$AJ,I$1,FALSE)</f>
        <v>13893.18</v>
      </c>
      <c r="J28" s="5" t="str">
        <f>VLOOKUP($F28,DDE!$A:$AJ,J$1,FALSE)</f>
        <v xml:space="preserve"> -</v>
      </c>
      <c r="K28" s="5" t="str">
        <f>VLOOKUP($F28,DDE!$A:$AJ,K$1,FALSE)</f>
        <v xml:space="preserve"> -</v>
      </c>
      <c r="L28" s="5">
        <f>VLOOKUP($F28,DDE!$A:$AJ,L$1,FALSE)</f>
        <v>872505</v>
      </c>
      <c r="M28" s="5">
        <f>VLOOKUP($F28,DDE!$A:$AJ,M$1,FALSE)</f>
        <v>13893.03</v>
      </c>
      <c r="N28" s="5">
        <f>VLOOKUP($F28,DDE!$A:$AJ,N$1,FALSE)</f>
        <v>13945.78</v>
      </c>
      <c r="O28" s="5">
        <f>VLOOKUP($F28,DDE!$A:$AJ,O$1,FALSE)</f>
        <v>13875.82</v>
      </c>
      <c r="P28" s="5" t="str">
        <f>VLOOKUP($F28,DDE!$A:$AJ,P$1,FALSE)</f>
        <v xml:space="preserve"> -</v>
      </c>
      <c r="Q28" s="5" t="str">
        <f>VLOOKUP($F28,DDE!$A:$AJ,Q$1,FALSE)</f>
        <v xml:space="preserve"> -</v>
      </c>
      <c r="R28" s="5">
        <f t="shared" si="0"/>
        <v>13886.58</v>
      </c>
      <c r="S28" s="5">
        <f>VLOOKUP(D28,cmoney!$A:$M,12,FALSE)</f>
        <v>441.5</v>
      </c>
      <c r="U28" s="5" t="str">
        <f t="shared" si="16"/>
        <v/>
      </c>
      <c r="V28" s="5" t="str">
        <f t="shared" si="17"/>
        <v>1476</v>
      </c>
      <c r="W28" s="5" t="str">
        <f t="shared" si="18"/>
        <v>儒鴻</v>
      </c>
      <c r="X28" s="5" t="str">
        <f t="shared" si="19"/>
        <v>LWF</v>
      </c>
      <c r="Y28" s="49">
        <f>VLOOKUP($X28,股期名單!$L:$M,2,FALSE)</f>
        <v>2000</v>
      </c>
      <c r="Z28" s="5" t="str">
        <f t="shared" si="20"/>
        <v>LWFC1</v>
      </c>
      <c r="AA28" s="7">
        <f t="shared" si="21"/>
        <v>1.494903737259343E-2</v>
      </c>
      <c r="AB28" s="5">
        <f>VLOOKUP($F28,DDE!$A:$AJ,AB$1,FALSE)</f>
        <v>6.6</v>
      </c>
      <c r="AC28" s="5">
        <f>VLOOKUP($F28,DDE!$A:$AJ,AC$1,FALSE)</f>
        <v>13893.18</v>
      </c>
      <c r="AD28" s="5" t="str">
        <f>VLOOKUP($F28,DDE!$A:$AJ,AD$1,FALSE)</f>
        <v xml:space="preserve"> -</v>
      </c>
      <c r="AE28" s="5" t="str">
        <f>VLOOKUP($F28,DDE!$A:$AJ,AE$1,FALSE)</f>
        <v xml:space="preserve"> -</v>
      </c>
      <c r="AF28" s="5">
        <f>VLOOKUP($F28,DDE!$A:$AJ,AF$1,FALSE)</f>
        <v>872505</v>
      </c>
      <c r="AG28" s="5">
        <f>VLOOKUP($F28,DDE!$A:$AJ,AG$1,FALSE)</f>
        <v>13893.03</v>
      </c>
      <c r="AH28" s="5">
        <f>VLOOKUP($F28,DDE!$A:$AJ,AH$1,FALSE)</f>
        <v>13945.78</v>
      </c>
      <c r="AI28" s="5">
        <f>VLOOKUP($F28,DDE!$A:$AJ,AI$1,FALSE)</f>
        <v>13875.82</v>
      </c>
      <c r="AJ28" s="5" t="str">
        <f>VLOOKUP($F28,DDE!$A:$AJ,AJ$1,FALSE)</f>
        <v xml:space="preserve"> -</v>
      </c>
      <c r="AK28" s="5" t="str">
        <f>VLOOKUP($F28,DDE!$A:$AJ,AK$1,FALSE)</f>
        <v xml:space="preserve"> -</v>
      </c>
      <c r="AL28" s="5">
        <f t="shared" si="22"/>
        <v>13886.58</v>
      </c>
      <c r="AM28" s="5">
        <f>VLOOKUP(X28,cmoney!$A:$M,12,FALSE)</f>
        <v>441.5</v>
      </c>
    </row>
    <row r="29" spans="1:39" x14ac:dyDescent="0.25">
      <c r="A29" s="5" t="str">
        <f t="shared" si="14"/>
        <v/>
      </c>
      <c r="B29" s="5" t="s">
        <v>749</v>
      </c>
      <c r="C29" s="5" t="s">
        <v>392</v>
      </c>
      <c r="D29" s="5" t="s">
        <v>901</v>
      </c>
      <c r="E29" s="5">
        <f>VLOOKUP($D29,股期名單!$L:$M,2,FALSE)</f>
        <v>2000</v>
      </c>
      <c r="F29" s="5" t="str">
        <f t="shared" si="3"/>
        <v>KSFB1</v>
      </c>
      <c r="G29" s="7">
        <f t="shared" si="15"/>
        <v>-9.9952038369304552E-2</v>
      </c>
      <c r="H29" s="5">
        <f>VLOOKUP($F29,DDE!$A:$AJ,H$1,FALSE)</f>
        <v>-20.84</v>
      </c>
      <c r="I29" s="5">
        <f>VLOOKUP($F29,DDE!$A:$AJ,I$1,FALSE)</f>
        <v>16422.560000000001</v>
      </c>
      <c r="J29" s="5" t="str">
        <f>VLOOKUP($F29,DDE!$A:$AJ,J$1,FALSE)</f>
        <v xml:space="preserve"> -</v>
      </c>
      <c r="K29" s="5" t="str">
        <f>VLOOKUP($F29,DDE!$A:$AJ,K$1,FALSE)</f>
        <v xml:space="preserve"> -</v>
      </c>
      <c r="L29" s="5">
        <f>VLOOKUP($F29,DDE!$A:$AJ,L$1,FALSE)</f>
        <v>4024617</v>
      </c>
      <c r="M29" s="5">
        <f>VLOOKUP($F29,DDE!$A:$AJ,M$1,FALSE)</f>
        <v>16329.54</v>
      </c>
      <c r="N29" s="5">
        <f>VLOOKUP($F29,DDE!$A:$AJ,N$1,FALSE)</f>
        <v>16456.939999999999</v>
      </c>
      <c r="O29" s="5">
        <f>VLOOKUP($F29,DDE!$A:$AJ,O$1,FALSE)</f>
        <v>16329.54</v>
      </c>
      <c r="P29" s="5" t="str">
        <f>VLOOKUP($F29,DDE!$A:$AJ,P$1,FALSE)</f>
        <v xml:space="preserve"> -</v>
      </c>
      <c r="Q29" s="5" t="str">
        <f>VLOOKUP($F29,DDE!$A:$AJ,Q$1,FALSE)</f>
        <v xml:space="preserve"> -</v>
      </c>
      <c r="R29" s="5">
        <f t="shared" si="0"/>
        <v>16443.400000000001</v>
      </c>
      <c r="S29" s="5">
        <f>VLOOKUP(D29,cmoney!$A:$M,12,FALSE)</f>
        <v>208.5</v>
      </c>
      <c r="U29" s="5" t="str">
        <f t="shared" si="16"/>
        <v/>
      </c>
      <c r="V29" s="5" t="str">
        <f t="shared" si="17"/>
        <v>1477</v>
      </c>
      <c r="W29" s="5" t="str">
        <f t="shared" si="18"/>
        <v>聚陽</v>
      </c>
      <c r="X29" s="5" t="str">
        <f t="shared" si="19"/>
        <v>KSF</v>
      </c>
      <c r="Y29" s="49">
        <f>VLOOKUP($X29,股期名單!$L:$M,2,FALSE)</f>
        <v>2000</v>
      </c>
      <c r="Z29" s="5" t="str">
        <f t="shared" si="20"/>
        <v>KSFC1</v>
      </c>
      <c r="AA29" s="7">
        <f t="shared" si="21"/>
        <v>-9.9952038369304552E-2</v>
      </c>
      <c r="AB29" s="5">
        <f>VLOOKUP($F29,DDE!$A:$AJ,AB$1,FALSE)</f>
        <v>-20.84</v>
      </c>
      <c r="AC29" s="5">
        <f>VLOOKUP($F29,DDE!$A:$AJ,AC$1,FALSE)</f>
        <v>16422.560000000001</v>
      </c>
      <c r="AD29" s="5" t="str">
        <f>VLOOKUP($F29,DDE!$A:$AJ,AD$1,FALSE)</f>
        <v xml:space="preserve"> -</v>
      </c>
      <c r="AE29" s="5" t="str">
        <f>VLOOKUP($F29,DDE!$A:$AJ,AE$1,FALSE)</f>
        <v xml:space="preserve"> -</v>
      </c>
      <c r="AF29" s="5">
        <f>VLOOKUP($F29,DDE!$A:$AJ,AF$1,FALSE)</f>
        <v>4024617</v>
      </c>
      <c r="AG29" s="5">
        <f>VLOOKUP($F29,DDE!$A:$AJ,AG$1,FALSE)</f>
        <v>16329.54</v>
      </c>
      <c r="AH29" s="5">
        <f>VLOOKUP($F29,DDE!$A:$AJ,AH$1,FALSE)</f>
        <v>16456.939999999999</v>
      </c>
      <c r="AI29" s="5">
        <f>VLOOKUP($F29,DDE!$A:$AJ,AI$1,FALSE)</f>
        <v>16329.54</v>
      </c>
      <c r="AJ29" s="5" t="str">
        <f>VLOOKUP($F29,DDE!$A:$AJ,AJ$1,FALSE)</f>
        <v xml:space="preserve"> -</v>
      </c>
      <c r="AK29" s="5" t="str">
        <f>VLOOKUP($F29,DDE!$A:$AJ,AK$1,FALSE)</f>
        <v xml:space="preserve"> -</v>
      </c>
      <c r="AL29" s="5">
        <f t="shared" si="22"/>
        <v>16443.400000000001</v>
      </c>
      <c r="AM29" s="5">
        <f>VLOOKUP(X29,cmoney!$A:$M,12,FALSE)</f>
        <v>208.5</v>
      </c>
    </row>
    <row r="30" spans="1:39" x14ac:dyDescent="0.25">
      <c r="A30" s="5" t="str">
        <f t="shared" si="14"/>
        <v/>
      </c>
      <c r="B30" s="5" t="s">
        <v>680</v>
      </c>
      <c r="C30" s="5" t="s">
        <v>185</v>
      </c>
      <c r="D30" s="5" t="s">
        <v>902</v>
      </c>
      <c r="E30" s="5">
        <f>VLOOKUP($D30,股期名單!$L:$M,2,FALSE)</f>
        <v>2000</v>
      </c>
      <c r="F30" s="5" t="str">
        <f t="shared" si="3"/>
        <v>EMFB1</v>
      </c>
      <c r="G30" s="7" t="e">
        <f t="shared" si="15"/>
        <v>#VALUE!</v>
      </c>
      <c r="H30" s="5" t="str">
        <f>VLOOKUP($F30,DDE!$A:$AJ,H$1,FALSE)</f>
        <v xml:space="preserve"> </v>
      </c>
      <c r="I30" s="5">
        <f>VLOOKUP($F30,DDE!$A:$AJ,I$1,FALSE)</f>
        <v>20878632</v>
      </c>
      <c r="J30" s="5" t="str">
        <f>VLOOKUP($F30,DDE!$A:$AJ,J$1,FALSE)</f>
        <v xml:space="preserve"> -</v>
      </c>
      <c r="K30" s="5" t="str">
        <f>VLOOKUP($F30,DDE!$A:$AJ,K$1,FALSE)</f>
        <v xml:space="preserve"> -</v>
      </c>
      <c r="L30" s="5">
        <f>VLOOKUP($F30,DDE!$A:$AJ,L$1,FALSE)</f>
        <v>2088371110</v>
      </c>
      <c r="M30" s="5">
        <f>VLOOKUP($F30,DDE!$A:$AJ,M$1,FALSE)</f>
        <v>20803788</v>
      </c>
      <c r="N30" s="5">
        <f>VLOOKUP($F30,DDE!$A:$AJ,N$1,FALSE)</f>
        <v>20804690</v>
      </c>
      <c r="O30" s="5">
        <f>VLOOKUP($F30,DDE!$A:$AJ,O$1,FALSE)</f>
        <v>10989732</v>
      </c>
      <c r="P30" s="5" t="str">
        <f>VLOOKUP($F30,DDE!$A:$AJ,P$1,FALSE)</f>
        <v xml:space="preserve"> -</v>
      </c>
      <c r="Q30" s="5" t="str">
        <f>VLOOKUP($F30,DDE!$A:$AJ,Q$1,FALSE)</f>
        <v xml:space="preserve"> -</v>
      </c>
      <c r="R30" s="5" t="e">
        <f t="shared" si="0"/>
        <v>#VALUE!</v>
      </c>
      <c r="S30" s="5">
        <f>VLOOKUP(D30,cmoney!$A:$M,12,FALSE)</f>
        <v>29.85</v>
      </c>
      <c r="U30" s="5" t="str">
        <f t="shared" si="16"/>
        <v/>
      </c>
      <c r="V30" s="5" t="str">
        <f t="shared" si="17"/>
        <v>1504</v>
      </c>
      <c r="W30" s="5" t="str">
        <f t="shared" si="18"/>
        <v>東元</v>
      </c>
      <c r="X30" s="5" t="str">
        <f t="shared" si="19"/>
        <v>EMF</v>
      </c>
      <c r="Y30" s="49">
        <f>VLOOKUP($X30,股期名單!$L:$M,2,FALSE)</f>
        <v>2000</v>
      </c>
      <c r="Z30" s="5" t="str">
        <f t="shared" si="20"/>
        <v>EMFC1</v>
      </c>
      <c r="AA30" s="7" t="e">
        <f t="shared" si="21"/>
        <v>#VALUE!</v>
      </c>
      <c r="AB30" s="5" t="str">
        <f>VLOOKUP($F30,DDE!$A:$AJ,AB$1,FALSE)</f>
        <v xml:space="preserve"> </v>
      </c>
      <c r="AC30" s="5">
        <f>VLOOKUP($F30,DDE!$A:$AJ,AC$1,FALSE)</f>
        <v>20878632</v>
      </c>
      <c r="AD30" s="5" t="str">
        <f>VLOOKUP($F30,DDE!$A:$AJ,AD$1,FALSE)</f>
        <v xml:space="preserve"> -</v>
      </c>
      <c r="AE30" s="5" t="str">
        <f>VLOOKUP($F30,DDE!$A:$AJ,AE$1,FALSE)</f>
        <v xml:space="preserve"> -</v>
      </c>
      <c r="AF30" s="5">
        <f>VLOOKUP($F30,DDE!$A:$AJ,AF$1,FALSE)</f>
        <v>2088371110</v>
      </c>
      <c r="AG30" s="5">
        <f>VLOOKUP($F30,DDE!$A:$AJ,AG$1,FALSE)</f>
        <v>20803788</v>
      </c>
      <c r="AH30" s="5">
        <f>VLOOKUP($F30,DDE!$A:$AJ,AH$1,FALSE)</f>
        <v>20804690</v>
      </c>
      <c r="AI30" s="5">
        <f>VLOOKUP($F30,DDE!$A:$AJ,AI$1,FALSE)</f>
        <v>10989732</v>
      </c>
      <c r="AJ30" s="5" t="str">
        <f>VLOOKUP($F30,DDE!$A:$AJ,AJ$1,FALSE)</f>
        <v xml:space="preserve"> -</v>
      </c>
      <c r="AK30" s="5" t="str">
        <f>VLOOKUP($F30,DDE!$A:$AJ,AK$1,FALSE)</f>
        <v xml:space="preserve"> -</v>
      </c>
      <c r="AL30" s="5" t="e">
        <f t="shared" si="22"/>
        <v>#VALUE!</v>
      </c>
      <c r="AM30" s="5">
        <f>VLOOKUP(X30,cmoney!$A:$M,12,FALSE)</f>
        <v>29.85</v>
      </c>
    </row>
    <row r="31" spans="1:39" x14ac:dyDescent="0.25">
      <c r="A31" s="5" t="str">
        <f t="shared" si="14"/>
        <v/>
      </c>
      <c r="B31" s="5" t="s">
        <v>795</v>
      </c>
      <c r="C31" s="5" t="s">
        <v>564</v>
      </c>
      <c r="D31" s="5" t="s">
        <v>903</v>
      </c>
      <c r="E31" s="5">
        <f>VLOOKUP($D31,股期名單!$L:$M,2,FALSE)</f>
        <v>2000</v>
      </c>
      <c r="F31" s="5" t="str">
        <f t="shared" si="3"/>
        <v>ORFB1</v>
      </c>
      <c r="G31" s="7">
        <f t="shared" si="15"/>
        <v>-0.18775862068965518</v>
      </c>
      <c r="H31" s="5">
        <f>VLOOKUP($F31,DDE!$A:$AJ,H$1,FALSE)</f>
        <v>-21.78</v>
      </c>
      <c r="I31" s="5">
        <f>VLOOKUP($F31,DDE!$A:$AJ,I$1,FALSE)</f>
        <v>16421.62</v>
      </c>
      <c r="J31" s="5" t="str">
        <f>VLOOKUP($F31,DDE!$A:$AJ,J$1,FALSE)</f>
        <v xml:space="preserve"> -</v>
      </c>
      <c r="K31" s="5" t="str">
        <f>VLOOKUP($F31,DDE!$A:$AJ,K$1,FALSE)</f>
        <v xml:space="preserve"> -</v>
      </c>
      <c r="L31" s="5">
        <f>VLOOKUP($F31,DDE!$A:$AJ,L$1,FALSE)</f>
        <v>4027056</v>
      </c>
      <c r="M31" s="5">
        <f>VLOOKUP($F31,DDE!$A:$AJ,M$1,FALSE)</f>
        <v>16329.54</v>
      </c>
      <c r="N31" s="5">
        <f>VLOOKUP($F31,DDE!$A:$AJ,N$1,FALSE)</f>
        <v>16456.939999999999</v>
      </c>
      <c r="O31" s="5">
        <f>VLOOKUP($F31,DDE!$A:$AJ,O$1,FALSE)</f>
        <v>16329.54</v>
      </c>
      <c r="P31" s="5" t="str">
        <f>VLOOKUP($F31,DDE!$A:$AJ,P$1,FALSE)</f>
        <v xml:space="preserve"> -</v>
      </c>
      <c r="Q31" s="5" t="str">
        <f>VLOOKUP($F31,DDE!$A:$AJ,Q$1,FALSE)</f>
        <v xml:space="preserve"> -</v>
      </c>
      <c r="R31" s="5">
        <f t="shared" si="0"/>
        <v>16443.399999999998</v>
      </c>
      <c r="S31" s="5">
        <f>VLOOKUP(D31,cmoney!$A:$M,12,FALSE)</f>
        <v>116</v>
      </c>
      <c r="U31" s="5" t="str">
        <f t="shared" si="16"/>
        <v/>
      </c>
      <c r="V31" s="5" t="str">
        <f t="shared" si="17"/>
        <v>1536</v>
      </c>
      <c r="W31" s="5" t="str">
        <f t="shared" si="18"/>
        <v>和大</v>
      </c>
      <c r="X31" s="5" t="str">
        <f t="shared" si="19"/>
        <v>ORF</v>
      </c>
      <c r="Y31" s="49">
        <f>VLOOKUP($X31,股期名單!$L:$M,2,FALSE)</f>
        <v>2000</v>
      </c>
      <c r="Z31" s="5" t="str">
        <f t="shared" si="20"/>
        <v>ORFC1</v>
      </c>
      <c r="AA31" s="7">
        <f t="shared" si="21"/>
        <v>-0.18775862068965518</v>
      </c>
      <c r="AB31" s="5">
        <f>VLOOKUP($F31,DDE!$A:$AJ,AB$1,FALSE)</f>
        <v>-21.78</v>
      </c>
      <c r="AC31" s="5">
        <f>VLOOKUP($F31,DDE!$A:$AJ,AC$1,FALSE)</f>
        <v>16421.62</v>
      </c>
      <c r="AD31" s="5" t="str">
        <f>VLOOKUP($F31,DDE!$A:$AJ,AD$1,FALSE)</f>
        <v xml:space="preserve"> -</v>
      </c>
      <c r="AE31" s="5" t="str">
        <f>VLOOKUP($F31,DDE!$A:$AJ,AE$1,FALSE)</f>
        <v xml:space="preserve"> -</v>
      </c>
      <c r="AF31" s="5">
        <f>VLOOKUP($F31,DDE!$A:$AJ,AF$1,FALSE)</f>
        <v>4027056</v>
      </c>
      <c r="AG31" s="5">
        <f>VLOOKUP($F31,DDE!$A:$AJ,AG$1,FALSE)</f>
        <v>16329.54</v>
      </c>
      <c r="AH31" s="5">
        <f>VLOOKUP($F31,DDE!$A:$AJ,AH$1,FALSE)</f>
        <v>16456.939999999999</v>
      </c>
      <c r="AI31" s="5">
        <f>VLOOKUP($F31,DDE!$A:$AJ,AI$1,FALSE)</f>
        <v>16329.54</v>
      </c>
      <c r="AJ31" s="5" t="str">
        <f>VLOOKUP($F31,DDE!$A:$AJ,AJ$1,FALSE)</f>
        <v xml:space="preserve"> -</v>
      </c>
      <c r="AK31" s="5" t="str">
        <f>VLOOKUP($F31,DDE!$A:$AJ,AK$1,FALSE)</f>
        <v xml:space="preserve"> -</v>
      </c>
      <c r="AL31" s="5">
        <f t="shared" si="22"/>
        <v>16443.399999999998</v>
      </c>
      <c r="AM31" s="5">
        <f>VLOOKUP(X31,cmoney!$A:$M,12,FALSE)</f>
        <v>116</v>
      </c>
    </row>
    <row r="32" spans="1:39" x14ac:dyDescent="0.25">
      <c r="A32" s="5" t="str">
        <f t="shared" si="14"/>
        <v/>
      </c>
      <c r="B32" s="5" t="s">
        <v>772</v>
      </c>
      <c r="C32" s="5" t="s">
        <v>461</v>
      </c>
      <c r="D32" s="5" t="s">
        <v>904</v>
      </c>
      <c r="E32" s="5">
        <f>VLOOKUP($D32,股期名單!$L:$M,2,FALSE)</f>
        <v>2000</v>
      </c>
      <c r="F32" s="5" t="str">
        <f t="shared" si="3"/>
        <v>MYFB1</v>
      </c>
      <c r="G32" s="7">
        <f t="shared" si="15"/>
        <v>2.3826714801444042E-2</v>
      </c>
      <c r="H32" s="5">
        <f>VLOOKUP($F32,DDE!$A:$AJ,H$1,FALSE)</f>
        <v>6.6</v>
      </c>
      <c r="I32" s="5">
        <f>VLOOKUP($F32,DDE!$A:$AJ,I$1,FALSE)</f>
        <v>13893.18</v>
      </c>
      <c r="J32" s="5" t="str">
        <f>VLOOKUP($F32,DDE!$A:$AJ,J$1,FALSE)</f>
        <v xml:space="preserve"> -</v>
      </c>
      <c r="K32" s="5" t="str">
        <f>VLOOKUP($F32,DDE!$A:$AJ,K$1,FALSE)</f>
        <v xml:space="preserve"> -</v>
      </c>
      <c r="L32" s="5">
        <f>VLOOKUP($F32,DDE!$A:$AJ,L$1,FALSE)</f>
        <v>872505</v>
      </c>
      <c r="M32" s="5">
        <f>VLOOKUP($F32,DDE!$A:$AJ,M$1,FALSE)</f>
        <v>13893.03</v>
      </c>
      <c r="N32" s="5">
        <f>VLOOKUP($F32,DDE!$A:$AJ,N$1,FALSE)</f>
        <v>13945.78</v>
      </c>
      <c r="O32" s="5">
        <f>VLOOKUP($F32,DDE!$A:$AJ,O$1,FALSE)</f>
        <v>13875.82</v>
      </c>
      <c r="P32" s="5" t="str">
        <f>VLOOKUP($F32,DDE!$A:$AJ,P$1,FALSE)</f>
        <v xml:space="preserve"> -</v>
      </c>
      <c r="Q32" s="5" t="str">
        <f>VLOOKUP($F32,DDE!$A:$AJ,Q$1,FALSE)</f>
        <v xml:space="preserve"> -</v>
      </c>
      <c r="R32" s="5">
        <f t="shared" si="0"/>
        <v>13886.58</v>
      </c>
      <c r="S32" s="5">
        <f>VLOOKUP(D32,cmoney!$A:$M,12,FALSE)</f>
        <v>277</v>
      </c>
      <c r="U32" s="5" t="str">
        <f t="shared" si="16"/>
        <v/>
      </c>
      <c r="V32" s="5" t="str">
        <f t="shared" si="17"/>
        <v>1565</v>
      </c>
      <c r="W32" s="5" t="str">
        <f t="shared" si="18"/>
        <v>精華</v>
      </c>
      <c r="X32" s="5" t="str">
        <f t="shared" si="19"/>
        <v>MYF</v>
      </c>
      <c r="Y32" s="49">
        <f>VLOOKUP($X32,股期名單!$L:$M,2,FALSE)</f>
        <v>2000</v>
      </c>
      <c r="Z32" s="5" t="str">
        <f t="shared" si="20"/>
        <v>MYFC1</v>
      </c>
      <c r="AA32" s="7">
        <f t="shared" si="21"/>
        <v>2.3826714801444042E-2</v>
      </c>
      <c r="AB32" s="5">
        <f>VLOOKUP($F32,DDE!$A:$AJ,AB$1,FALSE)</f>
        <v>6.6</v>
      </c>
      <c r="AC32" s="5">
        <f>VLOOKUP($F32,DDE!$A:$AJ,AC$1,FALSE)</f>
        <v>13893.18</v>
      </c>
      <c r="AD32" s="5" t="str">
        <f>VLOOKUP($F32,DDE!$A:$AJ,AD$1,FALSE)</f>
        <v xml:space="preserve"> -</v>
      </c>
      <c r="AE32" s="5" t="str">
        <f>VLOOKUP($F32,DDE!$A:$AJ,AE$1,FALSE)</f>
        <v xml:space="preserve"> -</v>
      </c>
      <c r="AF32" s="5">
        <f>VLOOKUP($F32,DDE!$A:$AJ,AF$1,FALSE)</f>
        <v>872505</v>
      </c>
      <c r="AG32" s="5">
        <f>VLOOKUP($F32,DDE!$A:$AJ,AG$1,FALSE)</f>
        <v>13893.03</v>
      </c>
      <c r="AH32" s="5">
        <f>VLOOKUP($F32,DDE!$A:$AJ,AH$1,FALSE)</f>
        <v>13945.78</v>
      </c>
      <c r="AI32" s="5">
        <f>VLOOKUP($F32,DDE!$A:$AJ,AI$1,FALSE)</f>
        <v>13875.82</v>
      </c>
      <c r="AJ32" s="5" t="str">
        <f>VLOOKUP($F32,DDE!$A:$AJ,AJ$1,FALSE)</f>
        <v xml:space="preserve"> -</v>
      </c>
      <c r="AK32" s="5" t="str">
        <f>VLOOKUP($F32,DDE!$A:$AJ,AK$1,FALSE)</f>
        <v xml:space="preserve"> -</v>
      </c>
      <c r="AL32" s="5">
        <f t="shared" si="22"/>
        <v>13886.58</v>
      </c>
      <c r="AM32" s="5">
        <f>VLOOKUP(X32,cmoney!$A:$M,12,FALSE)</f>
        <v>277</v>
      </c>
    </row>
    <row r="33" spans="1:39" x14ac:dyDescent="0.25">
      <c r="A33" s="5" t="str">
        <f t="shared" si="14"/>
        <v>小型</v>
      </c>
      <c r="B33" s="5" t="s">
        <v>772</v>
      </c>
      <c r="C33" s="5" t="s">
        <v>461</v>
      </c>
      <c r="D33" s="5" t="s">
        <v>905</v>
      </c>
      <c r="E33" s="5">
        <f>VLOOKUP($D33,股期名單!$L:$M,2,FALSE)</f>
        <v>100</v>
      </c>
      <c r="F33" s="5" t="str">
        <f t="shared" si="3"/>
        <v>OMFB1</v>
      </c>
      <c r="G33" s="7" t="e">
        <f t="shared" si="15"/>
        <v>#VALUE!</v>
      </c>
      <c r="H33" s="5" t="str">
        <f>VLOOKUP($F33,DDE!$A:$AJ,H$1,FALSE)</f>
        <v xml:space="preserve"> </v>
      </c>
      <c r="I33" s="5">
        <f>VLOOKUP($F33,DDE!$A:$AJ,I$1,FALSE)</f>
        <v>20878632</v>
      </c>
      <c r="J33" s="5" t="str">
        <f>VLOOKUP($F33,DDE!$A:$AJ,J$1,FALSE)</f>
        <v xml:space="preserve"> -</v>
      </c>
      <c r="K33" s="5" t="str">
        <f>VLOOKUP($F33,DDE!$A:$AJ,K$1,FALSE)</f>
        <v xml:space="preserve"> -</v>
      </c>
      <c r="L33" s="5">
        <f>VLOOKUP($F33,DDE!$A:$AJ,L$1,FALSE)</f>
        <v>2088371110</v>
      </c>
      <c r="M33" s="5">
        <f>VLOOKUP($F33,DDE!$A:$AJ,M$1,FALSE)</f>
        <v>20803788</v>
      </c>
      <c r="N33" s="5">
        <f>VLOOKUP($F33,DDE!$A:$AJ,N$1,FALSE)</f>
        <v>20804690</v>
      </c>
      <c r="O33" s="5">
        <f>VLOOKUP($F33,DDE!$A:$AJ,O$1,FALSE)</f>
        <v>10989732</v>
      </c>
      <c r="P33" s="5" t="str">
        <f>VLOOKUP($F33,DDE!$A:$AJ,P$1,FALSE)</f>
        <v xml:space="preserve"> -</v>
      </c>
      <c r="Q33" s="5" t="str">
        <f>VLOOKUP($F33,DDE!$A:$AJ,Q$1,FALSE)</f>
        <v xml:space="preserve"> -</v>
      </c>
      <c r="R33" s="5" t="e">
        <f t="shared" si="0"/>
        <v>#VALUE!</v>
      </c>
      <c r="S33" s="5">
        <f>VLOOKUP(D33,cmoney!$A:$M,12,FALSE)</f>
        <v>277</v>
      </c>
      <c r="U33" s="5" t="str">
        <f t="shared" si="16"/>
        <v>小型</v>
      </c>
      <c r="V33" s="5" t="str">
        <f t="shared" si="17"/>
        <v>1565</v>
      </c>
      <c r="W33" s="5" t="str">
        <f t="shared" si="18"/>
        <v>精華</v>
      </c>
      <c r="X33" s="5" t="str">
        <f t="shared" si="19"/>
        <v>OMF</v>
      </c>
      <c r="Y33" s="49">
        <f>VLOOKUP($X33,股期名單!$L:$M,2,FALSE)</f>
        <v>100</v>
      </c>
      <c r="Z33" s="5" t="str">
        <f t="shared" si="20"/>
        <v>OMFC1</v>
      </c>
      <c r="AA33" s="7" t="e">
        <f t="shared" si="21"/>
        <v>#VALUE!</v>
      </c>
      <c r="AB33" s="5" t="str">
        <f>VLOOKUP($F33,DDE!$A:$AJ,AB$1,FALSE)</f>
        <v xml:space="preserve"> </v>
      </c>
      <c r="AC33" s="5">
        <f>VLOOKUP($F33,DDE!$A:$AJ,AC$1,FALSE)</f>
        <v>20878632</v>
      </c>
      <c r="AD33" s="5" t="str">
        <f>VLOOKUP($F33,DDE!$A:$AJ,AD$1,FALSE)</f>
        <v xml:space="preserve"> -</v>
      </c>
      <c r="AE33" s="5" t="str">
        <f>VLOOKUP($F33,DDE!$A:$AJ,AE$1,FALSE)</f>
        <v xml:space="preserve"> -</v>
      </c>
      <c r="AF33" s="5">
        <f>VLOOKUP($F33,DDE!$A:$AJ,AF$1,FALSE)</f>
        <v>2088371110</v>
      </c>
      <c r="AG33" s="5">
        <f>VLOOKUP($F33,DDE!$A:$AJ,AG$1,FALSE)</f>
        <v>20803788</v>
      </c>
      <c r="AH33" s="5">
        <f>VLOOKUP($F33,DDE!$A:$AJ,AH$1,FALSE)</f>
        <v>20804690</v>
      </c>
      <c r="AI33" s="5">
        <f>VLOOKUP($F33,DDE!$A:$AJ,AI$1,FALSE)</f>
        <v>10989732</v>
      </c>
      <c r="AJ33" s="5" t="str">
        <f>VLOOKUP($F33,DDE!$A:$AJ,AJ$1,FALSE)</f>
        <v xml:space="preserve"> -</v>
      </c>
      <c r="AK33" s="5" t="str">
        <f>VLOOKUP($F33,DDE!$A:$AJ,AK$1,FALSE)</f>
        <v xml:space="preserve"> -</v>
      </c>
      <c r="AL33" s="5" t="e">
        <f t="shared" si="22"/>
        <v>#VALUE!</v>
      </c>
      <c r="AM33" s="5">
        <f>VLOOKUP(X33,cmoney!$A:$M,12,FALSE)</f>
        <v>277</v>
      </c>
    </row>
    <row r="34" spans="1:39" x14ac:dyDescent="0.25">
      <c r="A34" s="5" t="str">
        <f t="shared" si="14"/>
        <v/>
      </c>
      <c r="B34" s="5" t="s">
        <v>681</v>
      </c>
      <c r="C34" s="5" t="s">
        <v>188</v>
      </c>
      <c r="D34" s="5" t="s">
        <v>906</v>
      </c>
      <c r="E34" s="5">
        <f>VLOOKUP($D34,股期名單!$L:$M,2,FALSE)</f>
        <v>2000</v>
      </c>
      <c r="F34" s="5" t="str">
        <f t="shared" si="3"/>
        <v>EPFB1</v>
      </c>
      <c r="G34" s="7" t="e">
        <f t="shared" si="15"/>
        <v>#VALUE!</v>
      </c>
      <c r="H34" s="5" t="str">
        <f>VLOOKUP($F34,DDE!$A:$AJ,H$1,FALSE)</f>
        <v xml:space="preserve"> </v>
      </c>
      <c r="I34" s="5">
        <f>VLOOKUP($F34,DDE!$A:$AJ,I$1,FALSE)</f>
        <v>20878632</v>
      </c>
      <c r="J34" s="5" t="str">
        <f>VLOOKUP($F34,DDE!$A:$AJ,J$1,FALSE)</f>
        <v xml:space="preserve"> -</v>
      </c>
      <c r="K34" s="5" t="str">
        <f>VLOOKUP($F34,DDE!$A:$AJ,K$1,FALSE)</f>
        <v xml:space="preserve"> -</v>
      </c>
      <c r="L34" s="5">
        <f>VLOOKUP($F34,DDE!$A:$AJ,L$1,FALSE)</f>
        <v>2088371110</v>
      </c>
      <c r="M34" s="5">
        <f>VLOOKUP($F34,DDE!$A:$AJ,M$1,FALSE)</f>
        <v>20803788</v>
      </c>
      <c r="N34" s="5">
        <f>VLOOKUP($F34,DDE!$A:$AJ,N$1,FALSE)</f>
        <v>20804690</v>
      </c>
      <c r="O34" s="5">
        <f>VLOOKUP($F34,DDE!$A:$AJ,O$1,FALSE)</f>
        <v>10989732</v>
      </c>
      <c r="P34" s="5" t="str">
        <f>VLOOKUP($F34,DDE!$A:$AJ,P$1,FALSE)</f>
        <v xml:space="preserve"> -</v>
      </c>
      <c r="Q34" s="5" t="str">
        <f>VLOOKUP($F34,DDE!$A:$AJ,Q$1,FALSE)</f>
        <v xml:space="preserve"> -</v>
      </c>
      <c r="R34" s="5" t="e">
        <f t="shared" si="0"/>
        <v>#VALUE!</v>
      </c>
      <c r="S34" s="5">
        <f>VLOOKUP(D34,cmoney!$A:$M,12,FALSE)</f>
        <v>1040</v>
      </c>
      <c r="U34" s="5" t="str">
        <f t="shared" si="16"/>
        <v/>
      </c>
      <c r="V34" s="5" t="str">
        <f t="shared" si="17"/>
        <v>1590</v>
      </c>
      <c r="W34" s="5" t="str">
        <f t="shared" si="18"/>
        <v>亞德客-KY</v>
      </c>
      <c r="X34" s="5" t="str">
        <f t="shared" si="19"/>
        <v>EPF</v>
      </c>
      <c r="Y34" s="49">
        <f>VLOOKUP($X34,股期名單!$L:$M,2,FALSE)</f>
        <v>2000</v>
      </c>
      <c r="Z34" s="5" t="str">
        <f t="shared" si="20"/>
        <v>EPFC1</v>
      </c>
      <c r="AA34" s="7" t="e">
        <f t="shared" si="21"/>
        <v>#VALUE!</v>
      </c>
      <c r="AB34" s="5" t="str">
        <f>VLOOKUP($F34,DDE!$A:$AJ,AB$1,FALSE)</f>
        <v xml:space="preserve"> </v>
      </c>
      <c r="AC34" s="5">
        <f>VLOOKUP($F34,DDE!$A:$AJ,AC$1,FALSE)</f>
        <v>20878632</v>
      </c>
      <c r="AD34" s="5" t="str">
        <f>VLOOKUP($F34,DDE!$A:$AJ,AD$1,FALSE)</f>
        <v xml:space="preserve"> -</v>
      </c>
      <c r="AE34" s="5" t="str">
        <f>VLOOKUP($F34,DDE!$A:$AJ,AE$1,FALSE)</f>
        <v xml:space="preserve"> -</v>
      </c>
      <c r="AF34" s="5">
        <f>VLOOKUP($F34,DDE!$A:$AJ,AF$1,FALSE)</f>
        <v>2088371110</v>
      </c>
      <c r="AG34" s="5">
        <f>VLOOKUP($F34,DDE!$A:$AJ,AG$1,FALSE)</f>
        <v>20803788</v>
      </c>
      <c r="AH34" s="5">
        <f>VLOOKUP($F34,DDE!$A:$AJ,AH$1,FALSE)</f>
        <v>20804690</v>
      </c>
      <c r="AI34" s="5">
        <f>VLOOKUP($F34,DDE!$A:$AJ,AI$1,FALSE)</f>
        <v>10989732</v>
      </c>
      <c r="AJ34" s="5" t="str">
        <f>VLOOKUP($F34,DDE!$A:$AJ,AJ$1,FALSE)</f>
        <v xml:space="preserve"> -</v>
      </c>
      <c r="AK34" s="5" t="str">
        <f>VLOOKUP($F34,DDE!$A:$AJ,AK$1,FALSE)</f>
        <v xml:space="preserve"> -</v>
      </c>
      <c r="AL34" s="5" t="e">
        <f t="shared" si="22"/>
        <v>#VALUE!</v>
      </c>
      <c r="AM34" s="5">
        <f>VLOOKUP(X34,cmoney!$A:$M,12,FALSE)</f>
        <v>1040</v>
      </c>
    </row>
    <row r="35" spans="1:39" x14ac:dyDescent="0.25">
      <c r="A35" s="5" t="str">
        <f t="shared" si="14"/>
        <v/>
      </c>
      <c r="B35" s="5" t="s">
        <v>651</v>
      </c>
      <c r="C35" s="5" t="s">
        <v>98</v>
      </c>
      <c r="D35" s="5" t="s">
        <v>907</v>
      </c>
      <c r="E35" s="5">
        <f>VLOOKUP($D35,股期名單!$L:$M,2,FALSE)</f>
        <v>2000</v>
      </c>
      <c r="F35" s="5" t="str">
        <f t="shared" si="3"/>
        <v>CSFB1</v>
      </c>
      <c r="G35" s="7">
        <f t="shared" si="15"/>
        <v>-0.9925925925925928</v>
      </c>
      <c r="H35" s="5">
        <f>VLOOKUP($F35,DDE!$A:$AJ,H$1,FALSE)</f>
        <v>-18.760000000000002</v>
      </c>
      <c r="I35" s="5">
        <f>VLOOKUP($F35,DDE!$A:$AJ,I$1,FALSE)</f>
        <v>16424.64</v>
      </c>
      <c r="J35" s="5" t="str">
        <f>VLOOKUP($F35,DDE!$A:$AJ,J$1,FALSE)</f>
        <v xml:space="preserve"> -</v>
      </c>
      <c r="K35" s="5" t="str">
        <f>VLOOKUP($F35,DDE!$A:$AJ,K$1,FALSE)</f>
        <v xml:space="preserve"> -</v>
      </c>
      <c r="L35" s="5">
        <f>VLOOKUP($F35,DDE!$A:$AJ,L$1,FALSE)</f>
        <v>4020107</v>
      </c>
      <c r="M35" s="5">
        <f>VLOOKUP($F35,DDE!$A:$AJ,M$1,FALSE)</f>
        <v>16329.54</v>
      </c>
      <c r="N35" s="5">
        <f>VLOOKUP($F35,DDE!$A:$AJ,N$1,FALSE)</f>
        <v>16456.939999999999</v>
      </c>
      <c r="O35" s="5">
        <f>VLOOKUP($F35,DDE!$A:$AJ,O$1,FALSE)</f>
        <v>16329.54</v>
      </c>
      <c r="P35" s="5" t="str">
        <f>VLOOKUP($F35,DDE!$A:$AJ,P$1,FALSE)</f>
        <v xml:space="preserve"> -</v>
      </c>
      <c r="Q35" s="5" t="str">
        <f>VLOOKUP($F35,DDE!$A:$AJ,Q$1,FALSE)</f>
        <v xml:space="preserve"> -</v>
      </c>
      <c r="R35" s="5">
        <f t="shared" si="0"/>
        <v>16443.399999999998</v>
      </c>
      <c r="S35" s="5">
        <f>VLOOKUP(D35,cmoney!$A:$M,12,FALSE)</f>
        <v>18.899999999999999</v>
      </c>
      <c r="U35" s="5" t="str">
        <f t="shared" si="16"/>
        <v/>
      </c>
      <c r="V35" s="5" t="str">
        <f t="shared" si="17"/>
        <v>1605</v>
      </c>
      <c r="W35" s="5" t="str">
        <f t="shared" si="18"/>
        <v>華新</v>
      </c>
      <c r="X35" s="5" t="str">
        <f t="shared" si="19"/>
        <v>CSF</v>
      </c>
      <c r="Y35" s="49">
        <f>VLOOKUP($X35,股期名單!$L:$M,2,FALSE)</f>
        <v>2000</v>
      </c>
      <c r="Z35" s="5" t="str">
        <f t="shared" si="20"/>
        <v>CSFC1</v>
      </c>
      <c r="AA35" s="7">
        <f t="shared" si="21"/>
        <v>-0.9925925925925928</v>
      </c>
      <c r="AB35" s="5">
        <f>VLOOKUP($F35,DDE!$A:$AJ,AB$1,FALSE)</f>
        <v>-18.760000000000002</v>
      </c>
      <c r="AC35" s="5">
        <f>VLOOKUP($F35,DDE!$A:$AJ,AC$1,FALSE)</f>
        <v>16424.64</v>
      </c>
      <c r="AD35" s="5" t="str">
        <f>VLOOKUP($F35,DDE!$A:$AJ,AD$1,FALSE)</f>
        <v xml:space="preserve"> -</v>
      </c>
      <c r="AE35" s="5" t="str">
        <f>VLOOKUP($F35,DDE!$A:$AJ,AE$1,FALSE)</f>
        <v xml:space="preserve"> -</v>
      </c>
      <c r="AF35" s="5">
        <f>VLOOKUP($F35,DDE!$A:$AJ,AF$1,FALSE)</f>
        <v>4020107</v>
      </c>
      <c r="AG35" s="5">
        <f>VLOOKUP($F35,DDE!$A:$AJ,AG$1,FALSE)</f>
        <v>16329.54</v>
      </c>
      <c r="AH35" s="5">
        <f>VLOOKUP($F35,DDE!$A:$AJ,AH$1,FALSE)</f>
        <v>16456.939999999999</v>
      </c>
      <c r="AI35" s="5">
        <f>VLOOKUP($F35,DDE!$A:$AJ,AI$1,FALSE)</f>
        <v>16329.54</v>
      </c>
      <c r="AJ35" s="5" t="str">
        <f>VLOOKUP($F35,DDE!$A:$AJ,AJ$1,FALSE)</f>
        <v xml:space="preserve"> -</v>
      </c>
      <c r="AK35" s="5" t="str">
        <f>VLOOKUP($F35,DDE!$A:$AJ,AK$1,FALSE)</f>
        <v xml:space="preserve"> -</v>
      </c>
      <c r="AL35" s="5">
        <f t="shared" si="22"/>
        <v>16443.399999999998</v>
      </c>
      <c r="AM35" s="5">
        <f>VLOOKUP(X35,cmoney!$A:$M,12,FALSE)</f>
        <v>18.899999999999999</v>
      </c>
    </row>
    <row r="36" spans="1:39" x14ac:dyDescent="0.25">
      <c r="A36" s="5" t="str">
        <f t="shared" si="14"/>
        <v/>
      </c>
      <c r="B36" s="5" t="s">
        <v>682</v>
      </c>
      <c r="C36" s="5" t="s">
        <v>191</v>
      </c>
      <c r="D36" s="5" t="s">
        <v>908</v>
      </c>
      <c r="E36" s="5">
        <f>VLOOKUP($D36,股期名單!$L:$M,2,FALSE)</f>
        <v>2000</v>
      </c>
      <c r="F36" s="5" t="str">
        <f t="shared" si="3"/>
        <v>ERFB1</v>
      </c>
      <c r="G36" s="7" t="e">
        <f t="shared" si="15"/>
        <v>#VALUE!</v>
      </c>
      <c r="H36" s="5" t="str">
        <f>VLOOKUP($F36,DDE!$A:$AJ,H$1,FALSE)</f>
        <v xml:space="preserve"> </v>
      </c>
      <c r="I36" s="5">
        <f>VLOOKUP($F36,DDE!$A:$AJ,I$1,FALSE)</f>
        <v>20878632</v>
      </c>
      <c r="J36" s="5" t="str">
        <f>VLOOKUP($F36,DDE!$A:$AJ,J$1,FALSE)</f>
        <v xml:space="preserve"> -</v>
      </c>
      <c r="K36" s="5" t="str">
        <f>VLOOKUP($F36,DDE!$A:$AJ,K$1,FALSE)</f>
        <v xml:space="preserve"> -</v>
      </c>
      <c r="L36" s="5">
        <f>VLOOKUP($F36,DDE!$A:$AJ,L$1,FALSE)</f>
        <v>2088371110</v>
      </c>
      <c r="M36" s="5">
        <f>VLOOKUP($F36,DDE!$A:$AJ,M$1,FALSE)</f>
        <v>20803788</v>
      </c>
      <c r="N36" s="5">
        <f>VLOOKUP($F36,DDE!$A:$AJ,N$1,FALSE)</f>
        <v>20804690</v>
      </c>
      <c r="O36" s="5">
        <f>VLOOKUP($F36,DDE!$A:$AJ,O$1,FALSE)</f>
        <v>10989732</v>
      </c>
      <c r="P36" s="5" t="str">
        <f>VLOOKUP($F36,DDE!$A:$AJ,P$1,FALSE)</f>
        <v xml:space="preserve"> -</v>
      </c>
      <c r="Q36" s="5" t="str">
        <f>VLOOKUP($F36,DDE!$A:$AJ,Q$1,FALSE)</f>
        <v xml:space="preserve"> -</v>
      </c>
      <c r="R36" s="5" t="e">
        <f t="shared" si="0"/>
        <v>#VALUE!</v>
      </c>
      <c r="S36" s="5">
        <f>VLOOKUP(D36,cmoney!$A:$M,12,FALSE)</f>
        <v>47.1</v>
      </c>
      <c r="U36" s="5" t="str">
        <f t="shared" si="16"/>
        <v/>
      </c>
      <c r="V36" s="5" t="str">
        <f t="shared" si="17"/>
        <v>1702</v>
      </c>
      <c r="W36" s="5" t="str">
        <f t="shared" si="18"/>
        <v>南僑</v>
      </c>
      <c r="X36" s="5" t="str">
        <f t="shared" si="19"/>
        <v>ERF</v>
      </c>
      <c r="Y36" s="49">
        <f>VLOOKUP($X36,股期名單!$L:$M,2,FALSE)</f>
        <v>2000</v>
      </c>
      <c r="Z36" s="5" t="str">
        <f t="shared" si="20"/>
        <v>ERFC1</v>
      </c>
      <c r="AA36" s="7" t="e">
        <f t="shared" si="21"/>
        <v>#VALUE!</v>
      </c>
      <c r="AB36" s="5" t="str">
        <f>VLOOKUP($F36,DDE!$A:$AJ,AB$1,FALSE)</f>
        <v xml:space="preserve"> </v>
      </c>
      <c r="AC36" s="5">
        <f>VLOOKUP($F36,DDE!$A:$AJ,AC$1,FALSE)</f>
        <v>20878632</v>
      </c>
      <c r="AD36" s="5" t="str">
        <f>VLOOKUP($F36,DDE!$A:$AJ,AD$1,FALSE)</f>
        <v xml:space="preserve"> -</v>
      </c>
      <c r="AE36" s="5" t="str">
        <f>VLOOKUP($F36,DDE!$A:$AJ,AE$1,FALSE)</f>
        <v xml:space="preserve"> -</v>
      </c>
      <c r="AF36" s="5">
        <f>VLOOKUP($F36,DDE!$A:$AJ,AF$1,FALSE)</f>
        <v>2088371110</v>
      </c>
      <c r="AG36" s="5">
        <f>VLOOKUP($F36,DDE!$A:$AJ,AG$1,FALSE)</f>
        <v>20803788</v>
      </c>
      <c r="AH36" s="5">
        <f>VLOOKUP($F36,DDE!$A:$AJ,AH$1,FALSE)</f>
        <v>20804690</v>
      </c>
      <c r="AI36" s="5">
        <f>VLOOKUP($F36,DDE!$A:$AJ,AI$1,FALSE)</f>
        <v>10989732</v>
      </c>
      <c r="AJ36" s="5" t="str">
        <f>VLOOKUP($F36,DDE!$A:$AJ,AJ$1,FALSE)</f>
        <v xml:space="preserve"> -</v>
      </c>
      <c r="AK36" s="5" t="str">
        <f>VLOOKUP($F36,DDE!$A:$AJ,AK$1,FALSE)</f>
        <v xml:space="preserve"> -</v>
      </c>
      <c r="AL36" s="5" t="e">
        <f t="shared" si="22"/>
        <v>#VALUE!</v>
      </c>
      <c r="AM36" s="5">
        <f>VLOOKUP(X36,cmoney!$A:$M,12,FALSE)</f>
        <v>47.1</v>
      </c>
    </row>
    <row r="37" spans="1:39" x14ac:dyDescent="0.25">
      <c r="A37" s="5" t="str">
        <f t="shared" si="14"/>
        <v/>
      </c>
      <c r="B37" s="5" t="s">
        <v>765</v>
      </c>
      <c r="C37" s="5" t="s">
        <v>440</v>
      </c>
      <c r="D37" s="5" t="s">
        <v>909</v>
      </c>
      <c r="E37" s="5">
        <f>VLOOKUP($D37,股期名單!$L:$M,2,FALSE)</f>
        <v>2000</v>
      </c>
      <c r="F37" s="5" t="str">
        <f t="shared" si="3"/>
        <v>MAFB1</v>
      </c>
      <c r="G37" s="7">
        <f t="shared" si="15"/>
        <v>-0.12100000000000001</v>
      </c>
      <c r="H37" s="5">
        <f>VLOOKUP($F37,DDE!$A:$AJ,H$1,FALSE)</f>
        <v>-21.78</v>
      </c>
      <c r="I37" s="5">
        <f>VLOOKUP($F37,DDE!$A:$AJ,I$1,FALSE)</f>
        <v>16421.62</v>
      </c>
      <c r="J37" s="5" t="str">
        <f>VLOOKUP($F37,DDE!$A:$AJ,J$1,FALSE)</f>
        <v xml:space="preserve"> -</v>
      </c>
      <c r="K37" s="5" t="str">
        <f>VLOOKUP($F37,DDE!$A:$AJ,K$1,FALSE)</f>
        <v xml:space="preserve"> -</v>
      </c>
      <c r="L37" s="5">
        <f>VLOOKUP($F37,DDE!$A:$AJ,L$1,FALSE)</f>
        <v>4027056</v>
      </c>
      <c r="M37" s="5">
        <f>VLOOKUP($F37,DDE!$A:$AJ,M$1,FALSE)</f>
        <v>16329.54</v>
      </c>
      <c r="N37" s="5">
        <f>VLOOKUP($F37,DDE!$A:$AJ,N$1,FALSE)</f>
        <v>16456.939999999999</v>
      </c>
      <c r="O37" s="5">
        <f>VLOOKUP($F37,DDE!$A:$AJ,O$1,FALSE)</f>
        <v>16329.54</v>
      </c>
      <c r="P37" s="5" t="str">
        <f>VLOOKUP($F37,DDE!$A:$AJ,P$1,FALSE)</f>
        <v xml:space="preserve"> -</v>
      </c>
      <c r="Q37" s="5" t="str">
        <f>VLOOKUP($F37,DDE!$A:$AJ,Q$1,FALSE)</f>
        <v xml:space="preserve"> -</v>
      </c>
      <c r="R37" s="5">
        <f t="shared" si="0"/>
        <v>16443.399999999998</v>
      </c>
      <c r="S37" s="5">
        <f>VLOOKUP(D37,cmoney!$A:$M,12,FALSE)</f>
        <v>180</v>
      </c>
      <c r="U37" s="5" t="str">
        <f t="shared" si="16"/>
        <v/>
      </c>
      <c r="V37" s="5" t="str">
        <f t="shared" si="17"/>
        <v>1707</v>
      </c>
      <c r="W37" s="5" t="str">
        <f t="shared" si="18"/>
        <v>葡萄王</v>
      </c>
      <c r="X37" s="5" t="str">
        <f t="shared" si="19"/>
        <v>MAF</v>
      </c>
      <c r="Y37" s="49">
        <f>VLOOKUP($X37,股期名單!$L:$M,2,FALSE)</f>
        <v>2000</v>
      </c>
      <c r="Z37" s="5" t="str">
        <f t="shared" si="20"/>
        <v>MAFC1</v>
      </c>
      <c r="AA37" s="7">
        <f t="shared" si="21"/>
        <v>-0.12100000000000001</v>
      </c>
      <c r="AB37" s="5">
        <f>VLOOKUP($F37,DDE!$A:$AJ,AB$1,FALSE)</f>
        <v>-21.78</v>
      </c>
      <c r="AC37" s="5">
        <f>VLOOKUP($F37,DDE!$A:$AJ,AC$1,FALSE)</f>
        <v>16421.62</v>
      </c>
      <c r="AD37" s="5" t="str">
        <f>VLOOKUP($F37,DDE!$A:$AJ,AD$1,FALSE)</f>
        <v xml:space="preserve"> -</v>
      </c>
      <c r="AE37" s="5" t="str">
        <f>VLOOKUP($F37,DDE!$A:$AJ,AE$1,FALSE)</f>
        <v xml:space="preserve"> -</v>
      </c>
      <c r="AF37" s="5">
        <f>VLOOKUP($F37,DDE!$A:$AJ,AF$1,FALSE)</f>
        <v>4027056</v>
      </c>
      <c r="AG37" s="5">
        <f>VLOOKUP($F37,DDE!$A:$AJ,AG$1,FALSE)</f>
        <v>16329.54</v>
      </c>
      <c r="AH37" s="5">
        <f>VLOOKUP($F37,DDE!$A:$AJ,AH$1,FALSE)</f>
        <v>16456.939999999999</v>
      </c>
      <c r="AI37" s="5">
        <f>VLOOKUP($F37,DDE!$A:$AJ,AI$1,FALSE)</f>
        <v>16329.54</v>
      </c>
      <c r="AJ37" s="5" t="str">
        <f>VLOOKUP($F37,DDE!$A:$AJ,AJ$1,FALSE)</f>
        <v xml:space="preserve"> -</v>
      </c>
      <c r="AK37" s="5" t="str">
        <f>VLOOKUP($F37,DDE!$A:$AJ,AK$1,FALSE)</f>
        <v xml:space="preserve"> -</v>
      </c>
      <c r="AL37" s="5">
        <f t="shared" si="22"/>
        <v>16443.399999999998</v>
      </c>
      <c r="AM37" s="5">
        <f>VLOOKUP(X37,cmoney!$A:$M,12,FALSE)</f>
        <v>180</v>
      </c>
    </row>
    <row r="38" spans="1:39" x14ac:dyDescent="0.25">
      <c r="A38" s="5" t="str">
        <f t="shared" si="14"/>
        <v/>
      </c>
      <c r="B38" s="5" t="s">
        <v>683</v>
      </c>
      <c r="C38" s="5" t="s">
        <v>194</v>
      </c>
      <c r="D38" s="5" t="s">
        <v>910</v>
      </c>
      <c r="E38" s="5">
        <f>VLOOKUP($D38,股期名單!$L:$M,2,FALSE)</f>
        <v>2000</v>
      </c>
      <c r="F38" s="5" t="str">
        <f t="shared" si="3"/>
        <v>EYFB1</v>
      </c>
      <c r="G38" s="7">
        <f t="shared" si="15"/>
        <v>-2.1564356435643566</v>
      </c>
      <c r="H38" s="5">
        <f>VLOOKUP($F38,DDE!$A:$AJ,H$1,FALSE)</f>
        <v>-21.78</v>
      </c>
      <c r="I38" s="5">
        <f>VLOOKUP($F38,DDE!$A:$AJ,I$1,FALSE)</f>
        <v>16421.62</v>
      </c>
      <c r="J38" s="5" t="str">
        <f>VLOOKUP($F38,DDE!$A:$AJ,J$1,FALSE)</f>
        <v xml:space="preserve"> -</v>
      </c>
      <c r="K38" s="5" t="str">
        <f>VLOOKUP($F38,DDE!$A:$AJ,K$1,FALSE)</f>
        <v xml:space="preserve"> -</v>
      </c>
      <c r="L38" s="5">
        <f>VLOOKUP($F38,DDE!$A:$AJ,L$1,FALSE)</f>
        <v>4027056</v>
      </c>
      <c r="M38" s="5">
        <f>VLOOKUP($F38,DDE!$A:$AJ,M$1,FALSE)</f>
        <v>16329.54</v>
      </c>
      <c r="N38" s="5">
        <f>VLOOKUP($F38,DDE!$A:$AJ,N$1,FALSE)</f>
        <v>16456.939999999999</v>
      </c>
      <c r="O38" s="5">
        <f>VLOOKUP($F38,DDE!$A:$AJ,O$1,FALSE)</f>
        <v>16329.54</v>
      </c>
      <c r="P38" s="5" t="str">
        <f>VLOOKUP($F38,DDE!$A:$AJ,P$1,FALSE)</f>
        <v xml:space="preserve"> -</v>
      </c>
      <c r="Q38" s="5" t="str">
        <f>VLOOKUP($F38,DDE!$A:$AJ,Q$1,FALSE)</f>
        <v xml:space="preserve"> -</v>
      </c>
      <c r="R38" s="5">
        <f t="shared" si="0"/>
        <v>16443.399999999998</v>
      </c>
      <c r="S38" s="5">
        <f>VLOOKUP(D38,cmoney!$A:$M,12,FALSE)</f>
        <v>10.1</v>
      </c>
      <c r="U38" s="5" t="str">
        <f t="shared" si="16"/>
        <v/>
      </c>
      <c r="V38" s="5" t="str">
        <f t="shared" si="17"/>
        <v>1718</v>
      </c>
      <c r="W38" s="5" t="str">
        <f t="shared" si="18"/>
        <v>中纖</v>
      </c>
      <c r="X38" s="5" t="str">
        <f t="shared" si="19"/>
        <v>EYF</v>
      </c>
      <c r="Y38" s="49">
        <f>VLOOKUP($X38,股期名單!$L:$M,2,FALSE)</f>
        <v>2000</v>
      </c>
      <c r="Z38" s="5" t="str">
        <f t="shared" si="20"/>
        <v>EYFC1</v>
      </c>
      <c r="AA38" s="7">
        <f t="shared" si="21"/>
        <v>-2.1564356435643566</v>
      </c>
      <c r="AB38" s="5">
        <f>VLOOKUP($F38,DDE!$A:$AJ,AB$1,FALSE)</f>
        <v>-21.78</v>
      </c>
      <c r="AC38" s="5">
        <f>VLOOKUP($F38,DDE!$A:$AJ,AC$1,FALSE)</f>
        <v>16421.62</v>
      </c>
      <c r="AD38" s="5" t="str">
        <f>VLOOKUP($F38,DDE!$A:$AJ,AD$1,FALSE)</f>
        <v xml:space="preserve"> -</v>
      </c>
      <c r="AE38" s="5" t="str">
        <f>VLOOKUP($F38,DDE!$A:$AJ,AE$1,FALSE)</f>
        <v xml:space="preserve"> -</v>
      </c>
      <c r="AF38" s="5">
        <f>VLOOKUP($F38,DDE!$A:$AJ,AF$1,FALSE)</f>
        <v>4027056</v>
      </c>
      <c r="AG38" s="5">
        <f>VLOOKUP($F38,DDE!$A:$AJ,AG$1,FALSE)</f>
        <v>16329.54</v>
      </c>
      <c r="AH38" s="5">
        <f>VLOOKUP($F38,DDE!$A:$AJ,AH$1,FALSE)</f>
        <v>16456.939999999999</v>
      </c>
      <c r="AI38" s="5">
        <f>VLOOKUP($F38,DDE!$A:$AJ,AI$1,FALSE)</f>
        <v>16329.54</v>
      </c>
      <c r="AJ38" s="5" t="str">
        <f>VLOOKUP($F38,DDE!$A:$AJ,AJ$1,FALSE)</f>
        <v xml:space="preserve"> -</v>
      </c>
      <c r="AK38" s="5" t="str">
        <f>VLOOKUP($F38,DDE!$A:$AJ,AK$1,FALSE)</f>
        <v xml:space="preserve"> -</v>
      </c>
      <c r="AL38" s="5">
        <f t="shared" si="22"/>
        <v>16443.399999999998</v>
      </c>
      <c r="AM38" s="5">
        <f>VLOOKUP(X38,cmoney!$A:$M,12,FALSE)</f>
        <v>10.1</v>
      </c>
    </row>
    <row r="39" spans="1:39" x14ac:dyDescent="0.25">
      <c r="A39" s="5" t="str">
        <f t="shared" si="14"/>
        <v/>
      </c>
      <c r="B39" s="5" t="s">
        <v>911</v>
      </c>
      <c r="C39" s="5" t="s">
        <v>830</v>
      </c>
      <c r="D39" s="5" t="s">
        <v>912</v>
      </c>
      <c r="E39" s="5">
        <f>VLOOKUP($D39,股期名單!$L:$M,2,FALSE)</f>
        <v>2000</v>
      </c>
      <c r="F39" s="5" t="str">
        <f t="shared" si="3"/>
        <v>EZFB1</v>
      </c>
      <c r="G39" s="7">
        <f t="shared" si="15"/>
        <v>-0.40333333333333338</v>
      </c>
      <c r="H39" s="5">
        <f>VLOOKUP($F39,DDE!$A:$AJ,H$1,FALSE)</f>
        <v>-21.78</v>
      </c>
      <c r="I39" s="5">
        <f>VLOOKUP($F39,DDE!$A:$AJ,I$1,FALSE)</f>
        <v>16421.62</v>
      </c>
      <c r="J39" s="5" t="str">
        <f>VLOOKUP($F39,DDE!$A:$AJ,J$1,FALSE)</f>
        <v xml:space="preserve"> -</v>
      </c>
      <c r="K39" s="5" t="str">
        <f>VLOOKUP($F39,DDE!$A:$AJ,K$1,FALSE)</f>
        <v xml:space="preserve"> -</v>
      </c>
      <c r="L39" s="5">
        <f>VLOOKUP($F39,DDE!$A:$AJ,L$1,FALSE)</f>
        <v>4027056</v>
      </c>
      <c r="M39" s="5">
        <f>VLOOKUP($F39,DDE!$A:$AJ,M$1,FALSE)</f>
        <v>16329.54</v>
      </c>
      <c r="N39" s="5">
        <f>VLOOKUP($F39,DDE!$A:$AJ,N$1,FALSE)</f>
        <v>16456.939999999999</v>
      </c>
      <c r="O39" s="5">
        <f>VLOOKUP($F39,DDE!$A:$AJ,O$1,FALSE)</f>
        <v>16329.54</v>
      </c>
      <c r="P39" s="5" t="str">
        <f>VLOOKUP($F39,DDE!$A:$AJ,P$1,FALSE)</f>
        <v xml:space="preserve"> -</v>
      </c>
      <c r="Q39" s="5" t="str">
        <f>VLOOKUP($F39,DDE!$A:$AJ,Q$1,FALSE)</f>
        <v xml:space="preserve"> -</v>
      </c>
      <c r="R39" s="5">
        <f t="shared" si="0"/>
        <v>16443.399999999998</v>
      </c>
      <c r="S39" s="5">
        <f>VLOOKUP(D39,cmoney!$A:$M,12,FALSE)</f>
        <v>54</v>
      </c>
      <c r="U39" s="5" t="str">
        <f t="shared" si="16"/>
        <v/>
      </c>
      <c r="V39" s="5" t="str">
        <f t="shared" si="17"/>
        <v>1722</v>
      </c>
      <c r="W39" s="5" t="str">
        <f t="shared" si="18"/>
        <v>台肥</v>
      </c>
      <c r="X39" s="5" t="str">
        <f t="shared" si="19"/>
        <v>EZF</v>
      </c>
      <c r="Y39" s="49">
        <f>VLOOKUP($X39,股期名單!$L:$M,2,FALSE)</f>
        <v>2000</v>
      </c>
      <c r="Z39" s="5" t="str">
        <f t="shared" si="20"/>
        <v>EZFC1</v>
      </c>
      <c r="AA39" s="7">
        <f t="shared" si="21"/>
        <v>-0.40333333333333338</v>
      </c>
      <c r="AB39" s="5">
        <f>VLOOKUP($F39,DDE!$A:$AJ,AB$1,FALSE)</f>
        <v>-21.78</v>
      </c>
      <c r="AC39" s="5">
        <f>VLOOKUP($F39,DDE!$A:$AJ,AC$1,FALSE)</f>
        <v>16421.62</v>
      </c>
      <c r="AD39" s="5" t="str">
        <f>VLOOKUP($F39,DDE!$A:$AJ,AD$1,FALSE)</f>
        <v xml:space="preserve"> -</v>
      </c>
      <c r="AE39" s="5" t="str">
        <f>VLOOKUP($F39,DDE!$A:$AJ,AE$1,FALSE)</f>
        <v xml:space="preserve"> -</v>
      </c>
      <c r="AF39" s="5">
        <f>VLOOKUP($F39,DDE!$A:$AJ,AF$1,FALSE)</f>
        <v>4027056</v>
      </c>
      <c r="AG39" s="5">
        <f>VLOOKUP($F39,DDE!$A:$AJ,AG$1,FALSE)</f>
        <v>16329.54</v>
      </c>
      <c r="AH39" s="5">
        <f>VLOOKUP($F39,DDE!$A:$AJ,AH$1,FALSE)</f>
        <v>16456.939999999999</v>
      </c>
      <c r="AI39" s="5">
        <f>VLOOKUP($F39,DDE!$A:$AJ,AI$1,FALSE)</f>
        <v>16329.54</v>
      </c>
      <c r="AJ39" s="5" t="str">
        <f>VLOOKUP($F39,DDE!$A:$AJ,AJ$1,FALSE)</f>
        <v xml:space="preserve"> -</v>
      </c>
      <c r="AK39" s="5" t="str">
        <f>VLOOKUP($F39,DDE!$A:$AJ,AK$1,FALSE)</f>
        <v xml:space="preserve"> -</v>
      </c>
      <c r="AL39" s="5">
        <f t="shared" si="22"/>
        <v>16443.399999999998</v>
      </c>
      <c r="AM39" s="5">
        <f>VLOOKUP(X39,cmoney!$A:$M,12,FALSE)</f>
        <v>54</v>
      </c>
    </row>
    <row r="40" spans="1:39" x14ac:dyDescent="0.25">
      <c r="A40" s="5" t="str">
        <f t="shared" si="14"/>
        <v/>
      </c>
      <c r="B40" s="5" t="s">
        <v>796</v>
      </c>
      <c r="C40" s="5" t="s">
        <v>567</v>
      </c>
      <c r="D40" s="5" t="s">
        <v>913</v>
      </c>
      <c r="E40" s="5">
        <f>VLOOKUP($D40,股期名單!$L:$M,2,FALSE)</f>
        <v>2000</v>
      </c>
      <c r="F40" s="5" t="str">
        <f t="shared" si="3"/>
        <v>OSFB1</v>
      </c>
      <c r="G40" s="7">
        <f t="shared" si="15"/>
        <v>-0.87645875251509053</v>
      </c>
      <c r="H40" s="5">
        <f>VLOOKUP($F40,DDE!$A:$AJ,H$1,FALSE)</f>
        <v>-21.78</v>
      </c>
      <c r="I40" s="5">
        <f>VLOOKUP($F40,DDE!$A:$AJ,I$1,FALSE)</f>
        <v>16421.62</v>
      </c>
      <c r="J40" s="5" t="str">
        <f>VLOOKUP($F40,DDE!$A:$AJ,J$1,FALSE)</f>
        <v xml:space="preserve"> -</v>
      </c>
      <c r="K40" s="5" t="str">
        <f>VLOOKUP($F40,DDE!$A:$AJ,K$1,FALSE)</f>
        <v xml:space="preserve"> -</v>
      </c>
      <c r="L40" s="5">
        <f>VLOOKUP($F40,DDE!$A:$AJ,L$1,FALSE)</f>
        <v>4027056</v>
      </c>
      <c r="M40" s="5">
        <f>VLOOKUP($F40,DDE!$A:$AJ,M$1,FALSE)</f>
        <v>16329.54</v>
      </c>
      <c r="N40" s="5">
        <f>VLOOKUP($F40,DDE!$A:$AJ,N$1,FALSE)</f>
        <v>16456.939999999999</v>
      </c>
      <c r="O40" s="5">
        <f>VLOOKUP($F40,DDE!$A:$AJ,O$1,FALSE)</f>
        <v>16329.54</v>
      </c>
      <c r="P40" s="5" t="str">
        <f>VLOOKUP($F40,DDE!$A:$AJ,P$1,FALSE)</f>
        <v xml:space="preserve"> -</v>
      </c>
      <c r="Q40" s="5" t="str">
        <f>VLOOKUP($F40,DDE!$A:$AJ,Q$1,FALSE)</f>
        <v xml:space="preserve"> -</v>
      </c>
      <c r="R40" s="5">
        <f t="shared" si="0"/>
        <v>16443.399999999998</v>
      </c>
      <c r="S40" s="5">
        <f>VLOOKUP(D40,cmoney!$A:$M,12,FALSE)</f>
        <v>24.85</v>
      </c>
      <c r="U40" s="5" t="str">
        <f t="shared" si="16"/>
        <v/>
      </c>
      <c r="V40" s="5" t="str">
        <f t="shared" si="17"/>
        <v>1909</v>
      </c>
      <c r="W40" s="5" t="str">
        <f t="shared" si="18"/>
        <v>榮成</v>
      </c>
      <c r="X40" s="5" t="str">
        <f t="shared" si="19"/>
        <v>OSF</v>
      </c>
      <c r="Y40" s="49">
        <f>VLOOKUP($X40,股期名單!$L:$M,2,FALSE)</f>
        <v>2000</v>
      </c>
      <c r="Z40" s="5" t="str">
        <f t="shared" si="20"/>
        <v>OSFC1</v>
      </c>
      <c r="AA40" s="7">
        <f t="shared" si="21"/>
        <v>-0.87645875251509053</v>
      </c>
      <c r="AB40" s="5">
        <f>VLOOKUP($F40,DDE!$A:$AJ,AB$1,FALSE)</f>
        <v>-21.78</v>
      </c>
      <c r="AC40" s="5">
        <f>VLOOKUP($F40,DDE!$A:$AJ,AC$1,FALSE)</f>
        <v>16421.62</v>
      </c>
      <c r="AD40" s="5" t="str">
        <f>VLOOKUP($F40,DDE!$A:$AJ,AD$1,FALSE)</f>
        <v xml:space="preserve"> -</v>
      </c>
      <c r="AE40" s="5" t="str">
        <f>VLOOKUP($F40,DDE!$A:$AJ,AE$1,FALSE)</f>
        <v xml:space="preserve"> -</v>
      </c>
      <c r="AF40" s="5">
        <f>VLOOKUP($F40,DDE!$A:$AJ,AF$1,FALSE)</f>
        <v>4027056</v>
      </c>
      <c r="AG40" s="5">
        <f>VLOOKUP($F40,DDE!$A:$AJ,AG$1,FALSE)</f>
        <v>16329.54</v>
      </c>
      <c r="AH40" s="5">
        <f>VLOOKUP($F40,DDE!$A:$AJ,AH$1,FALSE)</f>
        <v>16456.939999999999</v>
      </c>
      <c r="AI40" s="5">
        <f>VLOOKUP($F40,DDE!$A:$AJ,AI$1,FALSE)</f>
        <v>16329.54</v>
      </c>
      <c r="AJ40" s="5" t="str">
        <f>VLOOKUP($F40,DDE!$A:$AJ,AJ$1,FALSE)</f>
        <v xml:space="preserve"> -</v>
      </c>
      <c r="AK40" s="5" t="str">
        <f>VLOOKUP($F40,DDE!$A:$AJ,AK$1,FALSE)</f>
        <v xml:space="preserve"> -</v>
      </c>
      <c r="AL40" s="5">
        <f t="shared" si="22"/>
        <v>16443.399999999998</v>
      </c>
      <c r="AM40" s="5">
        <f>VLOOKUP(X40,cmoney!$A:$M,12,FALSE)</f>
        <v>24.85</v>
      </c>
    </row>
    <row r="41" spans="1:39" x14ac:dyDescent="0.25">
      <c r="A41" s="5" t="str">
        <f t="shared" si="14"/>
        <v/>
      </c>
      <c r="B41" s="5" t="s">
        <v>637</v>
      </c>
      <c r="C41" s="5" t="s">
        <v>56</v>
      </c>
      <c r="D41" s="5" t="s">
        <v>914</v>
      </c>
      <c r="E41" s="5">
        <f>VLOOKUP($D41,股期名單!$L:$M,2,FALSE)</f>
        <v>2000</v>
      </c>
      <c r="F41" s="5" t="str">
        <f t="shared" si="3"/>
        <v>CBFB1</v>
      </c>
      <c r="G41" s="7">
        <f t="shared" si="15"/>
        <v>0.3140039447731755</v>
      </c>
      <c r="H41" s="5">
        <f>VLOOKUP($F41,DDE!$A:$AJ,H$1,FALSE)</f>
        <v>7.96</v>
      </c>
      <c r="I41" s="5">
        <f>VLOOKUP($F41,DDE!$A:$AJ,I$1,FALSE)</f>
        <v>13894.54</v>
      </c>
      <c r="J41" s="5" t="str">
        <f>VLOOKUP($F41,DDE!$A:$AJ,J$1,FALSE)</f>
        <v xml:space="preserve"> -</v>
      </c>
      <c r="K41" s="5" t="str">
        <f>VLOOKUP($F41,DDE!$A:$AJ,K$1,FALSE)</f>
        <v xml:space="preserve"> -</v>
      </c>
      <c r="L41" s="5">
        <f>VLOOKUP($F41,DDE!$A:$AJ,L$1,FALSE)</f>
        <v>870725</v>
      </c>
      <c r="M41" s="5">
        <f>VLOOKUP($F41,DDE!$A:$AJ,M$1,FALSE)</f>
        <v>13893.03</v>
      </c>
      <c r="N41" s="5">
        <f>VLOOKUP($F41,DDE!$A:$AJ,N$1,FALSE)</f>
        <v>13945.78</v>
      </c>
      <c r="O41" s="5">
        <f>VLOOKUP($F41,DDE!$A:$AJ,O$1,FALSE)</f>
        <v>13875.82</v>
      </c>
      <c r="P41" s="5" t="str">
        <f>VLOOKUP($F41,DDE!$A:$AJ,P$1,FALSE)</f>
        <v xml:space="preserve"> -</v>
      </c>
      <c r="Q41" s="5" t="str">
        <f>VLOOKUP($F41,DDE!$A:$AJ,Q$1,FALSE)</f>
        <v xml:space="preserve"> -</v>
      </c>
      <c r="R41" s="5">
        <f t="shared" si="0"/>
        <v>13886.580000000002</v>
      </c>
      <c r="S41" s="5">
        <f>VLOOKUP(D41,cmoney!$A:$M,12,FALSE)</f>
        <v>25.35</v>
      </c>
      <c r="U41" s="5" t="str">
        <f t="shared" si="16"/>
        <v/>
      </c>
      <c r="V41" s="5" t="str">
        <f t="shared" si="17"/>
        <v>2002</v>
      </c>
      <c r="W41" s="5" t="str">
        <f t="shared" si="18"/>
        <v>中鋼</v>
      </c>
      <c r="X41" s="5" t="str">
        <f t="shared" si="19"/>
        <v>CBF</v>
      </c>
      <c r="Y41" s="49">
        <f>VLOOKUP($X41,股期名單!$L:$M,2,FALSE)</f>
        <v>2000</v>
      </c>
      <c r="Z41" s="5" t="str">
        <f t="shared" si="20"/>
        <v>CBFC1</v>
      </c>
      <c r="AA41" s="7">
        <f t="shared" si="21"/>
        <v>0.3140039447731755</v>
      </c>
      <c r="AB41" s="5">
        <f>VLOOKUP($F41,DDE!$A:$AJ,AB$1,FALSE)</f>
        <v>7.96</v>
      </c>
      <c r="AC41" s="5">
        <f>VLOOKUP($F41,DDE!$A:$AJ,AC$1,FALSE)</f>
        <v>13894.54</v>
      </c>
      <c r="AD41" s="5" t="str">
        <f>VLOOKUP($F41,DDE!$A:$AJ,AD$1,FALSE)</f>
        <v xml:space="preserve"> -</v>
      </c>
      <c r="AE41" s="5" t="str">
        <f>VLOOKUP($F41,DDE!$A:$AJ,AE$1,FALSE)</f>
        <v xml:space="preserve"> -</v>
      </c>
      <c r="AF41" s="5">
        <f>VLOOKUP($F41,DDE!$A:$AJ,AF$1,FALSE)</f>
        <v>870725</v>
      </c>
      <c r="AG41" s="5">
        <f>VLOOKUP($F41,DDE!$A:$AJ,AG$1,FALSE)</f>
        <v>13893.03</v>
      </c>
      <c r="AH41" s="5">
        <f>VLOOKUP($F41,DDE!$A:$AJ,AH$1,FALSE)</f>
        <v>13945.78</v>
      </c>
      <c r="AI41" s="5">
        <f>VLOOKUP($F41,DDE!$A:$AJ,AI$1,FALSE)</f>
        <v>13875.82</v>
      </c>
      <c r="AJ41" s="5" t="str">
        <f>VLOOKUP($F41,DDE!$A:$AJ,AJ$1,FALSE)</f>
        <v xml:space="preserve"> -</v>
      </c>
      <c r="AK41" s="5" t="str">
        <f>VLOOKUP($F41,DDE!$A:$AJ,AK$1,FALSE)</f>
        <v xml:space="preserve"> -</v>
      </c>
      <c r="AL41" s="5">
        <f t="shared" si="22"/>
        <v>13886.580000000002</v>
      </c>
      <c r="AM41" s="5">
        <f>VLOOKUP(X41,cmoney!$A:$M,12,FALSE)</f>
        <v>25.35</v>
      </c>
    </row>
    <row r="42" spans="1:39" x14ac:dyDescent="0.25">
      <c r="A42" s="5" t="str">
        <f t="shared" si="14"/>
        <v/>
      </c>
      <c r="B42" s="5" t="s">
        <v>684</v>
      </c>
      <c r="C42" s="5" t="s">
        <v>197</v>
      </c>
      <c r="D42" s="5" t="s">
        <v>915</v>
      </c>
      <c r="E42" s="5">
        <f>VLOOKUP($D42,股期名單!$L:$M,2,FALSE)</f>
        <v>2000</v>
      </c>
      <c r="F42" s="5" t="str">
        <f t="shared" si="3"/>
        <v>FEFB1</v>
      </c>
      <c r="G42" s="7" t="e">
        <f t="shared" si="15"/>
        <v>#VALUE!</v>
      </c>
      <c r="H42" s="5" t="str">
        <f>VLOOKUP($F42,DDE!$A:$AJ,H$1,FALSE)</f>
        <v xml:space="preserve"> </v>
      </c>
      <c r="I42" s="5">
        <f>VLOOKUP($F42,DDE!$A:$AJ,I$1,FALSE)</f>
        <v>20878632</v>
      </c>
      <c r="J42" s="5" t="str">
        <f>VLOOKUP($F42,DDE!$A:$AJ,J$1,FALSE)</f>
        <v xml:space="preserve"> -</v>
      </c>
      <c r="K42" s="5" t="str">
        <f>VLOOKUP($F42,DDE!$A:$AJ,K$1,FALSE)</f>
        <v xml:space="preserve"> -</v>
      </c>
      <c r="L42" s="5">
        <f>VLOOKUP($F42,DDE!$A:$AJ,L$1,FALSE)</f>
        <v>2088371110</v>
      </c>
      <c r="M42" s="5">
        <f>VLOOKUP($F42,DDE!$A:$AJ,M$1,FALSE)</f>
        <v>20803788</v>
      </c>
      <c r="N42" s="5">
        <f>VLOOKUP($F42,DDE!$A:$AJ,N$1,FALSE)</f>
        <v>20804690</v>
      </c>
      <c r="O42" s="5">
        <f>VLOOKUP($F42,DDE!$A:$AJ,O$1,FALSE)</f>
        <v>10989732</v>
      </c>
      <c r="P42" s="5" t="str">
        <f>VLOOKUP($F42,DDE!$A:$AJ,P$1,FALSE)</f>
        <v xml:space="preserve"> -</v>
      </c>
      <c r="Q42" s="5" t="str">
        <f>VLOOKUP($F42,DDE!$A:$AJ,Q$1,FALSE)</f>
        <v xml:space="preserve"> -</v>
      </c>
      <c r="R42" s="5" t="e">
        <f t="shared" si="0"/>
        <v>#VALUE!</v>
      </c>
      <c r="S42" s="5">
        <f>VLOOKUP(D42,cmoney!$A:$M,12,FALSE)</f>
        <v>31.1</v>
      </c>
      <c r="U42" s="5" t="str">
        <f t="shared" si="16"/>
        <v/>
      </c>
      <c r="V42" s="5" t="str">
        <f t="shared" si="17"/>
        <v>2027</v>
      </c>
      <c r="W42" s="5" t="str">
        <f t="shared" si="18"/>
        <v>大成鋼</v>
      </c>
      <c r="X42" s="5" t="str">
        <f t="shared" si="19"/>
        <v>FEF</v>
      </c>
      <c r="Y42" s="49">
        <f>VLOOKUP($X42,股期名單!$L:$M,2,FALSE)</f>
        <v>2000</v>
      </c>
      <c r="Z42" s="5" t="str">
        <f t="shared" si="20"/>
        <v>FEFC1</v>
      </c>
      <c r="AA42" s="7" t="e">
        <f t="shared" si="21"/>
        <v>#VALUE!</v>
      </c>
      <c r="AB42" s="5" t="str">
        <f>VLOOKUP($F42,DDE!$A:$AJ,AB$1,FALSE)</f>
        <v xml:space="preserve"> </v>
      </c>
      <c r="AC42" s="5">
        <f>VLOOKUP($F42,DDE!$A:$AJ,AC$1,FALSE)</f>
        <v>20878632</v>
      </c>
      <c r="AD42" s="5" t="str">
        <f>VLOOKUP($F42,DDE!$A:$AJ,AD$1,FALSE)</f>
        <v xml:space="preserve"> -</v>
      </c>
      <c r="AE42" s="5" t="str">
        <f>VLOOKUP($F42,DDE!$A:$AJ,AE$1,FALSE)</f>
        <v xml:space="preserve"> -</v>
      </c>
      <c r="AF42" s="5">
        <f>VLOOKUP($F42,DDE!$A:$AJ,AF$1,FALSE)</f>
        <v>2088371110</v>
      </c>
      <c r="AG42" s="5">
        <f>VLOOKUP($F42,DDE!$A:$AJ,AG$1,FALSE)</f>
        <v>20803788</v>
      </c>
      <c r="AH42" s="5">
        <f>VLOOKUP($F42,DDE!$A:$AJ,AH$1,FALSE)</f>
        <v>20804690</v>
      </c>
      <c r="AI42" s="5">
        <f>VLOOKUP($F42,DDE!$A:$AJ,AI$1,FALSE)</f>
        <v>10989732</v>
      </c>
      <c r="AJ42" s="5" t="str">
        <f>VLOOKUP($F42,DDE!$A:$AJ,AJ$1,FALSE)</f>
        <v xml:space="preserve"> -</v>
      </c>
      <c r="AK42" s="5" t="str">
        <f>VLOOKUP($F42,DDE!$A:$AJ,AK$1,FALSE)</f>
        <v xml:space="preserve"> -</v>
      </c>
      <c r="AL42" s="5" t="e">
        <f t="shared" si="22"/>
        <v>#VALUE!</v>
      </c>
      <c r="AM42" s="5">
        <f>VLOOKUP(X42,cmoney!$A:$M,12,FALSE)</f>
        <v>31.1</v>
      </c>
    </row>
    <row r="43" spans="1:39" x14ac:dyDescent="0.25">
      <c r="A43" s="5" t="str">
        <f t="shared" si="14"/>
        <v/>
      </c>
      <c r="B43" s="5" t="s">
        <v>685</v>
      </c>
      <c r="C43" s="5" t="s">
        <v>200</v>
      </c>
      <c r="D43" s="5" t="s">
        <v>916</v>
      </c>
      <c r="E43" s="5">
        <f>VLOOKUP($D43,股期名單!$L:$M,2,FALSE)</f>
        <v>2000</v>
      </c>
      <c r="F43" s="5" t="str">
        <f t="shared" si="3"/>
        <v>FFFB1</v>
      </c>
      <c r="G43" s="7" t="e">
        <f t="shared" si="15"/>
        <v>#VALUE!</v>
      </c>
      <c r="H43" s="5" t="str">
        <f>VLOOKUP($F43,DDE!$A:$AJ,H$1,FALSE)</f>
        <v xml:space="preserve"> </v>
      </c>
      <c r="I43" s="5">
        <f>VLOOKUP($F43,DDE!$A:$AJ,I$1,FALSE)</f>
        <v>20878632</v>
      </c>
      <c r="J43" s="5" t="str">
        <f>VLOOKUP($F43,DDE!$A:$AJ,J$1,FALSE)</f>
        <v xml:space="preserve"> -</v>
      </c>
      <c r="K43" s="5" t="str">
        <f>VLOOKUP($F43,DDE!$A:$AJ,K$1,FALSE)</f>
        <v xml:space="preserve"> -</v>
      </c>
      <c r="L43" s="5">
        <f>VLOOKUP($F43,DDE!$A:$AJ,L$1,FALSE)</f>
        <v>2088371110</v>
      </c>
      <c r="M43" s="5">
        <f>VLOOKUP($F43,DDE!$A:$AJ,M$1,FALSE)</f>
        <v>20803788</v>
      </c>
      <c r="N43" s="5">
        <f>VLOOKUP($F43,DDE!$A:$AJ,N$1,FALSE)</f>
        <v>20804690</v>
      </c>
      <c r="O43" s="5">
        <f>VLOOKUP($F43,DDE!$A:$AJ,O$1,FALSE)</f>
        <v>10989732</v>
      </c>
      <c r="P43" s="5" t="str">
        <f>VLOOKUP($F43,DDE!$A:$AJ,P$1,FALSE)</f>
        <v xml:space="preserve"> -</v>
      </c>
      <c r="Q43" s="5" t="str">
        <f>VLOOKUP($F43,DDE!$A:$AJ,Q$1,FALSE)</f>
        <v xml:space="preserve"> -</v>
      </c>
      <c r="R43" s="5" t="e">
        <f t="shared" ref="R43:R74" si="23">IF(L43&gt;0,I43-H43,"")</f>
        <v>#VALUE!</v>
      </c>
      <c r="S43" s="5">
        <f>VLOOKUP(D43,cmoney!$A:$M,12,FALSE)</f>
        <v>407</v>
      </c>
      <c r="U43" s="5" t="str">
        <f t="shared" si="16"/>
        <v/>
      </c>
      <c r="V43" s="5" t="str">
        <f t="shared" si="17"/>
        <v>2049</v>
      </c>
      <c r="W43" s="5" t="str">
        <f t="shared" si="18"/>
        <v>上銀</v>
      </c>
      <c r="X43" s="5" t="str">
        <f t="shared" si="19"/>
        <v>FFF</v>
      </c>
      <c r="Y43" s="49">
        <f>VLOOKUP($X43,股期名單!$L:$M,2,FALSE)</f>
        <v>2000</v>
      </c>
      <c r="Z43" s="5" t="str">
        <f t="shared" si="20"/>
        <v>FFFC1</v>
      </c>
      <c r="AA43" s="7" t="e">
        <f t="shared" si="21"/>
        <v>#VALUE!</v>
      </c>
      <c r="AB43" s="5" t="str">
        <f>VLOOKUP($F43,DDE!$A:$AJ,AB$1,FALSE)</f>
        <v xml:space="preserve"> </v>
      </c>
      <c r="AC43" s="5">
        <f>VLOOKUP($F43,DDE!$A:$AJ,AC$1,FALSE)</f>
        <v>20878632</v>
      </c>
      <c r="AD43" s="5" t="str">
        <f>VLOOKUP($F43,DDE!$A:$AJ,AD$1,FALSE)</f>
        <v xml:space="preserve"> -</v>
      </c>
      <c r="AE43" s="5" t="str">
        <f>VLOOKUP($F43,DDE!$A:$AJ,AE$1,FALSE)</f>
        <v xml:space="preserve"> -</v>
      </c>
      <c r="AF43" s="5">
        <f>VLOOKUP($F43,DDE!$A:$AJ,AF$1,FALSE)</f>
        <v>2088371110</v>
      </c>
      <c r="AG43" s="5">
        <f>VLOOKUP($F43,DDE!$A:$AJ,AG$1,FALSE)</f>
        <v>20803788</v>
      </c>
      <c r="AH43" s="5">
        <f>VLOOKUP($F43,DDE!$A:$AJ,AH$1,FALSE)</f>
        <v>20804690</v>
      </c>
      <c r="AI43" s="5">
        <f>VLOOKUP($F43,DDE!$A:$AJ,AI$1,FALSE)</f>
        <v>10989732</v>
      </c>
      <c r="AJ43" s="5" t="str">
        <f>VLOOKUP($F43,DDE!$A:$AJ,AJ$1,FALSE)</f>
        <v xml:space="preserve"> -</v>
      </c>
      <c r="AK43" s="5" t="str">
        <f>VLOOKUP($F43,DDE!$A:$AJ,AK$1,FALSE)</f>
        <v xml:space="preserve"> -</v>
      </c>
      <c r="AL43" s="5" t="e">
        <f t="shared" si="22"/>
        <v>#VALUE!</v>
      </c>
      <c r="AM43" s="5">
        <f>VLOOKUP(X43,cmoney!$A:$M,12,FALSE)</f>
        <v>407</v>
      </c>
    </row>
    <row r="44" spans="1:39" x14ac:dyDescent="0.25">
      <c r="A44" s="5" t="str">
        <f t="shared" si="14"/>
        <v/>
      </c>
      <c r="B44" s="5" t="s">
        <v>686</v>
      </c>
      <c r="C44" s="5" t="s">
        <v>203</v>
      </c>
      <c r="D44" s="5" t="s">
        <v>917</v>
      </c>
      <c r="E44" s="5">
        <f>VLOOKUP($D44,股期名單!$L:$M,2,FALSE)</f>
        <v>2000</v>
      </c>
      <c r="F44" s="5" t="str">
        <f t="shared" si="3"/>
        <v>FGFB1</v>
      </c>
      <c r="G44" s="7">
        <f t="shared" si="15"/>
        <v>-4.5425867507886436E-2</v>
      </c>
      <c r="H44" s="5">
        <f>VLOOKUP($F44,DDE!$A:$AJ,H$1,FALSE)</f>
        <v>-14.4</v>
      </c>
      <c r="I44" s="5">
        <f>VLOOKUP($F44,DDE!$A:$AJ,I$1,FALSE)</f>
        <v>16429</v>
      </c>
      <c r="J44" s="5" t="str">
        <f>VLOOKUP($F44,DDE!$A:$AJ,J$1,FALSE)</f>
        <v xml:space="preserve"> -</v>
      </c>
      <c r="K44" s="5" t="str">
        <f>VLOOKUP($F44,DDE!$A:$AJ,K$1,FALSE)</f>
        <v xml:space="preserve"> -</v>
      </c>
      <c r="L44" s="5">
        <f>VLOOKUP($F44,DDE!$A:$AJ,L$1,FALSE)</f>
        <v>4018459</v>
      </c>
      <c r="M44" s="5">
        <f>VLOOKUP($F44,DDE!$A:$AJ,M$1,FALSE)</f>
        <v>16329.54</v>
      </c>
      <c r="N44" s="5">
        <f>VLOOKUP($F44,DDE!$A:$AJ,N$1,FALSE)</f>
        <v>16456.939999999999</v>
      </c>
      <c r="O44" s="5">
        <f>VLOOKUP($F44,DDE!$A:$AJ,O$1,FALSE)</f>
        <v>16329.54</v>
      </c>
      <c r="P44" s="5" t="str">
        <f>VLOOKUP($F44,DDE!$A:$AJ,P$1,FALSE)</f>
        <v xml:space="preserve"> -</v>
      </c>
      <c r="Q44" s="5" t="str">
        <f>VLOOKUP($F44,DDE!$A:$AJ,Q$1,FALSE)</f>
        <v xml:space="preserve"> -</v>
      </c>
      <c r="R44" s="5">
        <f t="shared" si="23"/>
        <v>16443.400000000001</v>
      </c>
      <c r="S44" s="5">
        <f>VLOOKUP(D44,cmoney!$A:$M,12,FALSE)</f>
        <v>317</v>
      </c>
      <c r="U44" s="5" t="str">
        <f t="shared" si="16"/>
        <v/>
      </c>
      <c r="V44" s="5" t="str">
        <f t="shared" si="17"/>
        <v>2059</v>
      </c>
      <c r="W44" s="5" t="str">
        <f t="shared" si="18"/>
        <v>川湖</v>
      </c>
      <c r="X44" s="5" t="str">
        <f t="shared" si="19"/>
        <v>FGF</v>
      </c>
      <c r="Y44" s="49">
        <f>VLOOKUP($X44,股期名單!$L:$M,2,FALSE)</f>
        <v>2000</v>
      </c>
      <c r="Z44" s="5" t="str">
        <f t="shared" si="20"/>
        <v>FGFC1</v>
      </c>
      <c r="AA44" s="7">
        <f t="shared" si="21"/>
        <v>-4.5425867507886436E-2</v>
      </c>
      <c r="AB44" s="5">
        <f>VLOOKUP($F44,DDE!$A:$AJ,AB$1,FALSE)</f>
        <v>-14.4</v>
      </c>
      <c r="AC44" s="5">
        <f>VLOOKUP($F44,DDE!$A:$AJ,AC$1,FALSE)</f>
        <v>16429</v>
      </c>
      <c r="AD44" s="5" t="str">
        <f>VLOOKUP($F44,DDE!$A:$AJ,AD$1,FALSE)</f>
        <v xml:space="preserve"> -</v>
      </c>
      <c r="AE44" s="5" t="str">
        <f>VLOOKUP($F44,DDE!$A:$AJ,AE$1,FALSE)</f>
        <v xml:space="preserve"> -</v>
      </c>
      <c r="AF44" s="5">
        <f>VLOOKUP($F44,DDE!$A:$AJ,AF$1,FALSE)</f>
        <v>4018459</v>
      </c>
      <c r="AG44" s="5">
        <f>VLOOKUP($F44,DDE!$A:$AJ,AG$1,FALSE)</f>
        <v>16329.54</v>
      </c>
      <c r="AH44" s="5">
        <f>VLOOKUP($F44,DDE!$A:$AJ,AH$1,FALSE)</f>
        <v>16456.939999999999</v>
      </c>
      <c r="AI44" s="5">
        <f>VLOOKUP($F44,DDE!$A:$AJ,AI$1,FALSE)</f>
        <v>16329.54</v>
      </c>
      <c r="AJ44" s="5" t="str">
        <f>VLOOKUP($F44,DDE!$A:$AJ,AJ$1,FALSE)</f>
        <v xml:space="preserve"> -</v>
      </c>
      <c r="AK44" s="5" t="str">
        <f>VLOOKUP($F44,DDE!$A:$AJ,AK$1,FALSE)</f>
        <v xml:space="preserve"> -</v>
      </c>
      <c r="AL44" s="5">
        <f t="shared" si="22"/>
        <v>16443.400000000001</v>
      </c>
      <c r="AM44" s="5">
        <f>VLOOKUP(X44,cmoney!$A:$M,12,FALSE)</f>
        <v>317</v>
      </c>
    </row>
    <row r="45" spans="1:39" x14ac:dyDescent="0.25">
      <c r="A45" s="5" t="str">
        <f t="shared" si="14"/>
        <v/>
      </c>
      <c r="B45" s="5" t="s">
        <v>687</v>
      </c>
      <c r="C45" s="5" t="s">
        <v>206</v>
      </c>
      <c r="D45" s="5" t="s">
        <v>918</v>
      </c>
      <c r="E45" s="5">
        <f>VLOOKUP($D45,股期名單!$L:$M,2,FALSE)</f>
        <v>2000</v>
      </c>
      <c r="F45" s="5" t="str">
        <f t="shared" si="3"/>
        <v>FKFB1</v>
      </c>
      <c r="G45" s="7">
        <f t="shared" si="15"/>
        <v>0.31422222222222224</v>
      </c>
      <c r="H45" s="5">
        <f>VLOOKUP($F45,DDE!$A:$AJ,H$1,FALSE)</f>
        <v>14.14</v>
      </c>
      <c r="I45" s="5">
        <f>VLOOKUP($F45,DDE!$A:$AJ,I$1,FALSE)</f>
        <v>13900.72</v>
      </c>
      <c r="J45" s="5" t="str">
        <f>VLOOKUP($F45,DDE!$A:$AJ,J$1,FALSE)</f>
        <v xml:space="preserve"> -</v>
      </c>
      <c r="K45" s="5" t="str">
        <f>VLOOKUP($F45,DDE!$A:$AJ,K$1,FALSE)</f>
        <v xml:space="preserve"> -</v>
      </c>
      <c r="L45" s="5">
        <f>VLOOKUP($F45,DDE!$A:$AJ,L$1,FALSE)</f>
        <v>873827</v>
      </c>
      <c r="M45" s="5">
        <f>VLOOKUP($F45,DDE!$A:$AJ,M$1,FALSE)</f>
        <v>13893.03</v>
      </c>
      <c r="N45" s="5">
        <f>VLOOKUP($F45,DDE!$A:$AJ,N$1,FALSE)</f>
        <v>13945.78</v>
      </c>
      <c r="O45" s="5">
        <f>VLOOKUP($F45,DDE!$A:$AJ,O$1,FALSE)</f>
        <v>13875.82</v>
      </c>
      <c r="P45" s="5" t="str">
        <f>VLOOKUP($F45,DDE!$A:$AJ,P$1,FALSE)</f>
        <v xml:space="preserve"> -</v>
      </c>
      <c r="Q45" s="5" t="str">
        <f>VLOOKUP($F45,DDE!$A:$AJ,Q$1,FALSE)</f>
        <v xml:space="preserve"> -</v>
      </c>
      <c r="R45" s="5">
        <f t="shared" si="23"/>
        <v>13886.58</v>
      </c>
      <c r="S45" s="5">
        <f>VLOOKUP(D45,cmoney!$A:$M,12,FALSE)</f>
        <v>45</v>
      </c>
      <c r="U45" s="5" t="str">
        <f t="shared" si="16"/>
        <v/>
      </c>
      <c r="V45" s="5" t="str">
        <f t="shared" si="17"/>
        <v>2105</v>
      </c>
      <c r="W45" s="5" t="str">
        <f t="shared" si="18"/>
        <v>正新</v>
      </c>
      <c r="X45" s="5" t="str">
        <f t="shared" si="19"/>
        <v>FKF</v>
      </c>
      <c r="Y45" s="49">
        <f>VLOOKUP($X45,股期名單!$L:$M,2,FALSE)</f>
        <v>2000</v>
      </c>
      <c r="Z45" s="5" t="str">
        <f t="shared" si="20"/>
        <v>FKFC1</v>
      </c>
      <c r="AA45" s="7">
        <f t="shared" si="21"/>
        <v>0.31422222222222224</v>
      </c>
      <c r="AB45" s="5">
        <f>VLOOKUP($F45,DDE!$A:$AJ,AB$1,FALSE)</f>
        <v>14.14</v>
      </c>
      <c r="AC45" s="5">
        <f>VLOOKUP($F45,DDE!$A:$AJ,AC$1,FALSE)</f>
        <v>13900.72</v>
      </c>
      <c r="AD45" s="5" t="str">
        <f>VLOOKUP($F45,DDE!$A:$AJ,AD$1,FALSE)</f>
        <v xml:space="preserve"> -</v>
      </c>
      <c r="AE45" s="5" t="str">
        <f>VLOOKUP($F45,DDE!$A:$AJ,AE$1,FALSE)</f>
        <v xml:space="preserve"> -</v>
      </c>
      <c r="AF45" s="5">
        <f>VLOOKUP($F45,DDE!$A:$AJ,AF$1,FALSE)</f>
        <v>873827</v>
      </c>
      <c r="AG45" s="5">
        <f>VLOOKUP($F45,DDE!$A:$AJ,AG$1,FALSE)</f>
        <v>13893.03</v>
      </c>
      <c r="AH45" s="5">
        <f>VLOOKUP($F45,DDE!$A:$AJ,AH$1,FALSE)</f>
        <v>13945.78</v>
      </c>
      <c r="AI45" s="5">
        <f>VLOOKUP($F45,DDE!$A:$AJ,AI$1,FALSE)</f>
        <v>13875.82</v>
      </c>
      <c r="AJ45" s="5" t="str">
        <f>VLOOKUP($F45,DDE!$A:$AJ,AJ$1,FALSE)</f>
        <v xml:space="preserve"> -</v>
      </c>
      <c r="AK45" s="5" t="str">
        <f>VLOOKUP($F45,DDE!$A:$AJ,AK$1,FALSE)</f>
        <v xml:space="preserve"> -</v>
      </c>
      <c r="AL45" s="5">
        <f t="shared" si="22"/>
        <v>13886.58</v>
      </c>
      <c r="AM45" s="5">
        <f>VLOOKUP(X45,cmoney!$A:$M,12,FALSE)</f>
        <v>45</v>
      </c>
    </row>
    <row r="46" spans="1:39" x14ac:dyDescent="0.25">
      <c r="A46" s="5" t="str">
        <f t="shared" si="14"/>
        <v/>
      </c>
      <c r="B46" s="5" t="s">
        <v>919</v>
      </c>
      <c r="C46" s="5" t="s">
        <v>833</v>
      </c>
      <c r="D46" s="5" t="s">
        <v>920</v>
      </c>
      <c r="E46" s="5">
        <f>VLOOKUP($D46,股期名單!$L:$M,2,FALSE)</f>
        <v>2000</v>
      </c>
      <c r="F46" s="5" t="str">
        <f t="shared" si="3"/>
        <v>FNFB1</v>
      </c>
      <c r="G46" s="7">
        <f t="shared" si="15"/>
        <v>0.19680729760547322</v>
      </c>
      <c r="H46" s="5">
        <f>VLOOKUP($F46,DDE!$A:$AJ,H$1,FALSE)</f>
        <v>8.6300000000000008</v>
      </c>
      <c r="I46" s="5">
        <f>VLOOKUP($F46,DDE!$A:$AJ,I$1,FALSE)</f>
        <v>13895.21</v>
      </c>
      <c r="J46" s="5" t="str">
        <f>VLOOKUP($F46,DDE!$A:$AJ,J$1,FALSE)</f>
        <v xml:space="preserve"> -</v>
      </c>
      <c r="K46" s="5" t="str">
        <f>VLOOKUP($F46,DDE!$A:$AJ,K$1,FALSE)</f>
        <v xml:space="preserve"> -</v>
      </c>
      <c r="L46" s="5">
        <f>VLOOKUP($F46,DDE!$A:$AJ,L$1,FALSE)</f>
        <v>872940</v>
      </c>
      <c r="M46" s="5">
        <f>VLOOKUP($F46,DDE!$A:$AJ,M$1,FALSE)</f>
        <v>13893.03</v>
      </c>
      <c r="N46" s="5">
        <f>VLOOKUP($F46,DDE!$A:$AJ,N$1,FALSE)</f>
        <v>13945.78</v>
      </c>
      <c r="O46" s="5">
        <f>VLOOKUP($F46,DDE!$A:$AJ,O$1,FALSE)</f>
        <v>13875.82</v>
      </c>
      <c r="P46" s="5" t="str">
        <f>VLOOKUP($F46,DDE!$A:$AJ,P$1,FALSE)</f>
        <v xml:space="preserve"> -</v>
      </c>
      <c r="Q46" s="5" t="str">
        <f>VLOOKUP($F46,DDE!$A:$AJ,Q$1,FALSE)</f>
        <v xml:space="preserve"> -</v>
      </c>
      <c r="R46" s="5">
        <f t="shared" si="23"/>
        <v>13886.58</v>
      </c>
      <c r="S46" s="5">
        <f>VLOOKUP(D46,cmoney!$A:$M,12,FALSE)</f>
        <v>43.85</v>
      </c>
      <c r="U46" s="5" t="str">
        <f t="shared" si="16"/>
        <v/>
      </c>
      <c r="V46" s="5" t="str">
        <f t="shared" si="17"/>
        <v>2201</v>
      </c>
      <c r="W46" s="5" t="str">
        <f t="shared" si="18"/>
        <v>裕隆</v>
      </c>
      <c r="X46" s="5" t="str">
        <f t="shared" si="19"/>
        <v>FNF</v>
      </c>
      <c r="Y46" s="49">
        <f>VLOOKUP($X46,股期名單!$L:$M,2,FALSE)</f>
        <v>2000</v>
      </c>
      <c r="Z46" s="5" t="str">
        <f t="shared" si="20"/>
        <v>FNFC1</v>
      </c>
      <c r="AA46" s="7">
        <f t="shared" si="21"/>
        <v>0.19680729760547322</v>
      </c>
      <c r="AB46" s="5">
        <f>VLOOKUP($F46,DDE!$A:$AJ,AB$1,FALSE)</f>
        <v>8.6300000000000008</v>
      </c>
      <c r="AC46" s="5">
        <f>VLOOKUP($F46,DDE!$A:$AJ,AC$1,FALSE)</f>
        <v>13895.21</v>
      </c>
      <c r="AD46" s="5" t="str">
        <f>VLOOKUP($F46,DDE!$A:$AJ,AD$1,FALSE)</f>
        <v xml:space="preserve"> -</v>
      </c>
      <c r="AE46" s="5" t="str">
        <f>VLOOKUP($F46,DDE!$A:$AJ,AE$1,FALSE)</f>
        <v xml:space="preserve"> -</v>
      </c>
      <c r="AF46" s="5">
        <f>VLOOKUP($F46,DDE!$A:$AJ,AF$1,FALSE)</f>
        <v>872940</v>
      </c>
      <c r="AG46" s="5">
        <f>VLOOKUP($F46,DDE!$A:$AJ,AG$1,FALSE)</f>
        <v>13893.03</v>
      </c>
      <c r="AH46" s="5">
        <f>VLOOKUP($F46,DDE!$A:$AJ,AH$1,FALSE)</f>
        <v>13945.78</v>
      </c>
      <c r="AI46" s="5">
        <f>VLOOKUP($F46,DDE!$A:$AJ,AI$1,FALSE)</f>
        <v>13875.82</v>
      </c>
      <c r="AJ46" s="5" t="str">
        <f>VLOOKUP($F46,DDE!$A:$AJ,AJ$1,FALSE)</f>
        <v xml:space="preserve"> -</v>
      </c>
      <c r="AK46" s="5" t="str">
        <f>VLOOKUP($F46,DDE!$A:$AJ,AK$1,FALSE)</f>
        <v xml:space="preserve"> -</v>
      </c>
      <c r="AL46" s="5">
        <f t="shared" si="22"/>
        <v>13886.58</v>
      </c>
      <c r="AM46" s="5">
        <f>VLOOKUP(X46,cmoney!$A:$M,12,FALSE)</f>
        <v>43.85</v>
      </c>
    </row>
    <row r="47" spans="1:39" x14ac:dyDescent="0.25">
      <c r="A47" s="5" t="str">
        <f t="shared" si="14"/>
        <v/>
      </c>
      <c r="B47" s="5" t="s">
        <v>790</v>
      </c>
      <c r="C47" s="5" t="s">
        <v>535</v>
      </c>
      <c r="D47" s="5" t="s">
        <v>921</v>
      </c>
      <c r="E47" s="5">
        <f>VLOOKUP($D47,股期名單!$L:$M,2,FALSE)</f>
        <v>2000</v>
      </c>
      <c r="F47" s="5" t="str">
        <f t="shared" si="3"/>
        <v>ODFB1</v>
      </c>
      <c r="G47" s="7">
        <f t="shared" si="15"/>
        <v>-0.1042</v>
      </c>
      <c r="H47" s="5">
        <f>VLOOKUP($F47,DDE!$A:$AJ,H$1,FALSE)</f>
        <v>-20.84</v>
      </c>
      <c r="I47" s="5">
        <f>VLOOKUP($F47,DDE!$A:$AJ,I$1,FALSE)</f>
        <v>16422.560000000001</v>
      </c>
      <c r="J47" s="5" t="str">
        <f>VLOOKUP($F47,DDE!$A:$AJ,J$1,FALSE)</f>
        <v xml:space="preserve"> -</v>
      </c>
      <c r="K47" s="5" t="str">
        <f>VLOOKUP($F47,DDE!$A:$AJ,K$1,FALSE)</f>
        <v xml:space="preserve"> -</v>
      </c>
      <c r="L47" s="5">
        <f>VLOOKUP($F47,DDE!$A:$AJ,L$1,FALSE)</f>
        <v>4024617</v>
      </c>
      <c r="M47" s="5">
        <f>VLOOKUP($F47,DDE!$A:$AJ,M$1,FALSE)</f>
        <v>16329.54</v>
      </c>
      <c r="N47" s="5">
        <f>VLOOKUP($F47,DDE!$A:$AJ,N$1,FALSE)</f>
        <v>16456.939999999999</v>
      </c>
      <c r="O47" s="5">
        <f>VLOOKUP($F47,DDE!$A:$AJ,O$1,FALSE)</f>
        <v>16329.54</v>
      </c>
      <c r="P47" s="5" t="str">
        <f>VLOOKUP($F47,DDE!$A:$AJ,P$1,FALSE)</f>
        <v xml:space="preserve"> -</v>
      </c>
      <c r="Q47" s="5" t="str">
        <f>VLOOKUP($F47,DDE!$A:$AJ,Q$1,FALSE)</f>
        <v xml:space="preserve"> -</v>
      </c>
      <c r="R47" s="5">
        <f t="shared" si="23"/>
        <v>16443.400000000001</v>
      </c>
      <c r="S47" s="5">
        <f>VLOOKUP(D47,cmoney!$A:$M,12,FALSE)</f>
        <v>200</v>
      </c>
      <c r="U47" s="5" t="str">
        <f t="shared" si="16"/>
        <v/>
      </c>
      <c r="V47" s="5" t="str">
        <f t="shared" si="17"/>
        <v>2231</v>
      </c>
      <c r="W47" s="5" t="str">
        <f t="shared" si="18"/>
        <v>為升</v>
      </c>
      <c r="X47" s="5" t="str">
        <f t="shared" si="19"/>
        <v>ODF</v>
      </c>
      <c r="Y47" s="49">
        <f>VLOOKUP($X47,股期名單!$L:$M,2,FALSE)</f>
        <v>2000</v>
      </c>
      <c r="Z47" s="5" t="str">
        <f t="shared" si="20"/>
        <v>ODFC1</v>
      </c>
      <c r="AA47" s="7">
        <f t="shared" si="21"/>
        <v>-0.1042</v>
      </c>
      <c r="AB47" s="5">
        <f>VLOOKUP($F47,DDE!$A:$AJ,AB$1,FALSE)</f>
        <v>-20.84</v>
      </c>
      <c r="AC47" s="5">
        <f>VLOOKUP($F47,DDE!$A:$AJ,AC$1,FALSE)</f>
        <v>16422.560000000001</v>
      </c>
      <c r="AD47" s="5" t="str">
        <f>VLOOKUP($F47,DDE!$A:$AJ,AD$1,FALSE)</f>
        <v xml:space="preserve"> -</v>
      </c>
      <c r="AE47" s="5" t="str">
        <f>VLOOKUP($F47,DDE!$A:$AJ,AE$1,FALSE)</f>
        <v xml:space="preserve"> -</v>
      </c>
      <c r="AF47" s="5">
        <f>VLOOKUP($F47,DDE!$A:$AJ,AF$1,FALSE)</f>
        <v>4024617</v>
      </c>
      <c r="AG47" s="5">
        <f>VLOOKUP($F47,DDE!$A:$AJ,AG$1,FALSE)</f>
        <v>16329.54</v>
      </c>
      <c r="AH47" s="5">
        <f>VLOOKUP($F47,DDE!$A:$AJ,AH$1,FALSE)</f>
        <v>16456.939999999999</v>
      </c>
      <c r="AI47" s="5">
        <f>VLOOKUP($F47,DDE!$A:$AJ,AI$1,FALSE)</f>
        <v>16329.54</v>
      </c>
      <c r="AJ47" s="5" t="str">
        <f>VLOOKUP($F47,DDE!$A:$AJ,AJ$1,FALSE)</f>
        <v xml:space="preserve"> -</v>
      </c>
      <c r="AK47" s="5" t="str">
        <f>VLOOKUP($F47,DDE!$A:$AJ,AK$1,FALSE)</f>
        <v xml:space="preserve"> -</v>
      </c>
      <c r="AL47" s="5">
        <f t="shared" si="22"/>
        <v>16443.400000000001</v>
      </c>
      <c r="AM47" s="5">
        <f>VLOOKUP(X47,cmoney!$A:$M,12,FALSE)</f>
        <v>200</v>
      </c>
    </row>
    <row r="48" spans="1:39" x14ac:dyDescent="0.25">
      <c r="A48" s="5" t="str">
        <f t="shared" si="14"/>
        <v/>
      </c>
      <c r="B48" s="5" t="s">
        <v>688</v>
      </c>
      <c r="C48" s="5" t="s">
        <v>209</v>
      </c>
      <c r="D48" s="5" t="s">
        <v>922</v>
      </c>
      <c r="E48" s="5">
        <f>VLOOKUP($D48,股期名單!$L:$M,2,FALSE)</f>
        <v>2000</v>
      </c>
      <c r="F48" s="5" t="str">
        <f t="shared" si="3"/>
        <v>FQFB1</v>
      </c>
      <c r="G48" s="7">
        <f t="shared" si="15"/>
        <v>-0.24250411861614499</v>
      </c>
      <c r="H48" s="5">
        <f>VLOOKUP($F48,DDE!$A:$AJ,H$1,FALSE)</f>
        <v>-14.72</v>
      </c>
      <c r="I48" s="5">
        <f>VLOOKUP($F48,DDE!$A:$AJ,I$1,FALSE)</f>
        <v>16428.68</v>
      </c>
      <c r="J48" s="5" t="str">
        <f>VLOOKUP($F48,DDE!$A:$AJ,J$1,FALSE)</f>
        <v xml:space="preserve"> -</v>
      </c>
      <c r="K48" s="5" t="str">
        <f>VLOOKUP($F48,DDE!$A:$AJ,K$1,FALSE)</f>
        <v xml:space="preserve"> -</v>
      </c>
      <c r="L48" s="5">
        <f>VLOOKUP($F48,DDE!$A:$AJ,L$1,FALSE)</f>
        <v>4022793</v>
      </c>
      <c r="M48" s="5">
        <f>VLOOKUP($F48,DDE!$A:$AJ,M$1,FALSE)</f>
        <v>16329.54</v>
      </c>
      <c r="N48" s="5">
        <f>VLOOKUP($F48,DDE!$A:$AJ,N$1,FALSE)</f>
        <v>16456.939999999999</v>
      </c>
      <c r="O48" s="5">
        <f>VLOOKUP($F48,DDE!$A:$AJ,O$1,FALSE)</f>
        <v>16329.54</v>
      </c>
      <c r="P48" s="5" t="str">
        <f>VLOOKUP($F48,DDE!$A:$AJ,P$1,FALSE)</f>
        <v xml:space="preserve"> -</v>
      </c>
      <c r="Q48" s="5" t="str">
        <f>VLOOKUP($F48,DDE!$A:$AJ,Q$1,FALSE)</f>
        <v xml:space="preserve"> -</v>
      </c>
      <c r="R48" s="5">
        <f t="shared" si="23"/>
        <v>16443.400000000001</v>
      </c>
      <c r="S48" s="5">
        <f>VLOOKUP(D48,cmoney!$A:$M,12,FALSE)</f>
        <v>60.7</v>
      </c>
      <c r="U48" s="5" t="str">
        <f t="shared" si="16"/>
        <v/>
      </c>
      <c r="V48" s="5" t="str">
        <f t="shared" si="17"/>
        <v>2301</v>
      </c>
      <c r="W48" s="5" t="str">
        <f t="shared" si="18"/>
        <v>光寶科</v>
      </c>
      <c r="X48" s="5" t="str">
        <f t="shared" si="19"/>
        <v>FQF</v>
      </c>
      <c r="Y48" s="49">
        <f>VLOOKUP($X48,股期名單!$L:$M,2,FALSE)</f>
        <v>2000</v>
      </c>
      <c r="Z48" s="5" t="str">
        <f t="shared" si="20"/>
        <v>FQFC1</v>
      </c>
      <c r="AA48" s="7">
        <f t="shared" si="21"/>
        <v>-0.24250411861614499</v>
      </c>
      <c r="AB48" s="5">
        <f>VLOOKUP($F48,DDE!$A:$AJ,AB$1,FALSE)</f>
        <v>-14.72</v>
      </c>
      <c r="AC48" s="5">
        <f>VLOOKUP($F48,DDE!$A:$AJ,AC$1,FALSE)</f>
        <v>16428.68</v>
      </c>
      <c r="AD48" s="5" t="str">
        <f>VLOOKUP($F48,DDE!$A:$AJ,AD$1,FALSE)</f>
        <v xml:space="preserve"> -</v>
      </c>
      <c r="AE48" s="5" t="str">
        <f>VLOOKUP($F48,DDE!$A:$AJ,AE$1,FALSE)</f>
        <v xml:space="preserve"> -</v>
      </c>
      <c r="AF48" s="5">
        <f>VLOOKUP($F48,DDE!$A:$AJ,AF$1,FALSE)</f>
        <v>4022793</v>
      </c>
      <c r="AG48" s="5">
        <f>VLOOKUP($F48,DDE!$A:$AJ,AG$1,FALSE)</f>
        <v>16329.54</v>
      </c>
      <c r="AH48" s="5">
        <f>VLOOKUP($F48,DDE!$A:$AJ,AH$1,FALSE)</f>
        <v>16456.939999999999</v>
      </c>
      <c r="AI48" s="5">
        <f>VLOOKUP($F48,DDE!$A:$AJ,AI$1,FALSE)</f>
        <v>16329.54</v>
      </c>
      <c r="AJ48" s="5" t="str">
        <f>VLOOKUP($F48,DDE!$A:$AJ,AJ$1,FALSE)</f>
        <v xml:space="preserve"> -</v>
      </c>
      <c r="AK48" s="5" t="str">
        <f>VLOOKUP($F48,DDE!$A:$AJ,AK$1,FALSE)</f>
        <v xml:space="preserve"> -</v>
      </c>
      <c r="AL48" s="5">
        <f t="shared" si="22"/>
        <v>16443.400000000001</v>
      </c>
      <c r="AM48" s="5">
        <f>VLOOKUP(X48,cmoney!$A:$M,12,FALSE)</f>
        <v>60.7</v>
      </c>
    </row>
    <row r="49" spans="1:39" x14ac:dyDescent="0.25">
      <c r="A49" s="5" t="str">
        <f t="shared" si="14"/>
        <v/>
      </c>
      <c r="B49" s="5" t="s">
        <v>638</v>
      </c>
      <c r="C49" s="5" t="s">
        <v>59</v>
      </c>
      <c r="D49" s="5" t="s">
        <v>923</v>
      </c>
      <c r="E49" s="5">
        <f>VLOOKUP($D49,股期名單!$L:$M,2,FALSE)</f>
        <v>2000</v>
      </c>
      <c r="F49" s="5" t="str">
        <f t="shared" si="3"/>
        <v>CCFB1</v>
      </c>
      <c r="G49" s="7">
        <f t="shared" si="15"/>
        <v>-0.33500000000000002</v>
      </c>
      <c r="H49" s="5">
        <f>VLOOKUP($F49,DDE!$A:$AJ,H$1,FALSE)</f>
        <v>-18.760000000000002</v>
      </c>
      <c r="I49" s="5">
        <f>VLOOKUP($F49,DDE!$A:$AJ,I$1,FALSE)</f>
        <v>16424.64</v>
      </c>
      <c r="J49" s="5" t="str">
        <f>VLOOKUP($F49,DDE!$A:$AJ,J$1,FALSE)</f>
        <v xml:space="preserve"> -</v>
      </c>
      <c r="K49" s="5" t="str">
        <f>VLOOKUP($F49,DDE!$A:$AJ,K$1,FALSE)</f>
        <v xml:space="preserve"> -</v>
      </c>
      <c r="L49" s="5">
        <f>VLOOKUP($F49,DDE!$A:$AJ,L$1,FALSE)</f>
        <v>4020107</v>
      </c>
      <c r="M49" s="5">
        <f>VLOOKUP($F49,DDE!$A:$AJ,M$1,FALSE)</f>
        <v>16329.54</v>
      </c>
      <c r="N49" s="5">
        <f>VLOOKUP($F49,DDE!$A:$AJ,N$1,FALSE)</f>
        <v>16456.939999999999</v>
      </c>
      <c r="O49" s="5">
        <f>VLOOKUP($F49,DDE!$A:$AJ,O$1,FALSE)</f>
        <v>16329.54</v>
      </c>
      <c r="P49" s="5" t="str">
        <f>VLOOKUP($F49,DDE!$A:$AJ,P$1,FALSE)</f>
        <v xml:space="preserve"> -</v>
      </c>
      <c r="Q49" s="5" t="str">
        <f>VLOOKUP($F49,DDE!$A:$AJ,Q$1,FALSE)</f>
        <v xml:space="preserve"> -</v>
      </c>
      <c r="R49" s="5">
        <f t="shared" si="23"/>
        <v>16443.399999999998</v>
      </c>
      <c r="S49" s="5">
        <f>VLOOKUP(D49,cmoney!$A:$M,12,FALSE)</f>
        <v>56</v>
      </c>
      <c r="U49" s="5" t="str">
        <f t="shared" si="16"/>
        <v/>
      </c>
      <c r="V49" s="5" t="str">
        <f t="shared" si="17"/>
        <v>2303</v>
      </c>
      <c r="W49" s="5" t="str">
        <f t="shared" si="18"/>
        <v>聯電</v>
      </c>
      <c r="X49" s="5" t="str">
        <f t="shared" si="19"/>
        <v>CCF</v>
      </c>
      <c r="Y49" s="49">
        <f>VLOOKUP($X49,股期名單!$L:$M,2,FALSE)</f>
        <v>2000</v>
      </c>
      <c r="Z49" s="5" t="str">
        <f t="shared" si="20"/>
        <v>CCFC1</v>
      </c>
      <c r="AA49" s="7">
        <f t="shared" si="21"/>
        <v>-0.33500000000000002</v>
      </c>
      <c r="AB49" s="5">
        <f>VLOOKUP($F49,DDE!$A:$AJ,AB$1,FALSE)</f>
        <v>-18.760000000000002</v>
      </c>
      <c r="AC49" s="5">
        <f>VLOOKUP($F49,DDE!$A:$AJ,AC$1,FALSE)</f>
        <v>16424.64</v>
      </c>
      <c r="AD49" s="5" t="str">
        <f>VLOOKUP($F49,DDE!$A:$AJ,AD$1,FALSE)</f>
        <v xml:space="preserve"> -</v>
      </c>
      <c r="AE49" s="5" t="str">
        <f>VLOOKUP($F49,DDE!$A:$AJ,AE$1,FALSE)</f>
        <v xml:space="preserve"> -</v>
      </c>
      <c r="AF49" s="5">
        <f>VLOOKUP($F49,DDE!$A:$AJ,AF$1,FALSE)</f>
        <v>4020107</v>
      </c>
      <c r="AG49" s="5">
        <f>VLOOKUP($F49,DDE!$A:$AJ,AG$1,FALSE)</f>
        <v>16329.54</v>
      </c>
      <c r="AH49" s="5">
        <f>VLOOKUP($F49,DDE!$A:$AJ,AH$1,FALSE)</f>
        <v>16456.939999999999</v>
      </c>
      <c r="AI49" s="5">
        <f>VLOOKUP($F49,DDE!$A:$AJ,AI$1,FALSE)</f>
        <v>16329.54</v>
      </c>
      <c r="AJ49" s="5" t="str">
        <f>VLOOKUP($F49,DDE!$A:$AJ,AJ$1,FALSE)</f>
        <v xml:space="preserve"> -</v>
      </c>
      <c r="AK49" s="5" t="str">
        <f>VLOOKUP($F49,DDE!$A:$AJ,AK$1,FALSE)</f>
        <v xml:space="preserve"> -</v>
      </c>
      <c r="AL49" s="5">
        <f t="shared" si="22"/>
        <v>16443.399999999998</v>
      </c>
      <c r="AM49" s="5">
        <f>VLOOKUP(X49,cmoney!$A:$M,12,FALSE)</f>
        <v>56</v>
      </c>
    </row>
    <row r="50" spans="1:39" x14ac:dyDescent="0.25">
      <c r="A50" s="5" t="str">
        <f t="shared" si="14"/>
        <v/>
      </c>
      <c r="B50" s="5" t="s">
        <v>689</v>
      </c>
      <c r="C50" s="5" t="s">
        <v>212</v>
      </c>
      <c r="D50" s="5" t="s">
        <v>924</v>
      </c>
      <c r="E50" s="5">
        <f>VLOOKUP($D50,股期名單!$L:$M,2,FALSE)</f>
        <v>2000</v>
      </c>
      <c r="F50" s="5" t="str">
        <f t="shared" si="3"/>
        <v>FRFB1</v>
      </c>
      <c r="G50" s="7" t="e">
        <f t="shared" si="15"/>
        <v>#VALUE!</v>
      </c>
      <c r="H50" s="5" t="str">
        <f>VLOOKUP($F50,DDE!$A:$AJ,H$1,FALSE)</f>
        <v xml:space="preserve"> </v>
      </c>
      <c r="I50" s="5">
        <f>VLOOKUP($F50,DDE!$A:$AJ,I$1,FALSE)</f>
        <v>20878632</v>
      </c>
      <c r="J50" s="5" t="str">
        <f>VLOOKUP($F50,DDE!$A:$AJ,J$1,FALSE)</f>
        <v xml:space="preserve"> -</v>
      </c>
      <c r="K50" s="5" t="str">
        <f>VLOOKUP($F50,DDE!$A:$AJ,K$1,FALSE)</f>
        <v xml:space="preserve"> -</v>
      </c>
      <c r="L50" s="5">
        <f>VLOOKUP($F50,DDE!$A:$AJ,L$1,FALSE)</f>
        <v>2088371110</v>
      </c>
      <c r="M50" s="5">
        <f>VLOOKUP($F50,DDE!$A:$AJ,M$1,FALSE)</f>
        <v>20803788</v>
      </c>
      <c r="N50" s="5">
        <f>VLOOKUP($F50,DDE!$A:$AJ,N$1,FALSE)</f>
        <v>20804690</v>
      </c>
      <c r="O50" s="5">
        <f>VLOOKUP($F50,DDE!$A:$AJ,O$1,FALSE)</f>
        <v>10989732</v>
      </c>
      <c r="P50" s="5" t="str">
        <f>VLOOKUP($F50,DDE!$A:$AJ,P$1,FALSE)</f>
        <v xml:space="preserve"> -</v>
      </c>
      <c r="Q50" s="5" t="str">
        <f>VLOOKUP($F50,DDE!$A:$AJ,Q$1,FALSE)</f>
        <v xml:space="preserve"> -</v>
      </c>
      <c r="R50" s="5" t="e">
        <f t="shared" si="23"/>
        <v>#VALUE!</v>
      </c>
      <c r="S50" s="5">
        <f>VLOOKUP(D50,cmoney!$A:$M,12,FALSE)</f>
        <v>303.5</v>
      </c>
      <c r="U50" s="5" t="str">
        <f t="shared" si="16"/>
        <v/>
      </c>
      <c r="V50" s="5" t="str">
        <f t="shared" si="17"/>
        <v>2308</v>
      </c>
      <c r="W50" s="5" t="str">
        <f t="shared" si="18"/>
        <v>台達電</v>
      </c>
      <c r="X50" s="5" t="str">
        <f t="shared" si="19"/>
        <v>FRF</v>
      </c>
      <c r="Y50" s="49">
        <f>VLOOKUP($X50,股期名單!$L:$M,2,FALSE)</f>
        <v>2000</v>
      </c>
      <c r="Z50" s="5" t="str">
        <f t="shared" si="20"/>
        <v>FRFC1</v>
      </c>
      <c r="AA50" s="7" t="e">
        <f t="shared" si="21"/>
        <v>#VALUE!</v>
      </c>
      <c r="AB50" s="5" t="str">
        <f>VLOOKUP($F50,DDE!$A:$AJ,AB$1,FALSE)</f>
        <v xml:space="preserve"> </v>
      </c>
      <c r="AC50" s="5">
        <f>VLOOKUP($F50,DDE!$A:$AJ,AC$1,FALSE)</f>
        <v>20878632</v>
      </c>
      <c r="AD50" s="5" t="str">
        <f>VLOOKUP($F50,DDE!$A:$AJ,AD$1,FALSE)</f>
        <v xml:space="preserve"> -</v>
      </c>
      <c r="AE50" s="5" t="str">
        <f>VLOOKUP($F50,DDE!$A:$AJ,AE$1,FALSE)</f>
        <v xml:space="preserve"> -</v>
      </c>
      <c r="AF50" s="5">
        <f>VLOOKUP($F50,DDE!$A:$AJ,AF$1,FALSE)</f>
        <v>2088371110</v>
      </c>
      <c r="AG50" s="5">
        <f>VLOOKUP($F50,DDE!$A:$AJ,AG$1,FALSE)</f>
        <v>20803788</v>
      </c>
      <c r="AH50" s="5">
        <f>VLOOKUP($F50,DDE!$A:$AJ,AH$1,FALSE)</f>
        <v>20804690</v>
      </c>
      <c r="AI50" s="5">
        <f>VLOOKUP($F50,DDE!$A:$AJ,AI$1,FALSE)</f>
        <v>10989732</v>
      </c>
      <c r="AJ50" s="5" t="str">
        <f>VLOOKUP($F50,DDE!$A:$AJ,AJ$1,FALSE)</f>
        <v xml:space="preserve"> -</v>
      </c>
      <c r="AK50" s="5" t="str">
        <f>VLOOKUP($F50,DDE!$A:$AJ,AK$1,FALSE)</f>
        <v xml:space="preserve"> -</v>
      </c>
      <c r="AL50" s="5" t="e">
        <f t="shared" si="22"/>
        <v>#VALUE!</v>
      </c>
      <c r="AM50" s="5">
        <f>VLOOKUP(X50,cmoney!$A:$M,12,FALSE)</f>
        <v>303.5</v>
      </c>
    </row>
    <row r="51" spans="1:39" x14ac:dyDescent="0.25">
      <c r="A51" s="5" t="str">
        <f t="shared" si="14"/>
        <v/>
      </c>
      <c r="B51" s="5" t="s">
        <v>690</v>
      </c>
      <c r="C51" s="5" t="s">
        <v>215</v>
      </c>
      <c r="D51" s="5" t="s">
        <v>925</v>
      </c>
      <c r="E51" s="5">
        <f>VLOOKUP($D51,股期名單!$L:$M,2,FALSE)</f>
        <v>2000</v>
      </c>
      <c r="F51" s="5" t="str">
        <f t="shared" si="3"/>
        <v>FTFB1</v>
      </c>
      <c r="G51" s="7">
        <f t="shared" si="15"/>
        <v>-0.41828316610925309</v>
      </c>
      <c r="H51" s="5">
        <f>VLOOKUP($F51,DDE!$A:$AJ,H$1,FALSE)</f>
        <v>-18.760000000000002</v>
      </c>
      <c r="I51" s="5">
        <f>VLOOKUP($F51,DDE!$A:$AJ,I$1,FALSE)</f>
        <v>16424.64</v>
      </c>
      <c r="J51" s="5" t="str">
        <f>VLOOKUP($F51,DDE!$A:$AJ,J$1,FALSE)</f>
        <v xml:space="preserve"> -</v>
      </c>
      <c r="K51" s="5" t="str">
        <f>VLOOKUP($F51,DDE!$A:$AJ,K$1,FALSE)</f>
        <v xml:space="preserve"> -</v>
      </c>
      <c r="L51" s="5">
        <f>VLOOKUP($F51,DDE!$A:$AJ,L$1,FALSE)</f>
        <v>4020107</v>
      </c>
      <c r="M51" s="5">
        <f>VLOOKUP($F51,DDE!$A:$AJ,M$1,FALSE)</f>
        <v>16329.54</v>
      </c>
      <c r="N51" s="5">
        <f>VLOOKUP($F51,DDE!$A:$AJ,N$1,FALSE)</f>
        <v>16456.939999999999</v>
      </c>
      <c r="O51" s="5">
        <f>VLOOKUP($F51,DDE!$A:$AJ,O$1,FALSE)</f>
        <v>16329.54</v>
      </c>
      <c r="P51" s="5" t="str">
        <f>VLOOKUP($F51,DDE!$A:$AJ,P$1,FALSE)</f>
        <v xml:space="preserve"> -</v>
      </c>
      <c r="Q51" s="5" t="str">
        <f>VLOOKUP($F51,DDE!$A:$AJ,Q$1,FALSE)</f>
        <v xml:space="preserve"> -</v>
      </c>
      <c r="R51" s="5">
        <f t="shared" si="23"/>
        <v>16443.399999999998</v>
      </c>
      <c r="S51" s="5">
        <f>VLOOKUP(D51,cmoney!$A:$M,12,FALSE)</f>
        <v>44.85</v>
      </c>
      <c r="U51" s="5" t="str">
        <f t="shared" si="16"/>
        <v/>
      </c>
      <c r="V51" s="5" t="str">
        <f t="shared" si="17"/>
        <v>2313</v>
      </c>
      <c r="W51" s="5" t="str">
        <f t="shared" si="18"/>
        <v>華通</v>
      </c>
      <c r="X51" s="5" t="str">
        <f t="shared" si="19"/>
        <v>FTF</v>
      </c>
      <c r="Y51" s="49">
        <f>VLOOKUP($X51,股期名單!$L:$M,2,FALSE)</f>
        <v>2000</v>
      </c>
      <c r="Z51" s="5" t="str">
        <f t="shared" si="20"/>
        <v>FTFC1</v>
      </c>
      <c r="AA51" s="7">
        <f t="shared" si="21"/>
        <v>-0.41828316610925309</v>
      </c>
      <c r="AB51" s="5">
        <f>VLOOKUP($F51,DDE!$A:$AJ,AB$1,FALSE)</f>
        <v>-18.760000000000002</v>
      </c>
      <c r="AC51" s="5">
        <f>VLOOKUP($F51,DDE!$A:$AJ,AC$1,FALSE)</f>
        <v>16424.64</v>
      </c>
      <c r="AD51" s="5" t="str">
        <f>VLOOKUP($F51,DDE!$A:$AJ,AD$1,FALSE)</f>
        <v xml:space="preserve"> -</v>
      </c>
      <c r="AE51" s="5" t="str">
        <f>VLOOKUP($F51,DDE!$A:$AJ,AE$1,FALSE)</f>
        <v xml:space="preserve"> -</v>
      </c>
      <c r="AF51" s="5">
        <f>VLOOKUP($F51,DDE!$A:$AJ,AF$1,FALSE)</f>
        <v>4020107</v>
      </c>
      <c r="AG51" s="5">
        <f>VLOOKUP($F51,DDE!$A:$AJ,AG$1,FALSE)</f>
        <v>16329.54</v>
      </c>
      <c r="AH51" s="5">
        <f>VLOOKUP($F51,DDE!$A:$AJ,AH$1,FALSE)</f>
        <v>16456.939999999999</v>
      </c>
      <c r="AI51" s="5">
        <f>VLOOKUP($F51,DDE!$A:$AJ,AI$1,FALSE)</f>
        <v>16329.54</v>
      </c>
      <c r="AJ51" s="5" t="str">
        <f>VLOOKUP($F51,DDE!$A:$AJ,AJ$1,FALSE)</f>
        <v xml:space="preserve"> -</v>
      </c>
      <c r="AK51" s="5" t="str">
        <f>VLOOKUP($F51,DDE!$A:$AJ,AK$1,FALSE)</f>
        <v xml:space="preserve"> -</v>
      </c>
      <c r="AL51" s="5">
        <f t="shared" si="22"/>
        <v>16443.399999999998</v>
      </c>
      <c r="AM51" s="5">
        <f>VLOOKUP(X51,cmoney!$A:$M,12,FALSE)</f>
        <v>44.85</v>
      </c>
    </row>
    <row r="52" spans="1:39" x14ac:dyDescent="0.25">
      <c r="A52" s="5" t="str">
        <f t="shared" si="14"/>
        <v/>
      </c>
      <c r="B52" s="5" t="s">
        <v>662</v>
      </c>
      <c r="C52" s="5" t="s">
        <v>131</v>
      </c>
      <c r="D52" s="5" t="s">
        <v>926</v>
      </c>
      <c r="E52" s="5">
        <f>VLOOKUP($D52,股期名單!$L:$M,2,FALSE)</f>
        <v>2000</v>
      </c>
      <c r="F52" s="5" t="str">
        <f t="shared" si="3"/>
        <v>DHFB1</v>
      </c>
      <c r="G52" s="7">
        <f t="shared" si="15"/>
        <v>-0.19446428571428573</v>
      </c>
      <c r="H52" s="5">
        <f>VLOOKUP($F52,DDE!$A:$AJ,H$1,FALSE)</f>
        <v>-21.78</v>
      </c>
      <c r="I52" s="5">
        <f>VLOOKUP($F52,DDE!$A:$AJ,I$1,FALSE)</f>
        <v>16421.62</v>
      </c>
      <c r="J52" s="5" t="str">
        <f>VLOOKUP($F52,DDE!$A:$AJ,J$1,FALSE)</f>
        <v xml:space="preserve"> -</v>
      </c>
      <c r="K52" s="5" t="str">
        <f>VLOOKUP($F52,DDE!$A:$AJ,K$1,FALSE)</f>
        <v xml:space="preserve"> -</v>
      </c>
      <c r="L52" s="5">
        <f>VLOOKUP($F52,DDE!$A:$AJ,L$1,FALSE)</f>
        <v>4027056</v>
      </c>
      <c r="M52" s="5">
        <f>VLOOKUP($F52,DDE!$A:$AJ,M$1,FALSE)</f>
        <v>16329.54</v>
      </c>
      <c r="N52" s="5">
        <f>VLOOKUP($F52,DDE!$A:$AJ,N$1,FALSE)</f>
        <v>16456.939999999999</v>
      </c>
      <c r="O52" s="5">
        <f>VLOOKUP($F52,DDE!$A:$AJ,O$1,FALSE)</f>
        <v>16329.54</v>
      </c>
      <c r="P52" s="5" t="str">
        <f>VLOOKUP($F52,DDE!$A:$AJ,P$1,FALSE)</f>
        <v xml:space="preserve"> -</v>
      </c>
      <c r="Q52" s="5" t="str">
        <f>VLOOKUP($F52,DDE!$A:$AJ,Q$1,FALSE)</f>
        <v xml:space="preserve"> -</v>
      </c>
      <c r="R52" s="5">
        <f t="shared" si="23"/>
        <v>16443.399999999998</v>
      </c>
      <c r="S52" s="5">
        <f>VLOOKUP(D52,cmoney!$A:$M,12,FALSE)</f>
        <v>112</v>
      </c>
      <c r="U52" s="5" t="str">
        <f t="shared" si="16"/>
        <v/>
      </c>
      <c r="V52" s="5" t="str">
        <f t="shared" si="17"/>
        <v>2317</v>
      </c>
      <c r="W52" s="5" t="str">
        <f t="shared" si="18"/>
        <v>鴻海</v>
      </c>
      <c r="X52" s="5" t="str">
        <f t="shared" si="19"/>
        <v>DHF</v>
      </c>
      <c r="Y52" s="49">
        <f>VLOOKUP($X52,股期名單!$L:$M,2,FALSE)</f>
        <v>2000</v>
      </c>
      <c r="Z52" s="5" t="str">
        <f t="shared" si="20"/>
        <v>DHFC1</v>
      </c>
      <c r="AA52" s="7">
        <f t="shared" si="21"/>
        <v>-0.19446428571428573</v>
      </c>
      <c r="AB52" s="5">
        <f>VLOOKUP($F52,DDE!$A:$AJ,AB$1,FALSE)</f>
        <v>-21.78</v>
      </c>
      <c r="AC52" s="5">
        <f>VLOOKUP($F52,DDE!$A:$AJ,AC$1,FALSE)</f>
        <v>16421.62</v>
      </c>
      <c r="AD52" s="5" t="str">
        <f>VLOOKUP($F52,DDE!$A:$AJ,AD$1,FALSE)</f>
        <v xml:space="preserve"> -</v>
      </c>
      <c r="AE52" s="5" t="str">
        <f>VLOOKUP($F52,DDE!$A:$AJ,AE$1,FALSE)</f>
        <v xml:space="preserve"> -</v>
      </c>
      <c r="AF52" s="5">
        <f>VLOOKUP($F52,DDE!$A:$AJ,AF$1,FALSE)</f>
        <v>4027056</v>
      </c>
      <c r="AG52" s="5">
        <f>VLOOKUP($F52,DDE!$A:$AJ,AG$1,FALSE)</f>
        <v>16329.54</v>
      </c>
      <c r="AH52" s="5">
        <f>VLOOKUP($F52,DDE!$A:$AJ,AH$1,FALSE)</f>
        <v>16456.939999999999</v>
      </c>
      <c r="AI52" s="5">
        <f>VLOOKUP($F52,DDE!$A:$AJ,AI$1,FALSE)</f>
        <v>16329.54</v>
      </c>
      <c r="AJ52" s="5" t="str">
        <f>VLOOKUP($F52,DDE!$A:$AJ,AJ$1,FALSE)</f>
        <v xml:space="preserve"> -</v>
      </c>
      <c r="AK52" s="5" t="str">
        <f>VLOOKUP($F52,DDE!$A:$AJ,AK$1,FALSE)</f>
        <v xml:space="preserve"> -</v>
      </c>
      <c r="AL52" s="5">
        <f t="shared" si="22"/>
        <v>16443.399999999998</v>
      </c>
      <c r="AM52" s="5">
        <f>VLOOKUP(X52,cmoney!$A:$M,12,FALSE)</f>
        <v>112</v>
      </c>
    </row>
    <row r="53" spans="1:39" x14ac:dyDescent="0.25">
      <c r="A53" s="5" t="str">
        <f t="shared" si="14"/>
        <v/>
      </c>
      <c r="B53" s="5" t="s">
        <v>652</v>
      </c>
      <c r="C53" s="5" t="s">
        <v>101</v>
      </c>
      <c r="D53" s="5" t="s">
        <v>927</v>
      </c>
      <c r="E53" s="5">
        <f>VLOOKUP($D53,股期名單!$L:$M,2,FALSE)</f>
        <v>2000</v>
      </c>
      <c r="F53" s="5" t="str">
        <f t="shared" si="3"/>
        <v>CUFB1</v>
      </c>
      <c r="G53" s="7">
        <f t="shared" si="15"/>
        <v>-2.538095238095238</v>
      </c>
      <c r="H53" s="5">
        <f>VLOOKUP($F53,DDE!$A:$AJ,H$1,FALSE)</f>
        <v>-21.32</v>
      </c>
      <c r="I53" s="5">
        <f>VLOOKUP($F53,DDE!$A:$AJ,I$1,FALSE)</f>
        <v>16422.080000000002</v>
      </c>
      <c r="J53" s="5" t="str">
        <f>VLOOKUP($F53,DDE!$A:$AJ,J$1,FALSE)</f>
        <v xml:space="preserve"> -</v>
      </c>
      <c r="K53" s="5" t="str">
        <f>VLOOKUP($F53,DDE!$A:$AJ,K$1,FALSE)</f>
        <v xml:space="preserve"> -</v>
      </c>
      <c r="L53" s="5">
        <f>VLOOKUP($F53,DDE!$A:$AJ,L$1,FALSE)</f>
        <v>4018459</v>
      </c>
      <c r="M53" s="5">
        <f>VLOOKUP($F53,DDE!$A:$AJ,M$1,FALSE)</f>
        <v>16329.54</v>
      </c>
      <c r="N53" s="5">
        <f>VLOOKUP($F53,DDE!$A:$AJ,N$1,FALSE)</f>
        <v>16456.939999999999</v>
      </c>
      <c r="O53" s="5">
        <f>VLOOKUP($F53,DDE!$A:$AJ,O$1,FALSE)</f>
        <v>16329.54</v>
      </c>
      <c r="P53" s="5" t="str">
        <f>VLOOKUP($F53,DDE!$A:$AJ,P$1,FALSE)</f>
        <v xml:space="preserve"> -</v>
      </c>
      <c r="Q53" s="5" t="str">
        <f>VLOOKUP($F53,DDE!$A:$AJ,Q$1,FALSE)</f>
        <v xml:space="preserve"> -</v>
      </c>
      <c r="R53" s="5">
        <f t="shared" si="23"/>
        <v>16443.400000000001</v>
      </c>
      <c r="S53" s="5">
        <f>VLOOKUP(D53,cmoney!$A:$M,12,FALSE)</f>
        <v>8.4</v>
      </c>
      <c r="U53" s="5" t="str">
        <f t="shared" si="16"/>
        <v/>
      </c>
      <c r="V53" s="5" t="str">
        <f t="shared" si="17"/>
        <v>2323</v>
      </c>
      <c r="W53" s="5" t="str">
        <f t="shared" si="18"/>
        <v>中環</v>
      </c>
      <c r="X53" s="5" t="str">
        <f t="shared" si="19"/>
        <v>CUF</v>
      </c>
      <c r="Y53" s="49">
        <f>VLOOKUP($X53,股期名單!$L:$M,2,FALSE)</f>
        <v>2000</v>
      </c>
      <c r="Z53" s="5" t="str">
        <f t="shared" si="20"/>
        <v>CUFC1</v>
      </c>
      <c r="AA53" s="7">
        <f t="shared" si="21"/>
        <v>-2.538095238095238</v>
      </c>
      <c r="AB53" s="5">
        <f>VLOOKUP($F53,DDE!$A:$AJ,AB$1,FALSE)</f>
        <v>-21.32</v>
      </c>
      <c r="AC53" s="5">
        <f>VLOOKUP($F53,DDE!$A:$AJ,AC$1,FALSE)</f>
        <v>16422.080000000002</v>
      </c>
      <c r="AD53" s="5" t="str">
        <f>VLOOKUP($F53,DDE!$A:$AJ,AD$1,FALSE)</f>
        <v xml:space="preserve"> -</v>
      </c>
      <c r="AE53" s="5" t="str">
        <f>VLOOKUP($F53,DDE!$A:$AJ,AE$1,FALSE)</f>
        <v xml:space="preserve"> -</v>
      </c>
      <c r="AF53" s="5">
        <f>VLOOKUP($F53,DDE!$A:$AJ,AF$1,FALSE)</f>
        <v>4018459</v>
      </c>
      <c r="AG53" s="5">
        <f>VLOOKUP($F53,DDE!$A:$AJ,AG$1,FALSE)</f>
        <v>16329.54</v>
      </c>
      <c r="AH53" s="5">
        <f>VLOOKUP($F53,DDE!$A:$AJ,AH$1,FALSE)</f>
        <v>16456.939999999999</v>
      </c>
      <c r="AI53" s="5">
        <f>VLOOKUP($F53,DDE!$A:$AJ,AI$1,FALSE)</f>
        <v>16329.54</v>
      </c>
      <c r="AJ53" s="5" t="str">
        <f>VLOOKUP($F53,DDE!$A:$AJ,AJ$1,FALSE)</f>
        <v xml:space="preserve"> -</v>
      </c>
      <c r="AK53" s="5" t="str">
        <f>VLOOKUP($F53,DDE!$A:$AJ,AK$1,FALSE)</f>
        <v xml:space="preserve"> -</v>
      </c>
      <c r="AL53" s="5">
        <f t="shared" si="22"/>
        <v>16443.400000000001</v>
      </c>
      <c r="AM53" s="5">
        <f>VLOOKUP(X53,cmoney!$A:$M,12,FALSE)</f>
        <v>8.4</v>
      </c>
    </row>
    <row r="54" spans="1:39" x14ac:dyDescent="0.25">
      <c r="A54" s="5" t="str">
        <f t="shared" si="14"/>
        <v/>
      </c>
      <c r="B54" s="5" t="s">
        <v>642</v>
      </c>
      <c r="C54" s="5" t="s">
        <v>71</v>
      </c>
      <c r="D54" s="5" t="s">
        <v>928</v>
      </c>
      <c r="E54" s="5">
        <f>VLOOKUP($D54,股期名單!$L:$M,2,FALSE)</f>
        <v>2000</v>
      </c>
      <c r="F54" s="5" t="str">
        <f t="shared" si="3"/>
        <v>CGFB1</v>
      </c>
      <c r="G54" s="7">
        <f t="shared" si="15"/>
        <v>-1.0013793103448276</v>
      </c>
      <c r="H54" s="5">
        <f>VLOOKUP($F54,DDE!$A:$AJ,H$1,FALSE)</f>
        <v>-21.78</v>
      </c>
      <c r="I54" s="5">
        <f>VLOOKUP($F54,DDE!$A:$AJ,I$1,FALSE)</f>
        <v>16421.62</v>
      </c>
      <c r="J54" s="5" t="str">
        <f>VLOOKUP($F54,DDE!$A:$AJ,J$1,FALSE)</f>
        <v xml:space="preserve"> -</v>
      </c>
      <c r="K54" s="5" t="str">
        <f>VLOOKUP($F54,DDE!$A:$AJ,K$1,FALSE)</f>
        <v xml:space="preserve"> -</v>
      </c>
      <c r="L54" s="5">
        <f>VLOOKUP($F54,DDE!$A:$AJ,L$1,FALSE)</f>
        <v>4027056</v>
      </c>
      <c r="M54" s="5">
        <f>VLOOKUP($F54,DDE!$A:$AJ,M$1,FALSE)</f>
        <v>16329.54</v>
      </c>
      <c r="N54" s="5">
        <f>VLOOKUP($F54,DDE!$A:$AJ,N$1,FALSE)</f>
        <v>16456.939999999999</v>
      </c>
      <c r="O54" s="5">
        <f>VLOOKUP($F54,DDE!$A:$AJ,O$1,FALSE)</f>
        <v>16329.54</v>
      </c>
      <c r="P54" s="5" t="str">
        <f>VLOOKUP($F54,DDE!$A:$AJ,P$1,FALSE)</f>
        <v xml:space="preserve"> -</v>
      </c>
      <c r="Q54" s="5" t="str">
        <f>VLOOKUP($F54,DDE!$A:$AJ,Q$1,FALSE)</f>
        <v xml:space="preserve"> -</v>
      </c>
      <c r="R54" s="5">
        <f t="shared" si="23"/>
        <v>16443.399999999998</v>
      </c>
      <c r="S54" s="5">
        <f>VLOOKUP(D54,cmoney!$A:$M,12,FALSE)</f>
        <v>21.75</v>
      </c>
      <c r="U54" s="5" t="str">
        <f t="shared" si="16"/>
        <v/>
      </c>
      <c r="V54" s="5" t="str">
        <f t="shared" si="17"/>
        <v>2324</v>
      </c>
      <c r="W54" s="5" t="str">
        <f t="shared" si="18"/>
        <v>仁寶</v>
      </c>
      <c r="X54" s="5" t="str">
        <f t="shared" si="19"/>
        <v>CGF</v>
      </c>
      <c r="Y54" s="49">
        <f>VLOOKUP($X54,股期名單!$L:$M,2,FALSE)</f>
        <v>2000</v>
      </c>
      <c r="Z54" s="5" t="str">
        <f t="shared" si="20"/>
        <v>CGFC1</v>
      </c>
      <c r="AA54" s="7">
        <f t="shared" si="21"/>
        <v>-1.0013793103448276</v>
      </c>
      <c r="AB54" s="5">
        <f>VLOOKUP($F54,DDE!$A:$AJ,AB$1,FALSE)</f>
        <v>-21.78</v>
      </c>
      <c r="AC54" s="5">
        <f>VLOOKUP($F54,DDE!$A:$AJ,AC$1,FALSE)</f>
        <v>16421.62</v>
      </c>
      <c r="AD54" s="5" t="str">
        <f>VLOOKUP($F54,DDE!$A:$AJ,AD$1,FALSE)</f>
        <v xml:space="preserve"> -</v>
      </c>
      <c r="AE54" s="5" t="str">
        <f>VLOOKUP($F54,DDE!$A:$AJ,AE$1,FALSE)</f>
        <v xml:space="preserve"> -</v>
      </c>
      <c r="AF54" s="5">
        <f>VLOOKUP($F54,DDE!$A:$AJ,AF$1,FALSE)</f>
        <v>4027056</v>
      </c>
      <c r="AG54" s="5">
        <f>VLOOKUP($F54,DDE!$A:$AJ,AG$1,FALSE)</f>
        <v>16329.54</v>
      </c>
      <c r="AH54" s="5">
        <f>VLOOKUP($F54,DDE!$A:$AJ,AH$1,FALSE)</f>
        <v>16456.939999999999</v>
      </c>
      <c r="AI54" s="5">
        <f>VLOOKUP($F54,DDE!$A:$AJ,AI$1,FALSE)</f>
        <v>16329.54</v>
      </c>
      <c r="AJ54" s="5" t="str">
        <f>VLOOKUP($F54,DDE!$A:$AJ,AJ$1,FALSE)</f>
        <v xml:space="preserve"> -</v>
      </c>
      <c r="AK54" s="5" t="str">
        <f>VLOOKUP($F54,DDE!$A:$AJ,AK$1,FALSE)</f>
        <v xml:space="preserve"> -</v>
      </c>
      <c r="AL54" s="5">
        <f t="shared" si="22"/>
        <v>16443.399999999998</v>
      </c>
      <c r="AM54" s="5">
        <f>VLOOKUP(X54,cmoney!$A:$M,12,FALSE)</f>
        <v>21.75</v>
      </c>
    </row>
    <row r="55" spans="1:39" x14ac:dyDescent="0.25">
      <c r="A55" s="5" t="str">
        <f t="shared" si="14"/>
        <v/>
      </c>
      <c r="B55" s="8" t="s">
        <v>763</v>
      </c>
      <c r="C55" s="8" t="s">
        <v>434</v>
      </c>
      <c r="D55" s="8" t="s">
        <v>929</v>
      </c>
      <c r="E55" s="8">
        <f>VLOOKUP($D55,股期名單!$L:$M,2,FALSE)</f>
        <v>2000</v>
      </c>
      <c r="F55" s="8" t="str">
        <f t="shared" si="3"/>
        <v>LXFB1</v>
      </c>
      <c r="G55" s="9">
        <f t="shared" si="15"/>
        <v>-2.3E-2</v>
      </c>
      <c r="H55" s="8">
        <f>VLOOKUP($F55,DDE!$A:$AJ,H$1,FALSE)</f>
        <v>-14.72</v>
      </c>
      <c r="I55" s="8">
        <f>VLOOKUP($F55,DDE!$A:$AJ,I$1,FALSE)</f>
        <v>16428.68</v>
      </c>
      <c r="J55" s="8" t="str">
        <f>VLOOKUP($F55,DDE!$A:$AJ,J$1,FALSE)</f>
        <v xml:space="preserve"> -</v>
      </c>
      <c r="K55" s="8" t="str">
        <f>VLOOKUP($F55,DDE!$A:$AJ,K$1,FALSE)</f>
        <v xml:space="preserve"> -</v>
      </c>
      <c r="L55" s="8">
        <f>VLOOKUP($F55,DDE!$A:$AJ,L$1,FALSE)</f>
        <v>4022793</v>
      </c>
      <c r="M55" s="8">
        <f>VLOOKUP($F55,DDE!$A:$AJ,M$1,FALSE)</f>
        <v>16329.54</v>
      </c>
      <c r="N55" s="8">
        <f>VLOOKUP($F55,DDE!$A:$AJ,N$1,FALSE)</f>
        <v>16456.939999999999</v>
      </c>
      <c r="O55" s="8">
        <f>VLOOKUP($F55,DDE!$A:$AJ,O$1,FALSE)</f>
        <v>16329.54</v>
      </c>
      <c r="P55" s="8" t="str">
        <f>VLOOKUP($F55,DDE!$A:$AJ,P$1,FALSE)</f>
        <v xml:space="preserve"> -</v>
      </c>
      <c r="Q55" s="8" t="str">
        <f>VLOOKUP($F55,DDE!$A:$AJ,Q$1,FALSE)</f>
        <v xml:space="preserve"> -</v>
      </c>
      <c r="R55" s="8">
        <f t="shared" si="23"/>
        <v>16443.400000000001</v>
      </c>
      <c r="S55" s="5">
        <f>VLOOKUP(D55,cmoney!$A:$M,12,FALSE)</f>
        <v>640</v>
      </c>
      <c r="U55" s="5" t="str">
        <f t="shared" si="16"/>
        <v/>
      </c>
      <c r="V55" s="5" t="str">
        <f t="shared" si="17"/>
        <v>2327</v>
      </c>
      <c r="W55" s="5" t="str">
        <f t="shared" si="18"/>
        <v>國巨</v>
      </c>
      <c r="X55" s="5" t="str">
        <f t="shared" si="19"/>
        <v>LXF</v>
      </c>
      <c r="Y55" s="49">
        <f>VLOOKUP($X55,股期名單!$L:$M,2,FALSE)</f>
        <v>2000</v>
      </c>
      <c r="Z55" s="5" t="str">
        <f t="shared" si="20"/>
        <v>LXFC1</v>
      </c>
      <c r="AA55" s="7">
        <f t="shared" si="21"/>
        <v>-2.3E-2</v>
      </c>
      <c r="AB55" s="5">
        <f>VLOOKUP($F55,DDE!$A:$AJ,AB$1,FALSE)</f>
        <v>-14.72</v>
      </c>
      <c r="AC55" s="5">
        <f>VLOOKUP($F55,DDE!$A:$AJ,AC$1,FALSE)</f>
        <v>16428.68</v>
      </c>
      <c r="AD55" s="5" t="str">
        <f>VLOOKUP($F55,DDE!$A:$AJ,AD$1,FALSE)</f>
        <v xml:space="preserve"> -</v>
      </c>
      <c r="AE55" s="5" t="str">
        <f>VLOOKUP($F55,DDE!$A:$AJ,AE$1,FALSE)</f>
        <v xml:space="preserve"> -</v>
      </c>
      <c r="AF55" s="5">
        <f>VLOOKUP($F55,DDE!$A:$AJ,AF$1,FALSE)</f>
        <v>4022793</v>
      </c>
      <c r="AG55" s="5">
        <f>VLOOKUP($F55,DDE!$A:$AJ,AG$1,FALSE)</f>
        <v>16329.54</v>
      </c>
      <c r="AH55" s="5">
        <f>VLOOKUP($F55,DDE!$A:$AJ,AH$1,FALSE)</f>
        <v>16456.939999999999</v>
      </c>
      <c r="AI55" s="5">
        <f>VLOOKUP($F55,DDE!$A:$AJ,AI$1,FALSE)</f>
        <v>16329.54</v>
      </c>
      <c r="AJ55" s="5" t="str">
        <f>VLOOKUP($F55,DDE!$A:$AJ,AJ$1,FALSE)</f>
        <v xml:space="preserve"> -</v>
      </c>
      <c r="AK55" s="5" t="str">
        <f>VLOOKUP($F55,DDE!$A:$AJ,AK$1,FALSE)</f>
        <v xml:space="preserve"> -</v>
      </c>
      <c r="AL55" s="5">
        <f t="shared" si="22"/>
        <v>16443.400000000001</v>
      </c>
      <c r="AM55" s="5">
        <f>VLOOKUP(X55,cmoney!$A:$M,12,FALSE)</f>
        <v>640</v>
      </c>
    </row>
    <row r="56" spans="1:39" x14ac:dyDescent="0.25">
      <c r="A56" s="5" t="str">
        <f t="shared" si="14"/>
        <v>小型</v>
      </c>
      <c r="B56" s="5" t="s">
        <v>763</v>
      </c>
      <c r="C56" s="5" t="s">
        <v>434</v>
      </c>
      <c r="D56" s="5" t="s">
        <v>930</v>
      </c>
      <c r="E56" s="5">
        <f>VLOOKUP($D56,股期名單!$L:$M,2,FALSE)</f>
        <v>100</v>
      </c>
      <c r="F56" s="5" t="str">
        <f t="shared" si="3"/>
        <v>QEFB1</v>
      </c>
      <c r="G56" s="7">
        <f t="shared" si="15"/>
        <v>-3.2562500000000001E-2</v>
      </c>
      <c r="H56" s="5">
        <f>VLOOKUP($F56,DDE!$A:$AJ,H$1,FALSE)</f>
        <v>-20.84</v>
      </c>
      <c r="I56" s="5">
        <f>VLOOKUP($F56,DDE!$A:$AJ,I$1,FALSE)</f>
        <v>16422.560000000001</v>
      </c>
      <c r="J56" s="5" t="str">
        <f>VLOOKUP($F56,DDE!$A:$AJ,J$1,FALSE)</f>
        <v xml:space="preserve"> -</v>
      </c>
      <c r="K56" s="5" t="str">
        <f>VLOOKUP($F56,DDE!$A:$AJ,K$1,FALSE)</f>
        <v xml:space="preserve"> -</v>
      </c>
      <c r="L56" s="5">
        <f>VLOOKUP($F56,DDE!$A:$AJ,L$1,FALSE)</f>
        <v>4024617</v>
      </c>
      <c r="M56" s="5">
        <f>VLOOKUP($F56,DDE!$A:$AJ,M$1,FALSE)</f>
        <v>16329.54</v>
      </c>
      <c r="N56" s="5">
        <f>VLOOKUP($F56,DDE!$A:$AJ,N$1,FALSE)</f>
        <v>16456.939999999999</v>
      </c>
      <c r="O56" s="5">
        <f>VLOOKUP($F56,DDE!$A:$AJ,O$1,FALSE)</f>
        <v>16329.54</v>
      </c>
      <c r="P56" s="5" t="str">
        <f>VLOOKUP($F56,DDE!$A:$AJ,P$1,FALSE)</f>
        <v xml:space="preserve"> -</v>
      </c>
      <c r="Q56" s="5" t="str">
        <f>VLOOKUP($F56,DDE!$A:$AJ,Q$1,FALSE)</f>
        <v xml:space="preserve"> -</v>
      </c>
      <c r="R56" s="5">
        <f t="shared" si="23"/>
        <v>16443.400000000001</v>
      </c>
      <c r="S56" s="5">
        <f>VLOOKUP(D56,cmoney!$A:$M,12,FALSE)</f>
        <v>640</v>
      </c>
      <c r="U56" s="5" t="str">
        <f t="shared" si="16"/>
        <v>小型</v>
      </c>
      <c r="V56" s="5" t="str">
        <f t="shared" si="17"/>
        <v>2327</v>
      </c>
      <c r="W56" s="5" t="str">
        <f t="shared" si="18"/>
        <v>國巨</v>
      </c>
      <c r="X56" s="5" t="str">
        <f t="shared" si="19"/>
        <v>QEF</v>
      </c>
      <c r="Y56" s="49">
        <f>VLOOKUP($X56,股期名單!$L:$M,2,FALSE)</f>
        <v>100</v>
      </c>
      <c r="Z56" s="5" t="str">
        <f t="shared" si="20"/>
        <v>QEFC1</v>
      </c>
      <c r="AA56" s="7">
        <f t="shared" si="21"/>
        <v>-3.2562500000000001E-2</v>
      </c>
      <c r="AB56" s="5">
        <f>VLOOKUP($F56,DDE!$A:$AJ,AB$1,FALSE)</f>
        <v>-20.84</v>
      </c>
      <c r="AC56" s="5">
        <f>VLOOKUP($F56,DDE!$A:$AJ,AC$1,FALSE)</f>
        <v>16422.560000000001</v>
      </c>
      <c r="AD56" s="5" t="str">
        <f>VLOOKUP($F56,DDE!$A:$AJ,AD$1,FALSE)</f>
        <v xml:space="preserve"> -</v>
      </c>
      <c r="AE56" s="5" t="str">
        <f>VLOOKUP($F56,DDE!$A:$AJ,AE$1,FALSE)</f>
        <v xml:space="preserve"> -</v>
      </c>
      <c r="AF56" s="5">
        <f>VLOOKUP($F56,DDE!$A:$AJ,AF$1,FALSE)</f>
        <v>4024617</v>
      </c>
      <c r="AG56" s="5">
        <f>VLOOKUP($F56,DDE!$A:$AJ,AG$1,FALSE)</f>
        <v>16329.54</v>
      </c>
      <c r="AH56" s="5">
        <f>VLOOKUP($F56,DDE!$A:$AJ,AH$1,FALSE)</f>
        <v>16456.939999999999</v>
      </c>
      <c r="AI56" s="5">
        <f>VLOOKUP($F56,DDE!$A:$AJ,AI$1,FALSE)</f>
        <v>16329.54</v>
      </c>
      <c r="AJ56" s="5" t="str">
        <f>VLOOKUP($F56,DDE!$A:$AJ,AJ$1,FALSE)</f>
        <v xml:space="preserve"> -</v>
      </c>
      <c r="AK56" s="5" t="str">
        <f>VLOOKUP($F56,DDE!$A:$AJ,AK$1,FALSE)</f>
        <v xml:space="preserve"> -</v>
      </c>
      <c r="AL56" s="5">
        <f t="shared" si="22"/>
        <v>16443.400000000001</v>
      </c>
      <c r="AM56" s="5">
        <f>VLOOKUP(X56,cmoney!$A:$M,12,FALSE)</f>
        <v>640</v>
      </c>
    </row>
    <row r="57" spans="1:39" x14ac:dyDescent="0.25">
      <c r="A57" s="5" t="str">
        <f t="shared" si="14"/>
        <v/>
      </c>
      <c r="B57" s="5" t="s">
        <v>750</v>
      </c>
      <c r="C57" s="5" t="s">
        <v>395</v>
      </c>
      <c r="D57" s="5" t="s">
        <v>931</v>
      </c>
      <c r="E57" s="5">
        <f>VLOOKUP($D57,股期名單!$L:$M,2,FALSE)</f>
        <v>2000</v>
      </c>
      <c r="F57" s="5" t="str">
        <f t="shared" si="3"/>
        <v>KWFB1</v>
      </c>
      <c r="G57" s="7" t="e">
        <f t="shared" si="15"/>
        <v>#VALUE!</v>
      </c>
      <c r="H57" s="5" t="str">
        <f>VLOOKUP($F57,DDE!$A:$AJ,H$1,FALSE)</f>
        <v xml:space="preserve"> </v>
      </c>
      <c r="I57" s="5">
        <f>VLOOKUP($F57,DDE!$A:$AJ,I$1,FALSE)</f>
        <v>20878632</v>
      </c>
      <c r="J57" s="5" t="str">
        <f>VLOOKUP($F57,DDE!$A:$AJ,J$1,FALSE)</f>
        <v xml:space="preserve"> -</v>
      </c>
      <c r="K57" s="5" t="str">
        <f>VLOOKUP($F57,DDE!$A:$AJ,K$1,FALSE)</f>
        <v xml:space="preserve"> -</v>
      </c>
      <c r="L57" s="5">
        <f>VLOOKUP($F57,DDE!$A:$AJ,L$1,FALSE)</f>
        <v>2088371110</v>
      </c>
      <c r="M57" s="5">
        <f>VLOOKUP($F57,DDE!$A:$AJ,M$1,FALSE)</f>
        <v>20803788</v>
      </c>
      <c r="N57" s="5">
        <f>VLOOKUP($F57,DDE!$A:$AJ,N$1,FALSE)</f>
        <v>20804690</v>
      </c>
      <c r="O57" s="5">
        <f>VLOOKUP($F57,DDE!$A:$AJ,O$1,FALSE)</f>
        <v>10989732</v>
      </c>
      <c r="P57" s="5" t="str">
        <f>VLOOKUP($F57,DDE!$A:$AJ,P$1,FALSE)</f>
        <v xml:space="preserve"> -</v>
      </c>
      <c r="Q57" s="5" t="str">
        <f>VLOOKUP($F57,DDE!$A:$AJ,Q$1,FALSE)</f>
        <v xml:space="preserve"> -</v>
      </c>
      <c r="R57" s="5" t="e">
        <f t="shared" si="23"/>
        <v>#VALUE!</v>
      </c>
      <c r="S57" s="5">
        <f>VLOOKUP(D57,cmoney!$A:$M,12,FALSE)</f>
        <v>42</v>
      </c>
      <c r="U57" s="5" t="str">
        <f t="shared" si="16"/>
        <v/>
      </c>
      <c r="V57" s="5" t="str">
        <f t="shared" si="17"/>
        <v>2328</v>
      </c>
      <c r="W57" s="5" t="str">
        <f t="shared" si="18"/>
        <v>廣宇</v>
      </c>
      <c r="X57" s="5" t="str">
        <f t="shared" si="19"/>
        <v>KWF</v>
      </c>
      <c r="Y57" s="49">
        <f>VLOOKUP($X57,股期名單!$L:$M,2,FALSE)</f>
        <v>2000</v>
      </c>
      <c r="Z57" s="5" t="str">
        <f t="shared" si="20"/>
        <v>KWFC1</v>
      </c>
      <c r="AA57" s="7" t="e">
        <f t="shared" si="21"/>
        <v>#VALUE!</v>
      </c>
      <c r="AB57" s="5" t="str">
        <f>VLOOKUP($F57,DDE!$A:$AJ,AB$1,FALSE)</f>
        <v xml:space="preserve"> </v>
      </c>
      <c r="AC57" s="5">
        <f>VLOOKUP($F57,DDE!$A:$AJ,AC$1,FALSE)</f>
        <v>20878632</v>
      </c>
      <c r="AD57" s="5" t="str">
        <f>VLOOKUP($F57,DDE!$A:$AJ,AD$1,FALSE)</f>
        <v xml:space="preserve"> -</v>
      </c>
      <c r="AE57" s="5" t="str">
        <f>VLOOKUP($F57,DDE!$A:$AJ,AE$1,FALSE)</f>
        <v xml:space="preserve"> -</v>
      </c>
      <c r="AF57" s="5">
        <f>VLOOKUP($F57,DDE!$A:$AJ,AF$1,FALSE)</f>
        <v>2088371110</v>
      </c>
      <c r="AG57" s="5">
        <f>VLOOKUP($F57,DDE!$A:$AJ,AG$1,FALSE)</f>
        <v>20803788</v>
      </c>
      <c r="AH57" s="5">
        <f>VLOOKUP($F57,DDE!$A:$AJ,AH$1,FALSE)</f>
        <v>20804690</v>
      </c>
      <c r="AI57" s="5">
        <f>VLOOKUP($F57,DDE!$A:$AJ,AI$1,FALSE)</f>
        <v>10989732</v>
      </c>
      <c r="AJ57" s="5" t="str">
        <f>VLOOKUP($F57,DDE!$A:$AJ,AJ$1,FALSE)</f>
        <v xml:space="preserve"> -</v>
      </c>
      <c r="AK57" s="5" t="str">
        <f>VLOOKUP($F57,DDE!$A:$AJ,AK$1,FALSE)</f>
        <v xml:space="preserve"> -</v>
      </c>
      <c r="AL57" s="5" t="e">
        <f t="shared" si="22"/>
        <v>#VALUE!</v>
      </c>
      <c r="AM57" s="5">
        <f>VLOOKUP(X57,cmoney!$A:$M,12,FALSE)</f>
        <v>42</v>
      </c>
    </row>
    <row r="58" spans="1:39" x14ac:dyDescent="0.25">
      <c r="A58" s="5" t="str">
        <f t="shared" si="14"/>
        <v/>
      </c>
      <c r="B58" s="5" t="s">
        <v>639</v>
      </c>
      <c r="C58" s="5" t="s">
        <v>62</v>
      </c>
      <c r="D58" s="5" t="s">
        <v>932</v>
      </c>
      <c r="E58" s="5">
        <f>VLOOKUP($D58,股期名單!$L:$M,2,FALSE)</f>
        <v>2000</v>
      </c>
      <c r="F58" s="5" t="str">
        <f t="shared" si="3"/>
        <v>CDFB1</v>
      </c>
      <c r="G58" s="7">
        <f t="shared" si="15"/>
        <v>-2.246489859594384E-2</v>
      </c>
      <c r="H58" s="5">
        <f>VLOOKUP($F58,DDE!$A:$AJ,H$1,FALSE)</f>
        <v>-14.4</v>
      </c>
      <c r="I58" s="5">
        <f>VLOOKUP($F58,DDE!$A:$AJ,I$1,FALSE)</f>
        <v>16429</v>
      </c>
      <c r="J58" s="5" t="str">
        <f>VLOOKUP($F58,DDE!$A:$AJ,J$1,FALSE)</f>
        <v xml:space="preserve"> -</v>
      </c>
      <c r="K58" s="5" t="str">
        <f>VLOOKUP($F58,DDE!$A:$AJ,K$1,FALSE)</f>
        <v xml:space="preserve"> -</v>
      </c>
      <c r="L58" s="5">
        <f>VLOOKUP($F58,DDE!$A:$AJ,L$1,FALSE)</f>
        <v>4015112</v>
      </c>
      <c r="M58" s="5">
        <f>VLOOKUP($F58,DDE!$A:$AJ,M$1,FALSE)</f>
        <v>16329.54</v>
      </c>
      <c r="N58" s="5">
        <f>VLOOKUP($F58,DDE!$A:$AJ,N$1,FALSE)</f>
        <v>16456.939999999999</v>
      </c>
      <c r="O58" s="5">
        <f>VLOOKUP($F58,DDE!$A:$AJ,O$1,FALSE)</f>
        <v>16329.54</v>
      </c>
      <c r="P58" s="5" t="str">
        <f>VLOOKUP($F58,DDE!$A:$AJ,P$1,FALSE)</f>
        <v xml:space="preserve"> -</v>
      </c>
      <c r="Q58" s="5" t="str">
        <f>VLOOKUP($F58,DDE!$A:$AJ,Q$1,FALSE)</f>
        <v xml:space="preserve"> -</v>
      </c>
      <c r="R58" s="5">
        <f t="shared" si="23"/>
        <v>16443.400000000001</v>
      </c>
      <c r="S58" s="5">
        <f>VLOOKUP(D58,cmoney!$A:$M,12,FALSE)</f>
        <v>641</v>
      </c>
      <c r="U58" s="5" t="str">
        <f t="shared" si="16"/>
        <v/>
      </c>
      <c r="V58" s="5" t="str">
        <f t="shared" si="17"/>
        <v>2330</v>
      </c>
      <c r="W58" s="5" t="str">
        <f t="shared" si="18"/>
        <v>台積電</v>
      </c>
      <c r="X58" s="5" t="str">
        <f t="shared" si="19"/>
        <v>CDF</v>
      </c>
      <c r="Y58" s="49">
        <f>VLOOKUP($X58,股期名單!$L:$M,2,FALSE)</f>
        <v>2000</v>
      </c>
      <c r="Z58" s="5" t="str">
        <f t="shared" si="20"/>
        <v>CDFC1</v>
      </c>
      <c r="AA58" s="7">
        <f t="shared" si="21"/>
        <v>-2.246489859594384E-2</v>
      </c>
      <c r="AB58" s="5">
        <f>VLOOKUP($F58,DDE!$A:$AJ,AB$1,FALSE)</f>
        <v>-14.4</v>
      </c>
      <c r="AC58" s="5">
        <f>VLOOKUP($F58,DDE!$A:$AJ,AC$1,FALSE)</f>
        <v>16429</v>
      </c>
      <c r="AD58" s="5" t="str">
        <f>VLOOKUP($F58,DDE!$A:$AJ,AD$1,FALSE)</f>
        <v xml:space="preserve"> -</v>
      </c>
      <c r="AE58" s="5" t="str">
        <f>VLOOKUP($F58,DDE!$A:$AJ,AE$1,FALSE)</f>
        <v xml:space="preserve"> -</v>
      </c>
      <c r="AF58" s="5">
        <f>VLOOKUP($F58,DDE!$A:$AJ,AF$1,FALSE)</f>
        <v>4015112</v>
      </c>
      <c r="AG58" s="5">
        <f>VLOOKUP($F58,DDE!$A:$AJ,AG$1,FALSE)</f>
        <v>16329.54</v>
      </c>
      <c r="AH58" s="5">
        <f>VLOOKUP($F58,DDE!$A:$AJ,AH$1,FALSE)</f>
        <v>16456.939999999999</v>
      </c>
      <c r="AI58" s="5">
        <f>VLOOKUP($F58,DDE!$A:$AJ,AI$1,FALSE)</f>
        <v>16329.54</v>
      </c>
      <c r="AJ58" s="5" t="str">
        <f>VLOOKUP($F58,DDE!$A:$AJ,AJ$1,FALSE)</f>
        <v xml:space="preserve"> -</v>
      </c>
      <c r="AK58" s="5" t="str">
        <f>VLOOKUP($F58,DDE!$A:$AJ,AK$1,FALSE)</f>
        <v xml:space="preserve"> -</v>
      </c>
      <c r="AL58" s="5">
        <f t="shared" si="22"/>
        <v>16443.400000000001</v>
      </c>
      <c r="AM58" s="5">
        <f>VLOOKUP(X58,cmoney!$A:$M,12,FALSE)</f>
        <v>641</v>
      </c>
    </row>
    <row r="59" spans="1:39" x14ac:dyDescent="0.25">
      <c r="A59" s="5" t="str">
        <f t="shared" si="14"/>
        <v>小型</v>
      </c>
      <c r="B59" s="5" t="s">
        <v>639</v>
      </c>
      <c r="C59" s="5" t="s">
        <v>62</v>
      </c>
      <c r="D59" s="5" t="s">
        <v>933</v>
      </c>
      <c r="E59" s="5">
        <f>VLOOKUP($D59,股期名單!$L:$M,2,FALSE)</f>
        <v>100</v>
      </c>
      <c r="F59" s="5" t="str">
        <f t="shared" si="3"/>
        <v>QFFB1</v>
      </c>
      <c r="G59" s="7">
        <f t="shared" si="15"/>
        <v>-3.2511700468018719E-2</v>
      </c>
      <c r="H59" s="5">
        <f>VLOOKUP($F59,DDE!$A:$AJ,H$1,FALSE)</f>
        <v>-20.84</v>
      </c>
      <c r="I59" s="5">
        <f>VLOOKUP($F59,DDE!$A:$AJ,I$1,FALSE)</f>
        <v>16422.560000000001</v>
      </c>
      <c r="J59" s="5" t="str">
        <f>VLOOKUP($F59,DDE!$A:$AJ,J$1,FALSE)</f>
        <v xml:space="preserve"> -</v>
      </c>
      <c r="K59" s="5" t="str">
        <f>VLOOKUP($F59,DDE!$A:$AJ,K$1,FALSE)</f>
        <v xml:space="preserve"> -</v>
      </c>
      <c r="L59" s="5">
        <f>VLOOKUP($F59,DDE!$A:$AJ,L$1,FALSE)</f>
        <v>4024617</v>
      </c>
      <c r="M59" s="5">
        <f>VLOOKUP($F59,DDE!$A:$AJ,M$1,FALSE)</f>
        <v>16329.54</v>
      </c>
      <c r="N59" s="5">
        <f>VLOOKUP($F59,DDE!$A:$AJ,N$1,FALSE)</f>
        <v>16456.939999999999</v>
      </c>
      <c r="O59" s="5">
        <f>VLOOKUP($F59,DDE!$A:$AJ,O$1,FALSE)</f>
        <v>16329.54</v>
      </c>
      <c r="P59" s="5" t="str">
        <f>VLOOKUP($F59,DDE!$A:$AJ,P$1,FALSE)</f>
        <v xml:space="preserve"> -</v>
      </c>
      <c r="Q59" s="5" t="str">
        <f>VLOOKUP($F59,DDE!$A:$AJ,Q$1,FALSE)</f>
        <v xml:space="preserve"> -</v>
      </c>
      <c r="R59" s="5">
        <f t="shared" si="23"/>
        <v>16443.400000000001</v>
      </c>
      <c r="S59" s="5">
        <f>VLOOKUP(D59,cmoney!$A:$M,12,FALSE)</f>
        <v>641</v>
      </c>
      <c r="U59" s="5" t="str">
        <f t="shared" si="16"/>
        <v>小型</v>
      </c>
      <c r="V59" s="5" t="str">
        <f t="shared" si="17"/>
        <v>2330</v>
      </c>
      <c r="W59" s="5" t="str">
        <f t="shared" si="18"/>
        <v>台積電</v>
      </c>
      <c r="X59" s="5" t="str">
        <f t="shared" si="19"/>
        <v>QFF</v>
      </c>
      <c r="Y59" s="49">
        <f>VLOOKUP($X59,股期名單!$L:$M,2,FALSE)</f>
        <v>100</v>
      </c>
      <c r="Z59" s="5" t="str">
        <f t="shared" si="20"/>
        <v>QFFC1</v>
      </c>
      <c r="AA59" s="7">
        <f t="shared" si="21"/>
        <v>-3.2511700468018719E-2</v>
      </c>
      <c r="AB59" s="5">
        <f>VLOOKUP($F59,DDE!$A:$AJ,AB$1,FALSE)</f>
        <v>-20.84</v>
      </c>
      <c r="AC59" s="5">
        <f>VLOOKUP($F59,DDE!$A:$AJ,AC$1,FALSE)</f>
        <v>16422.560000000001</v>
      </c>
      <c r="AD59" s="5" t="str">
        <f>VLOOKUP($F59,DDE!$A:$AJ,AD$1,FALSE)</f>
        <v xml:space="preserve"> -</v>
      </c>
      <c r="AE59" s="5" t="str">
        <f>VLOOKUP($F59,DDE!$A:$AJ,AE$1,FALSE)</f>
        <v xml:space="preserve"> -</v>
      </c>
      <c r="AF59" s="5">
        <f>VLOOKUP($F59,DDE!$A:$AJ,AF$1,FALSE)</f>
        <v>4024617</v>
      </c>
      <c r="AG59" s="5">
        <f>VLOOKUP($F59,DDE!$A:$AJ,AG$1,FALSE)</f>
        <v>16329.54</v>
      </c>
      <c r="AH59" s="5">
        <f>VLOOKUP($F59,DDE!$A:$AJ,AH$1,FALSE)</f>
        <v>16456.939999999999</v>
      </c>
      <c r="AI59" s="5">
        <f>VLOOKUP($F59,DDE!$A:$AJ,AI$1,FALSE)</f>
        <v>16329.54</v>
      </c>
      <c r="AJ59" s="5" t="str">
        <f>VLOOKUP($F59,DDE!$A:$AJ,AJ$1,FALSE)</f>
        <v xml:space="preserve"> -</v>
      </c>
      <c r="AK59" s="5" t="str">
        <f>VLOOKUP($F59,DDE!$A:$AJ,AK$1,FALSE)</f>
        <v xml:space="preserve"> -</v>
      </c>
      <c r="AL59" s="5">
        <f t="shared" si="22"/>
        <v>16443.400000000001</v>
      </c>
      <c r="AM59" s="5">
        <f>VLOOKUP(X59,cmoney!$A:$M,12,FALSE)</f>
        <v>641</v>
      </c>
    </row>
    <row r="60" spans="1:39" x14ac:dyDescent="0.25">
      <c r="A60" s="5" t="str">
        <f t="shared" si="14"/>
        <v/>
      </c>
      <c r="B60" s="5" t="s">
        <v>691</v>
      </c>
      <c r="C60" s="5" t="s">
        <v>218</v>
      </c>
      <c r="D60" s="5" t="s">
        <v>934</v>
      </c>
      <c r="E60" s="5">
        <f>VLOOKUP($D60,股期名單!$L:$M,2,FALSE)</f>
        <v>2000</v>
      </c>
      <c r="F60" s="5" t="str">
        <f t="shared" si="3"/>
        <v>FVFB1</v>
      </c>
      <c r="G60" s="7">
        <f t="shared" si="15"/>
        <v>-0.63701188455008495</v>
      </c>
      <c r="H60" s="5">
        <f>VLOOKUP($F60,DDE!$A:$AJ,H$1,FALSE)</f>
        <v>-18.760000000000002</v>
      </c>
      <c r="I60" s="5">
        <f>VLOOKUP($F60,DDE!$A:$AJ,I$1,FALSE)</f>
        <v>16424.64</v>
      </c>
      <c r="J60" s="5" t="str">
        <f>VLOOKUP($F60,DDE!$A:$AJ,J$1,FALSE)</f>
        <v xml:space="preserve"> -</v>
      </c>
      <c r="K60" s="5" t="str">
        <f>VLOOKUP($F60,DDE!$A:$AJ,K$1,FALSE)</f>
        <v xml:space="preserve"> -</v>
      </c>
      <c r="L60" s="5">
        <f>VLOOKUP($F60,DDE!$A:$AJ,L$1,FALSE)</f>
        <v>4020107</v>
      </c>
      <c r="M60" s="5">
        <f>VLOOKUP($F60,DDE!$A:$AJ,M$1,FALSE)</f>
        <v>16329.54</v>
      </c>
      <c r="N60" s="5">
        <f>VLOOKUP($F60,DDE!$A:$AJ,N$1,FALSE)</f>
        <v>16456.939999999999</v>
      </c>
      <c r="O60" s="5">
        <f>VLOOKUP($F60,DDE!$A:$AJ,O$1,FALSE)</f>
        <v>16329.54</v>
      </c>
      <c r="P60" s="5" t="str">
        <f>VLOOKUP($F60,DDE!$A:$AJ,P$1,FALSE)</f>
        <v xml:space="preserve"> -</v>
      </c>
      <c r="Q60" s="5" t="str">
        <f>VLOOKUP($F60,DDE!$A:$AJ,Q$1,FALSE)</f>
        <v xml:space="preserve"> -</v>
      </c>
      <c r="R60" s="5">
        <f t="shared" si="23"/>
        <v>16443.399999999998</v>
      </c>
      <c r="S60" s="5">
        <f>VLOOKUP(D60,cmoney!$A:$M,12,FALSE)</f>
        <v>29.45</v>
      </c>
      <c r="U60" s="5" t="str">
        <f t="shared" si="16"/>
        <v/>
      </c>
      <c r="V60" s="5" t="str">
        <f t="shared" si="17"/>
        <v>2331</v>
      </c>
      <c r="W60" s="5" t="str">
        <f t="shared" si="18"/>
        <v>精英</v>
      </c>
      <c r="X60" s="5" t="str">
        <f t="shared" si="19"/>
        <v>FVF</v>
      </c>
      <c r="Y60" s="49">
        <f>VLOOKUP($X60,股期名單!$L:$M,2,FALSE)</f>
        <v>2000</v>
      </c>
      <c r="Z60" s="5" t="str">
        <f t="shared" si="20"/>
        <v>FVFC1</v>
      </c>
      <c r="AA60" s="7">
        <f t="shared" si="21"/>
        <v>-0.63701188455008495</v>
      </c>
      <c r="AB60" s="5">
        <f>VLOOKUP($F60,DDE!$A:$AJ,AB$1,FALSE)</f>
        <v>-18.760000000000002</v>
      </c>
      <c r="AC60" s="5">
        <f>VLOOKUP($F60,DDE!$A:$AJ,AC$1,FALSE)</f>
        <v>16424.64</v>
      </c>
      <c r="AD60" s="5" t="str">
        <f>VLOOKUP($F60,DDE!$A:$AJ,AD$1,FALSE)</f>
        <v xml:space="preserve"> -</v>
      </c>
      <c r="AE60" s="5" t="str">
        <f>VLOOKUP($F60,DDE!$A:$AJ,AE$1,FALSE)</f>
        <v xml:space="preserve"> -</v>
      </c>
      <c r="AF60" s="5">
        <f>VLOOKUP($F60,DDE!$A:$AJ,AF$1,FALSE)</f>
        <v>4020107</v>
      </c>
      <c r="AG60" s="5">
        <f>VLOOKUP($F60,DDE!$A:$AJ,AG$1,FALSE)</f>
        <v>16329.54</v>
      </c>
      <c r="AH60" s="5">
        <f>VLOOKUP($F60,DDE!$A:$AJ,AH$1,FALSE)</f>
        <v>16456.939999999999</v>
      </c>
      <c r="AI60" s="5">
        <f>VLOOKUP($F60,DDE!$A:$AJ,AI$1,FALSE)</f>
        <v>16329.54</v>
      </c>
      <c r="AJ60" s="5" t="str">
        <f>VLOOKUP($F60,DDE!$A:$AJ,AJ$1,FALSE)</f>
        <v xml:space="preserve"> -</v>
      </c>
      <c r="AK60" s="5" t="str">
        <f>VLOOKUP($F60,DDE!$A:$AJ,AK$1,FALSE)</f>
        <v xml:space="preserve"> -</v>
      </c>
      <c r="AL60" s="5">
        <f t="shared" si="22"/>
        <v>16443.399999999998</v>
      </c>
      <c r="AM60" s="5">
        <f>VLOOKUP(X60,cmoney!$A:$M,12,FALSE)</f>
        <v>29.45</v>
      </c>
    </row>
    <row r="61" spans="1:39" x14ac:dyDescent="0.25">
      <c r="A61" s="5" t="str">
        <f t="shared" si="14"/>
        <v/>
      </c>
      <c r="B61" s="5" t="s">
        <v>692</v>
      </c>
      <c r="C61" s="5" t="s">
        <v>221</v>
      </c>
      <c r="D61" s="5" t="s">
        <v>935</v>
      </c>
      <c r="E61" s="5">
        <f>VLOOKUP($D61,股期名單!$L:$M,2,FALSE)</f>
        <v>2000</v>
      </c>
      <c r="F61" s="5" t="str">
        <f t="shared" si="3"/>
        <v>FWFB1</v>
      </c>
      <c r="G61" s="7">
        <f t="shared" si="15"/>
        <v>0.27779960707269158</v>
      </c>
      <c r="H61" s="5">
        <f>VLOOKUP($F61,DDE!$A:$AJ,H$1,FALSE)</f>
        <v>7.07</v>
      </c>
      <c r="I61" s="5">
        <f>VLOOKUP($F61,DDE!$A:$AJ,I$1,FALSE)</f>
        <v>13893.65</v>
      </c>
      <c r="J61" s="5" t="str">
        <f>VLOOKUP($F61,DDE!$A:$AJ,J$1,FALSE)</f>
        <v xml:space="preserve"> -</v>
      </c>
      <c r="K61" s="5" t="str">
        <f>VLOOKUP($F61,DDE!$A:$AJ,K$1,FALSE)</f>
        <v xml:space="preserve"> -</v>
      </c>
      <c r="L61" s="5">
        <f>VLOOKUP($F61,DDE!$A:$AJ,L$1,FALSE)</f>
        <v>871785</v>
      </c>
      <c r="M61" s="5">
        <f>VLOOKUP($F61,DDE!$A:$AJ,M$1,FALSE)</f>
        <v>13893.03</v>
      </c>
      <c r="N61" s="5">
        <f>VLOOKUP($F61,DDE!$A:$AJ,N$1,FALSE)</f>
        <v>13945.78</v>
      </c>
      <c r="O61" s="5">
        <f>VLOOKUP($F61,DDE!$A:$AJ,O$1,FALSE)</f>
        <v>13875.82</v>
      </c>
      <c r="P61" s="5" t="str">
        <f>VLOOKUP($F61,DDE!$A:$AJ,P$1,FALSE)</f>
        <v xml:space="preserve"> -</v>
      </c>
      <c r="Q61" s="5" t="str">
        <f>VLOOKUP($F61,DDE!$A:$AJ,Q$1,FALSE)</f>
        <v xml:space="preserve"> -</v>
      </c>
      <c r="R61" s="5">
        <f t="shared" si="23"/>
        <v>13886.58</v>
      </c>
      <c r="S61" s="5">
        <f>VLOOKUP(D61,cmoney!$A:$M,12,FALSE)</f>
        <v>25.45</v>
      </c>
      <c r="U61" s="5" t="str">
        <f t="shared" si="16"/>
        <v/>
      </c>
      <c r="V61" s="5" t="str">
        <f t="shared" si="17"/>
        <v>2332</v>
      </c>
      <c r="W61" s="5" t="str">
        <f t="shared" si="18"/>
        <v>友訊</v>
      </c>
      <c r="X61" s="5" t="str">
        <f t="shared" si="19"/>
        <v>FWF</v>
      </c>
      <c r="Y61" s="49">
        <f>VLOOKUP($X61,股期名單!$L:$M,2,FALSE)</f>
        <v>2000</v>
      </c>
      <c r="Z61" s="5" t="str">
        <f t="shared" si="20"/>
        <v>FWFC1</v>
      </c>
      <c r="AA61" s="7">
        <f t="shared" si="21"/>
        <v>0.27779960707269158</v>
      </c>
      <c r="AB61" s="5">
        <f>VLOOKUP($F61,DDE!$A:$AJ,AB$1,FALSE)</f>
        <v>7.07</v>
      </c>
      <c r="AC61" s="5">
        <f>VLOOKUP($F61,DDE!$A:$AJ,AC$1,FALSE)</f>
        <v>13893.65</v>
      </c>
      <c r="AD61" s="5" t="str">
        <f>VLOOKUP($F61,DDE!$A:$AJ,AD$1,FALSE)</f>
        <v xml:space="preserve"> -</v>
      </c>
      <c r="AE61" s="5" t="str">
        <f>VLOOKUP($F61,DDE!$A:$AJ,AE$1,FALSE)</f>
        <v xml:space="preserve"> -</v>
      </c>
      <c r="AF61" s="5">
        <f>VLOOKUP($F61,DDE!$A:$AJ,AF$1,FALSE)</f>
        <v>871785</v>
      </c>
      <c r="AG61" s="5">
        <f>VLOOKUP($F61,DDE!$A:$AJ,AG$1,FALSE)</f>
        <v>13893.03</v>
      </c>
      <c r="AH61" s="5">
        <f>VLOOKUP($F61,DDE!$A:$AJ,AH$1,FALSE)</f>
        <v>13945.78</v>
      </c>
      <c r="AI61" s="5">
        <f>VLOOKUP($F61,DDE!$A:$AJ,AI$1,FALSE)</f>
        <v>13875.82</v>
      </c>
      <c r="AJ61" s="5" t="str">
        <f>VLOOKUP($F61,DDE!$A:$AJ,AJ$1,FALSE)</f>
        <v xml:space="preserve"> -</v>
      </c>
      <c r="AK61" s="5" t="str">
        <f>VLOOKUP($F61,DDE!$A:$AJ,AK$1,FALSE)</f>
        <v xml:space="preserve"> -</v>
      </c>
      <c r="AL61" s="5">
        <f t="shared" si="22"/>
        <v>13886.58</v>
      </c>
      <c r="AM61" s="5">
        <f>VLOOKUP(X61,cmoney!$A:$M,12,FALSE)</f>
        <v>25.45</v>
      </c>
    </row>
    <row r="62" spans="1:39" x14ac:dyDescent="0.25">
      <c r="A62" s="5" t="str">
        <f t="shared" si="14"/>
        <v/>
      </c>
      <c r="B62" s="5" t="s">
        <v>663</v>
      </c>
      <c r="C62" s="5" t="s">
        <v>134</v>
      </c>
      <c r="D62" s="5" t="s">
        <v>936</v>
      </c>
      <c r="E62" s="5">
        <f>VLOOKUP($D62,股期名單!$L:$M,2,FALSE)</f>
        <v>2000</v>
      </c>
      <c r="F62" s="5" t="str">
        <f t="shared" si="3"/>
        <v>DIFB1</v>
      </c>
      <c r="G62" s="7">
        <f t="shared" si="15"/>
        <v>-0.46488794023479191</v>
      </c>
      <c r="H62" s="5">
        <f>VLOOKUP($F62,DDE!$A:$AJ,H$1,FALSE)</f>
        <v>-21.78</v>
      </c>
      <c r="I62" s="5">
        <f>VLOOKUP($F62,DDE!$A:$AJ,I$1,FALSE)</f>
        <v>16421.62</v>
      </c>
      <c r="J62" s="5" t="str">
        <f>VLOOKUP($F62,DDE!$A:$AJ,J$1,FALSE)</f>
        <v xml:space="preserve"> -</v>
      </c>
      <c r="K62" s="5" t="str">
        <f>VLOOKUP($F62,DDE!$A:$AJ,K$1,FALSE)</f>
        <v xml:space="preserve"> -</v>
      </c>
      <c r="L62" s="5">
        <f>VLOOKUP($F62,DDE!$A:$AJ,L$1,FALSE)</f>
        <v>4027056</v>
      </c>
      <c r="M62" s="5">
        <f>VLOOKUP($F62,DDE!$A:$AJ,M$1,FALSE)</f>
        <v>16329.54</v>
      </c>
      <c r="N62" s="5">
        <f>VLOOKUP($F62,DDE!$A:$AJ,N$1,FALSE)</f>
        <v>16456.939999999999</v>
      </c>
      <c r="O62" s="5">
        <f>VLOOKUP($F62,DDE!$A:$AJ,O$1,FALSE)</f>
        <v>16329.54</v>
      </c>
      <c r="P62" s="5" t="str">
        <f>VLOOKUP($F62,DDE!$A:$AJ,P$1,FALSE)</f>
        <v xml:space="preserve"> -</v>
      </c>
      <c r="Q62" s="5" t="str">
        <f>VLOOKUP($F62,DDE!$A:$AJ,Q$1,FALSE)</f>
        <v xml:space="preserve"> -</v>
      </c>
      <c r="R62" s="5">
        <f t="shared" si="23"/>
        <v>16443.399999999998</v>
      </c>
      <c r="S62" s="5">
        <f>VLOOKUP(D62,cmoney!$A:$M,12,FALSE)</f>
        <v>46.85</v>
      </c>
      <c r="U62" s="5" t="str">
        <f t="shared" si="16"/>
        <v/>
      </c>
      <c r="V62" s="5" t="str">
        <f t="shared" si="17"/>
        <v>2337</v>
      </c>
      <c r="W62" s="5" t="str">
        <f t="shared" si="18"/>
        <v>旺宏</v>
      </c>
      <c r="X62" s="5" t="str">
        <f t="shared" si="19"/>
        <v>DIF</v>
      </c>
      <c r="Y62" s="49">
        <f>VLOOKUP($X62,股期名單!$L:$M,2,FALSE)</f>
        <v>2000</v>
      </c>
      <c r="Z62" s="5" t="str">
        <f t="shared" si="20"/>
        <v>DIFC1</v>
      </c>
      <c r="AA62" s="7">
        <f t="shared" si="21"/>
        <v>-0.46488794023479191</v>
      </c>
      <c r="AB62" s="5">
        <f>VLOOKUP($F62,DDE!$A:$AJ,AB$1,FALSE)</f>
        <v>-21.78</v>
      </c>
      <c r="AC62" s="5">
        <f>VLOOKUP($F62,DDE!$A:$AJ,AC$1,FALSE)</f>
        <v>16421.62</v>
      </c>
      <c r="AD62" s="5" t="str">
        <f>VLOOKUP($F62,DDE!$A:$AJ,AD$1,FALSE)</f>
        <v xml:space="preserve"> -</v>
      </c>
      <c r="AE62" s="5" t="str">
        <f>VLOOKUP($F62,DDE!$A:$AJ,AE$1,FALSE)</f>
        <v xml:space="preserve"> -</v>
      </c>
      <c r="AF62" s="5">
        <f>VLOOKUP($F62,DDE!$A:$AJ,AF$1,FALSE)</f>
        <v>4027056</v>
      </c>
      <c r="AG62" s="5">
        <f>VLOOKUP($F62,DDE!$A:$AJ,AG$1,FALSE)</f>
        <v>16329.54</v>
      </c>
      <c r="AH62" s="5">
        <f>VLOOKUP($F62,DDE!$A:$AJ,AH$1,FALSE)</f>
        <v>16456.939999999999</v>
      </c>
      <c r="AI62" s="5">
        <f>VLOOKUP($F62,DDE!$A:$AJ,AI$1,FALSE)</f>
        <v>16329.54</v>
      </c>
      <c r="AJ62" s="5" t="str">
        <f>VLOOKUP($F62,DDE!$A:$AJ,AJ$1,FALSE)</f>
        <v xml:space="preserve"> -</v>
      </c>
      <c r="AK62" s="5" t="str">
        <f>VLOOKUP($F62,DDE!$A:$AJ,AK$1,FALSE)</f>
        <v xml:space="preserve"> -</v>
      </c>
      <c r="AL62" s="5">
        <f t="shared" si="22"/>
        <v>16443.399999999998</v>
      </c>
      <c r="AM62" s="5">
        <f>VLOOKUP(X62,cmoney!$A:$M,12,FALSE)</f>
        <v>46.85</v>
      </c>
    </row>
    <row r="63" spans="1:39" x14ac:dyDescent="0.25">
      <c r="A63" s="5" t="str">
        <f t="shared" si="14"/>
        <v/>
      </c>
      <c r="B63" s="5" t="s">
        <v>693</v>
      </c>
      <c r="C63" s="5" t="s">
        <v>224</v>
      </c>
      <c r="D63" s="5" t="s">
        <v>937</v>
      </c>
      <c r="E63" s="5">
        <f>VLOOKUP($D63,股期名單!$L:$M,2,FALSE)</f>
        <v>2000</v>
      </c>
      <c r="F63" s="5" t="str">
        <f t="shared" si="3"/>
        <v>FYFB1</v>
      </c>
      <c r="G63" s="7">
        <f t="shared" si="15"/>
        <v>0.32015065913370999</v>
      </c>
      <c r="H63" s="5">
        <f>VLOOKUP($F63,DDE!$A:$AJ,H$1,FALSE)</f>
        <v>8.5</v>
      </c>
      <c r="I63" s="5">
        <f>VLOOKUP($F63,DDE!$A:$AJ,I$1,FALSE)</f>
        <v>13895.08</v>
      </c>
      <c r="J63" s="5" t="str">
        <f>VLOOKUP($F63,DDE!$A:$AJ,J$1,FALSE)</f>
        <v xml:space="preserve"> -</v>
      </c>
      <c r="K63" s="5" t="str">
        <f>VLOOKUP($F63,DDE!$A:$AJ,K$1,FALSE)</f>
        <v xml:space="preserve"> -</v>
      </c>
      <c r="L63" s="5">
        <f>VLOOKUP($F63,DDE!$A:$AJ,L$1,FALSE)</f>
        <v>871174</v>
      </c>
      <c r="M63" s="5">
        <f>VLOOKUP($F63,DDE!$A:$AJ,M$1,FALSE)</f>
        <v>13893.03</v>
      </c>
      <c r="N63" s="5">
        <f>VLOOKUP($F63,DDE!$A:$AJ,N$1,FALSE)</f>
        <v>13945.78</v>
      </c>
      <c r="O63" s="5">
        <f>VLOOKUP($F63,DDE!$A:$AJ,O$1,FALSE)</f>
        <v>13875.82</v>
      </c>
      <c r="P63" s="5" t="str">
        <f>VLOOKUP($F63,DDE!$A:$AJ,P$1,FALSE)</f>
        <v xml:space="preserve"> -</v>
      </c>
      <c r="Q63" s="5" t="str">
        <f>VLOOKUP($F63,DDE!$A:$AJ,Q$1,FALSE)</f>
        <v xml:space="preserve"> -</v>
      </c>
      <c r="R63" s="5">
        <f t="shared" si="23"/>
        <v>13886.58</v>
      </c>
      <c r="S63" s="5">
        <f>VLOOKUP(D63,cmoney!$A:$M,12,FALSE)</f>
        <v>26.55</v>
      </c>
      <c r="U63" s="5" t="str">
        <f t="shared" si="16"/>
        <v/>
      </c>
      <c r="V63" s="5" t="str">
        <f t="shared" si="17"/>
        <v>2340</v>
      </c>
      <c r="W63" s="5" t="str">
        <f t="shared" si="18"/>
        <v>光磊</v>
      </c>
      <c r="X63" s="5" t="str">
        <f t="shared" si="19"/>
        <v>FYF</v>
      </c>
      <c r="Y63" s="49">
        <f>VLOOKUP($X63,股期名單!$L:$M,2,FALSE)</f>
        <v>2000</v>
      </c>
      <c r="Z63" s="5" t="str">
        <f t="shared" si="20"/>
        <v>FYFC1</v>
      </c>
      <c r="AA63" s="7">
        <f t="shared" si="21"/>
        <v>0.32015065913370999</v>
      </c>
      <c r="AB63" s="5">
        <f>VLOOKUP($F63,DDE!$A:$AJ,AB$1,FALSE)</f>
        <v>8.5</v>
      </c>
      <c r="AC63" s="5">
        <f>VLOOKUP($F63,DDE!$A:$AJ,AC$1,FALSE)</f>
        <v>13895.08</v>
      </c>
      <c r="AD63" s="5" t="str">
        <f>VLOOKUP($F63,DDE!$A:$AJ,AD$1,FALSE)</f>
        <v xml:space="preserve"> -</v>
      </c>
      <c r="AE63" s="5" t="str">
        <f>VLOOKUP($F63,DDE!$A:$AJ,AE$1,FALSE)</f>
        <v xml:space="preserve"> -</v>
      </c>
      <c r="AF63" s="5">
        <f>VLOOKUP($F63,DDE!$A:$AJ,AF$1,FALSE)</f>
        <v>871174</v>
      </c>
      <c r="AG63" s="5">
        <f>VLOOKUP($F63,DDE!$A:$AJ,AG$1,FALSE)</f>
        <v>13893.03</v>
      </c>
      <c r="AH63" s="5">
        <f>VLOOKUP($F63,DDE!$A:$AJ,AH$1,FALSE)</f>
        <v>13945.78</v>
      </c>
      <c r="AI63" s="5">
        <f>VLOOKUP($F63,DDE!$A:$AJ,AI$1,FALSE)</f>
        <v>13875.82</v>
      </c>
      <c r="AJ63" s="5" t="str">
        <f>VLOOKUP($F63,DDE!$A:$AJ,AJ$1,FALSE)</f>
        <v xml:space="preserve"> -</v>
      </c>
      <c r="AK63" s="5" t="str">
        <f>VLOOKUP($F63,DDE!$A:$AJ,AK$1,FALSE)</f>
        <v xml:space="preserve"> -</v>
      </c>
      <c r="AL63" s="5">
        <f t="shared" si="22"/>
        <v>13886.58</v>
      </c>
      <c r="AM63" s="5">
        <f>VLOOKUP(X63,cmoney!$A:$M,12,FALSE)</f>
        <v>26.55</v>
      </c>
    </row>
    <row r="64" spans="1:39" x14ac:dyDescent="0.25">
      <c r="A64" s="5" t="str">
        <f t="shared" si="14"/>
        <v/>
      </c>
      <c r="B64" s="5" t="s">
        <v>694</v>
      </c>
      <c r="C64" s="5" t="s">
        <v>227</v>
      </c>
      <c r="D64" s="5" t="s">
        <v>938</v>
      </c>
      <c r="E64" s="5">
        <f>VLOOKUP($D64,股期名單!$L:$M,2,FALSE)</f>
        <v>2000</v>
      </c>
      <c r="F64" s="5" t="str">
        <f t="shared" si="3"/>
        <v>FZFB1</v>
      </c>
      <c r="G64" s="7">
        <f t="shared" si="15"/>
        <v>-0.68490566037735856</v>
      </c>
      <c r="H64" s="5">
        <f>VLOOKUP($F64,DDE!$A:$AJ,H$1,FALSE)</f>
        <v>-21.78</v>
      </c>
      <c r="I64" s="5">
        <f>VLOOKUP($F64,DDE!$A:$AJ,I$1,FALSE)</f>
        <v>16421.62</v>
      </c>
      <c r="J64" s="5" t="str">
        <f>VLOOKUP($F64,DDE!$A:$AJ,J$1,FALSE)</f>
        <v xml:space="preserve"> -</v>
      </c>
      <c r="K64" s="5" t="str">
        <f>VLOOKUP($F64,DDE!$A:$AJ,K$1,FALSE)</f>
        <v xml:space="preserve"> -</v>
      </c>
      <c r="L64" s="5">
        <f>VLOOKUP($F64,DDE!$A:$AJ,L$1,FALSE)</f>
        <v>4027056</v>
      </c>
      <c r="M64" s="5">
        <f>VLOOKUP($F64,DDE!$A:$AJ,M$1,FALSE)</f>
        <v>16329.54</v>
      </c>
      <c r="N64" s="5">
        <f>VLOOKUP($F64,DDE!$A:$AJ,N$1,FALSE)</f>
        <v>16456.939999999999</v>
      </c>
      <c r="O64" s="5">
        <f>VLOOKUP($F64,DDE!$A:$AJ,O$1,FALSE)</f>
        <v>16329.54</v>
      </c>
      <c r="P64" s="5" t="str">
        <f>VLOOKUP($F64,DDE!$A:$AJ,P$1,FALSE)</f>
        <v xml:space="preserve"> -</v>
      </c>
      <c r="Q64" s="5" t="str">
        <f>VLOOKUP($F64,DDE!$A:$AJ,Q$1,FALSE)</f>
        <v xml:space="preserve"> -</v>
      </c>
      <c r="R64" s="5">
        <f t="shared" si="23"/>
        <v>16443.399999999998</v>
      </c>
      <c r="S64" s="5">
        <f>VLOOKUP(D64,cmoney!$A:$M,12,FALSE)</f>
        <v>31.8</v>
      </c>
      <c r="U64" s="5" t="str">
        <f t="shared" si="16"/>
        <v/>
      </c>
      <c r="V64" s="5" t="str">
        <f t="shared" si="17"/>
        <v>2344</v>
      </c>
      <c r="W64" s="5" t="str">
        <f t="shared" si="18"/>
        <v>華邦電</v>
      </c>
      <c r="X64" s="5" t="str">
        <f t="shared" si="19"/>
        <v>FZF</v>
      </c>
      <c r="Y64" s="49">
        <f>VLOOKUP($X64,股期名單!$L:$M,2,FALSE)</f>
        <v>2000</v>
      </c>
      <c r="Z64" s="5" t="str">
        <f t="shared" si="20"/>
        <v>FZFC1</v>
      </c>
      <c r="AA64" s="7">
        <f t="shared" si="21"/>
        <v>-0.68490566037735856</v>
      </c>
      <c r="AB64" s="5">
        <f>VLOOKUP($F64,DDE!$A:$AJ,AB$1,FALSE)</f>
        <v>-21.78</v>
      </c>
      <c r="AC64" s="5">
        <f>VLOOKUP($F64,DDE!$A:$AJ,AC$1,FALSE)</f>
        <v>16421.62</v>
      </c>
      <c r="AD64" s="5" t="str">
        <f>VLOOKUP($F64,DDE!$A:$AJ,AD$1,FALSE)</f>
        <v xml:space="preserve"> -</v>
      </c>
      <c r="AE64" s="5" t="str">
        <f>VLOOKUP($F64,DDE!$A:$AJ,AE$1,FALSE)</f>
        <v xml:space="preserve"> -</v>
      </c>
      <c r="AF64" s="5">
        <f>VLOOKUP($F64,DDE!$A:$AJ,AF$1,FALSE)</f>
        <v>4027056</v>
      </c>
      <c r="AG64" s="5">
        <f>VLOOKUP($F64,DDE!$A:$AJ,AG$1,FALSE)</f>
        <v>16329.54</v>
      </c>
      <c r="AH64" s="5">
        <f>VLOOKUP($F64,DDE!$A:$AJ,AH$1,FALSE)</f>
        <v>16456.939999999999</v>
      </c>
      <c r="AI64" s="5">
        <f>VLOOKUP($F64,DDE!$A:$AJ,AI$1,FALSE)</f>
        <v>16329.54</v>
      </c>
      <c r="AJ64" s="5" t="str">
        <f>VLOOKUP($F64,DDE!$A:$AJ,AJ$1,FALSE)</f>
        <v xml:space="preserve"> -</v>
      </c>
      <c r="AK64" s="5" t="str">
        <f>VLOOKUP($F64,DDE!$A:$AJ,AK$1,FALSE)</f>
        <v xml:space="preserve"> -</v>
      </c>
      <c r="AL64" s="5">
        <f t="shared" si="22"/>
        <v>16443.399999999998</v>
      </c>
      <c r="AM64" s="5">
        <f>VLOOKUP(X64,cmoney!$A:$M,12,FALSE)</f>
        <v>31.8</v>
      </c>
    </row>
    <row r="65" spans="1:39" x14ac:dyDescent="0.25">
      <c r="A65" s="5" t="str">
        <f t="shared" si="14"/>
        <v/>
      </c>
      <c r="B65" s="5" t="s">
        <v>793</v>
      </c>
      <c r="C65" s="5" t="s">
        <v>558</v>
      </c>
      <c r="D65" s="5" t="s">
        <v>939</v>
      </c>
      <c r="E65" s="5">
        <f>VLOOKUP($D65,股期名單!$L:$M,2,FALSE)</f>
        <v>2000</v>
      </c>
      <c r="F65" s="5" t="str">
        <f t="shared" si="3"/>
        <v>OPFB1</v>
      </c>
      <c r="G65" s="7">
        <f t="shared" si="15"/>
        <v>-7.795246800731262E-2</v>
      </c>
      <c r="H65" s="5">
        <f>VLOOKUP($F65,DDE!$A:$AJ,H$1,FALSE)</f>
        <v>-21.32</v>
      </c>
      <c r="I65" s="5">
        <f>VLOOKUP($F65,DDE!$A:$AJ,I$1,FALSE)</f>
        <v>16422.080000000002</v>
      </c>
      <c r="J65" s="5" t="str">
        <f>VLOOKUP($F65,DDE!$A:$AJ,J$1,FALSE)</f>
        <v xml:space="preserve"> -</v>
      </c>
      <c r="K65" s="5" t="str">
        <f>VLOOKUP($F65,DDE!$A:$AJ,K$1,FALSE)</f>
        <v xml:space="preserve"> -</v>
      </c>
      <c r="L65" s="5">
        <f>VLOOKUP($F65,DDE!$A:$AJ,L$1,FALSE)</f>
        <v>4018459</v>
      </c>
      <c r="M65" s="5">
        <f>VLOOKUP($F65,DDE!$A:$AJ,M$1,FALSE)</f>
        <v>16329.54</v>
      </c>
      <c r="N65" s="5">
        <f>VLOOKUP($F65,DDE!$A:$AJ,N$1,FALSE)</f>
        <v>16456.939999999999</v>
      </c>
      <c r="O65" s="5">
        <f>VLOOKUP($F65,DDE!$A:$AJ,O$1,FALSE)</f>
        <v>16329.54</v>
      </c>
      <c r="P65" s="5" t="str">
        <f>VLOOKUP($F65,DDE!$A:$AJ,P$1,FALSE)</f>
        <v xml:space="preserve"> -</v>
      </c>
      <c r="Q65" s="5" t="str">
        <f>VLOOKUP($F65,DDE!$A:$AJ,Q$1,FALSE)</f>
        <v xml:space="preserve"> -</v>
      </c>
      <c r="R65" s="5">
        <f t="shared" si="23"/>
        <v>16443.400000000001</v>
      </c>
      <c r="S65" s="5">
        <f>VLOOKUP(D65,cmoney!$A:$M,12,FALSE)</f>
        <v>273.5</v>
      </c>
      <c r="U65" s="5" t="str">
        <f t="shared" si="16"/>
        <v/>
      </c>
      <c r="V65" s="5" t="str">
        <f t="shared" si="17"/>
        <v>2345</v>
      </c>
      <c r="W65" s="5" t="str">
        <f t="shared" si="18"/>
        <v>智邦</v>
      </c>
      <c r="X65" s="5" t="str">
        <f t="shared" si="19"/>
        <v>OPF</v>
      </c>
      <c r="Y65" s="49">
        <f>VLOOKUP($X65,股期名單!$L:$M,2,FALSE)</f>
        <v>2000</v>
      </c>
      <c r="Z65" s="5" t="str">
        <f t="shared" si="20"/>
        <v>OPFC1</v>
      </c>
      <c r="AA65" s="7">
        <f t="shared" si="21"/>
        <v>-7.795246800731262E-2</v>
      </c>
      <c r="AB65" s="5">
        <f>VLOOKUP($F65,DDE!$A:$AJ,AB$1,FALSE)</f>
        <v>-21.32</v>
      </c>
      <c r="AC65" s="5">
        <f>VLOOKUP($F65,DDE!$A:$AJ,AC$1,FALSE)</f>
        <v>16422.080000000002</v>
      </c>
      <c r="AD65" s="5" t="str">
        <f>VLOOKUP($F65,DDE!$A:$AJ,AD$1,FALSE)</f>
        <v xml:space="preserve"> -</v>
      </c>
      <c r="AE65" s="5" t="str">
        <f>VLOOKUP($F65,DDE!$A:$AJ,AE$1,FALSE)</f>
        <v xml:space="preserve"> -</v>
      </c>
      <c r="AF65" s="5">
        <f>VLOOKUP($F65,DDE!$A:$AJ,AF$1,FALSE)</f>
        <v>4018459</v>
      </c>
      <c r="AG65" s="5">
        <f>VLOOKUP($F65,DDE!$A:$AJ,AG$1,FALSE)</f>
        <v>16329.54</v>
      </c>
      <c r="AH65" s="5">
        <f>VLOOKUP($F65,DDE!$A:$AJ,AH$1,FALSE)</f>
        <v>16456.939999999999</v>
      </c>
      <c r="AI65" s="5">
        <f>VLOOKUP($F65,DDE!$A:$AJ,AI$1,FALSE)</f>
        <v>16329.54</v>
      </c>
      <c r="AJ65" s="5" t="str">
        <f>VLOOKUP($F65,DDE!$A:$AJ,AJ$1,FALSE)</f>
        <v xml:space="preserve"> -</v>
      </c>
      <c r="AK65" s="5" t="str">
        <f>VLOOKUP($F65,DDE!$A:$AJ,AK$1,FALSE)</f>
        <v xml:space="preserve"> -</v>
      </c>
      <c r="AL65" s="5">
        <f t="shared" si="22"/>
        <v>16443.400000000001</v>
      </c>
      <c r="AM65" s="5">
        <f>VLOOKUP(X65,cmoney!$A:$M,12,FALSE)</f>
        <v>273.5</v>
      </c>
    </row>
    <row r="66" spans="1:39" x14ac:dyDescent="0.25">
      <c r="A66" s="5" t="str">
        <f t="shared" si="14"/>
        <v/>
      </c>
      <c r="B66" s="5" t="s">
        <v>695</v>
      </c>
      <c r="C66" s="5" t="s">
        <v>230</v>
      </c>
      <c r="D66" s="5" t="s">
        <v>940</v>
      </c>
      <c r="E66" s="5">
        <f>VLOOKUP($D66,股期名單!$L:$M,2,FALSE)</f>
        <v>2000</v>
      </c>
      <c r="F66" s="5" t="str">
        <f t="shared" si="3"/>
        <v>GAFB1</v>
      </c>
      <c r="G66" s="7">
        <f t="shared" si="15"/>
        <v>-0.30413223140495871</v>
      </c>
      <c r="H66" s="5">
        <f>VLOOKUP($F66,DDE!$A:$AJ,H$1,FALSE)</f>
        <v>-14.72</v>
      </c>
      <c r="I66" s="5">
        <f>VLOOKUP($F66,DDE!$A:$AJ,I$1,FALSE)</f>
        <v>16428.68</v>
      </c>
      <c r="J66" s="5" t="str">
        <f>VLOOKUP($F66,DDE!$A:$AJ,J$1,FALSE)</f>
        <v xml:space="preserve"> -</v>
      </c>
      <c r="K66" s="5" t="str">
        <f>VLOOKUP($F66,DDE!$A:$AJ,K$1,FALSE)</f>
        <v xml:space="preserve"> -</v>
      </c>
      <c r="L66" s="5">
        <f>VLOOKUP($F66,DDE!$A:$AJ,L$1,FALSE)</f>
        <v>4022793</v>
      </c>
      <c r="M66" s="5">
        <f>VLOOKUP($F66,DDE!$A:$AJ,M$1,FALSE)</f>
        <v>16329.54</v>
      </c>
      <c r="N66" s="5">
        <f>VLOOKUP($F66,DDE!$A:$AJ,N$1,FALSE)</f>
        <v>16456.939999999999</v>
      </c>
      <c r="O66" s="5">
        <f>VLOOKUP($F66,DDE!$A:$AJ,O$1,FALSE)</f>
        <v>16329.54</v>
      </c>
      <c r="P66" s="5" t="str">
        <f>VLOOKUP($F66,DDE!$A:$AJ,P$1,FALSE)</f>
        <v xml:space="preserve"> -</v>
      </c>
      <c r="Q66" s="5" t="str">
        <f>VLOOKUP($F66,DDE!$A:$AJ,Q$1,FALSE)</f>
        <v xml:space="preserve"> -</v>
      </c>
      <c r="R66" s="5">
        <f t="shared" si="23"/>
        <v>16443.400000000001</v>
      </c>
      <c r="S66" s="5">
        <f>VLOOKUP(D66,cmoney!$A:$M,12,FALSE)</f>
        <v>48.4</v>
      </c>
      <c r="U66" s="5" t="str">
        <f t="shared" si="16"/>
        <v/>
      </c>
      <c r="V66" s="5" t="str">
        <f t="shared" si="17"/>
        <v>2347</v>
      </c>
      <c r="W66" s="5" t="str">
        <f t="shared" si="18"/>
        <v>聯強</v>
      </c>
      <c r="X66" s="5" t="str">
        <f t="shared" si="19"/>
        <v>GAF</v>
      </c>
      <c r="Y66" s="49">
        <f>VLOOKUP($X66,股期名單!$L:$M,2,FALSE)</f>
        <v>2000</v>
      </c>
      <c r="Z66" s="5" t="str">
        <f t="shared" si="20"/>
        <v>GAFC1</v>
      </c>
      <c r="AA66" s="7">
        <f t="shared" si="21"/>
        <v>-0.30413223140495871</v>
      </c>
      <c r="AB66" s="5">
        <f>VLOOKUP($F66,DDE!$A:$AJ,AB$1,FALSE)</f>
        <v>-14.72</v>
      </c>
      <c r="AC66" s="5">
        <f>VLOOKUP($F66,DDE!$A:$AJ,AC$1,FALSE)</f>
        <v>16428.68</v>
      </c>
      <c r="AD66" s="5" t="str">
        <f>VLOOKUP($F66,DDE!$A:$AJ,AD$1,FALSE)</f>
        <v xml:space="preserve"> -</v>
      </c>
      <c r="AE66" s="5" t="str">
        <f>VLOOKUP($F66,DDE!$A:$AJ,AE$1,FALSE)</f>
        <v xml:space="preserve"> -</v>
      </c>
      <c r="AF66" s="5">
        <f>VLOOKUP($F66,DDE!$A:$AJ,AF$1,FALSE)</f>
        <v>4022793</v>
      </c>
      <c r="AG66" s="5">
        <f>VLOOKUP($F66,DDE!$A:$AJ,AG$1,FALSE)</f>
        <v>16329.54</v>
      </c>
      <c r="AH66" s="5">
        <f>VLOOKUP($F66,DDE!$A:$AJ,AH$1,FALSE)</f>
        <v>16456.939999999999</v>
      </c>
      <c r="AI66" s="5">
        <f>VLOOKUP($F66,DDE!$A:$AJ,AI$1,FALSE)</f>
        <v>16329.54</v>
      </c>
      <c r="AJ66" s="5" t="str">
        <f>VLOOKUP($F66,DDE!$A:$AJ,AJ$1,FALSE)</f>
        <v xml:space="preserve"> -</v>
      </c>
      <c r="AK66" s="5" t="str">
        <f>VLOOKUP($F66,DDE!$A:$AJ,AK$1,FALSE)</f>
        <v xml:space="preserve"> -</v>
      </c>
      <c r="AL66" s="5">
        <f t="shared" si="22"/>
        <v>16443.400000000001</v>
      </c>
      <c r="AM66" s="5">
        <f>VLOOKUP(X66,cmoney!$A:$M,12,FALSE)</f>
        <v>48.4</v>
      </c>
    </row>
    <row r="67" spans="1:39" x14ac:dyDescent="0.25">
      <c r="A67" s="5" t="str">
        <f t="shared" si="14"/>
        <v/>
      </c>
      <c r="B67" s="5" t="s">
        <v>653</v>
      </c>
      <c r="C67" s="5" t="s">
        <v>104</v>
      </c>
      <c r="D67" s="5" t="s">
        <v>941</v>
      </c>
      <c r="E67" s="5">
        <f>VLOOKUP($D67,股期名單!$L:$M,2,FALSE)</f>
        <v>2000</v>
      </c>
      <c r="F67" s="5" t="str">
        <f t="shared" si="3"/>
        <v>CWFB1</v>
      </c>
      <c r="G67" s="7" t="e">
        <f t="shared" si="15"/>
        <v>#VALUE!</v>
      </c>
      <c r="H67" s="5" t="str">
        <f>VLOOKUP($F67,DDE!$A:$AJ,H$1,FALSE)</f>
        <v xml:space="preserve"> </v>
      </c>
      <c r="I67" s="5">
        <f>VLOOKUP($F67,DDE!$A:$AJ,I$1,FALSE)</f>
        <v>20878632</v>
      </c>
      <c r="J67" s="5" t="str">
        <f>VLOOKUP($F67,DDE!$A:$AJ,J$1,FALSE)</f>
        <v xml:space="preserve"> -</v>
      </c>
      <c r="K67" s="5" t="str">
        <f>VLOOKUP($F67,DDE!$A:$AJ,K$1,FALSE)</f>
        <v xml:space="preserve"> -</v>
      </c>
      <c r="L67" s="5">
        <f>VLOOKUP($F67,DDE!$A:$AJ,L$1,FALSE)</f>
        <v>2088371110</v>
      </c>
      <c r="M67" s="5">
        <f>VLOOKUP($F67,DDE!$A:$AJ,M$1,FALSE)</f>
        <v>20803788</v>
      </c>
      <c r="N67" s="5">
        <f>VLOOKUP($F67,DDE!$A:$AJ,N$1,FALSE)</f>
        <v>20804690</v>
      </c>
      <c r="O67" s="5">
        <f>VLOOKUP($F67,DDE!$A:$AJ,O$1,FALSE)</f>
        <v>10989732</v>
      </c>
      <c r="P67" s="5" t="str">
        <f>VLOOKUP($F67,DDE!$A:$AJ,P$1,FALSE)</f>
        <v xml:space="preserve"> -</v>
      </c>
      <c r="Q67" s="5" t="str">
        <f>VLOOKUP($F67,DDE!$A:$AJ,Q$1,FALSE)</f>
        <v xml:space="preserve"> -</v>
      </c>
      <c r="R67" s="5" t="e">
        <f t="shared" si="23"/>
        <v>#VALUE!</v>
      </c>
      <c r="S67" s="5">
        <f>VLOOKUP(D67,cmoney!$A:$M,12,FALSE)</f>
        <v>29.35</v>
      </c>
      <c r="U67" s="5" t="str">
        <f t="shared" si="16"/>
        <v/>
      </c>
      <c r="V67" s="5" t="str">
        <f t="shared" si="17"/>
        <v>2352</v>
      </c>
      <c r="W67" s="5" t="str">
        <f t="shared" si="18"/>
        <v>佳世達</v>
      </c>
      <c r="X67" s="5" t="str">
        <f t="shared" si="19"/>
        <v>CWF</v>
      </c>
      <c r="Y67" s="49">
        <f>VLOOKUP($X67,股期名單!$L:$M,2,FALSE)</f>
        <v>2000</v>
      </c>
      <c r="Z67" s="5" t="str">
        <f t="shared" si="20"/>
        <v>CWFC1</v>
      </c>
      <c r="AA67" s="7" t="e">
        <f t="shared" si="21"/>
        <v>#VALUE!</v>
      </c>
      <c r="AB67" s="5" t="str">
        <f>VLOOKUP($F67,DDE!$A:$AJ,AB$1,FALSE)</f>
        <v xml:space="preserve"> </v>
      </c>
      <c r="AC67" s="5">
        <f>VLOOKUP($F67,DDE!$A:$AJ,AC$1,FALSE)</f>
        <v>20878632</v>
      </c>
      <c r="AD67" s="5" t="str">
        <f>VLOOKUP($F67,DDE!$A:$AJ,AD$1,FALSE)</f>
        <v xml:space="preserve"> -</v>
      </c>
      <c r="AE67" s="5" t="str">
        <f>VLOOKUP($F67,DDE!$A:$AJ,AE$1,FALSE)</f>
        <v xml:space="preserve"> -</v>
      </c>
      <c r="AF67" s="5">
        <f>VLOOKUP($F67,DDE!$A:$AJ,AF$1,FALSE)</f>
        <v>2088371110</v>
      </c>
      <c r="AG67" s="5">
        <f>VLOOKUP($F67,DDE!$A:$AJ,AG$1,FALSE)</f>
        <v>20803788</v>
      </c>
      <c r="AH67" s="5">
        <f>VLOOKUP($F67,DDE!$A:$AJ,AH$1,FALSE)</f>
        <v>20804690</v>
      </c>
      <c r="AI67" s="5">
        <f>VLOOKUP($F67,DDE!$A:$AJ,AI$1,FALSE)</f>
        <v>10989732</v>
      </c>
      <c r="AJ67" s="5" t="str">
        <f>VLOOKUP($F67,DDE!$A:$AJ,AJ$1,FALSE)</f>
        <v xml:space="preserve"> -</v>
      </c>
      <c r="AK67" s="5" t="str">
        <f>VLOOKUP($F67,DDE!$A:$AJ,AK$1,FALSE)</f>
        <v xml:space="preserve"> -</v>
      </c>
      <c r="AL67" s="5" t="e">
        <f t="shared" si="22"/>
        <v>#VALUE!</v>
      </c>
      <c r="AM67" s="5">
        <f>VLOOKUP(X67,cmoney!$A:$M,12,FALSE)</f>
        <v>29.35</v>
      </c>
    </row>
    <row r="68" spans="1:39" x14ac:dyDescent="0.25">
      <c r="A68" s="5" t="str">
        <f t="shared" si="14"/>
        <v/>
      </c>
      <c r="B68" s="5" t="s">
        <v>671</v>
      </c>
      <c r="C68" s="5" t="s">
        <v>158</v>
      </c>
      <c r="D68" s="5" t="s">
        <v>942</v>
      </c>
      <c r="E68" s="5">
        <f>VLOOKUP($D68,股期名單!$L:$M,2,FALSE)</f>
        <v>2000</v>
      </c>
      <c r="F68" s="5" t="str">
        <f t="shared" si="3"/>
        <v>DSFB1</v>
      </c>
      <c r="G68" s="7">
        <f t="shared" si="15"/>
        <v>0.26136783733826247</v>
      </c>
      <c r="H68" s="5">
        <f>VLOOKUP($F68,DDE!$A:$AJ,H$1,FALSE)</f>
        <v>7.07</v>
      </c>
      <c r="I68" s="5">
        <f>VLOOKUP($F68,DDE!$A:$AJ,I$1,FALSE)</f>
        <v>13893.65</v>
      </c>
      <c r="J68" s="5" t="str">
        <f>VLOOKUP($F68,DDE!$A:$AJ,J$1,FALSE)</f>
        <v xml:space="preserve"> -</v>
      </c>
      <c r="K68" s="5" t="str">
        <f>VLOOKUP($F68,DDE!$A:$AJ,K$1,FALSE)</f>
        <v xml:space="preserve"> -</v>
      </c>
      <c r="L68" s="5">
        <f>VLOOKUP($F68,DDE!$A:$AJ,L$1,FALSE)</f>
        <v>871785</v>
      </c>
      <c r="M68" s="5">
        <f>VLOOKUP($F68,DDE!$A:$AJ,M$1,FALSE)</f>
        <v>13893.03</v>
      </c>
      <c r="N68" s="5">
        <f>VLOOKUP($F68,DDE!$A:$AJ,N$1,FALSE)</f>
        <v>13945.78</v>
      </c>
      <c r="O68" s="5">
        <f>VLOOKUP($F68,DDE!$A:$AJ,O$1,FALSE)</f>
        <v>13875.82</v>
      </c>
      <c r="P68" s="5" t="str">
        <f>VLOOKUP($F68,DDE!$A:$AJ,P$1,FALSE)</f>
        <v xml:space="preserve"> -</v>
      </c>
      <c r="Q68" s="5" t="str">
        <f>VLOOKUP($F68,DDE!$A:$AJ,Q$1,FALSE)</f>
        <v xml:space="preserve"> -</v>
      </c>
      <c r="R68" s="5">
        <f t="shared" si="23"/>
        <v>13886.58</v>
      </c>
      <c r="S68" s="5">
        <f>VLOOKUP(D68,cmoney!$A:$M,12,FALSE)</f>
        <v>27.05</v>
      </c>
      <c r="U68" s="5" t="str">
        <f t="shared" si="16"/>
        <v/>
      </c>
      <c r="V68" s="5" t="str">
        <f t="shared" si="17"/>
        <v>2353</v>
      </c>
      <c r="W68" s="5" t="str">
        <f t="shared" si="18"/>
        <v>宏碁</v>
      </c>
      <c r="X68" s="5" t="str">
        <f t="shared" si="19"/>
        <v>DSF</v>
      </c>
      <c r="Y68" s="49">
        <f>VLOOKUP($X68,股期名單!$L:$M,2,FALSE)</f>
        <v>2000</v>
      </c>
      <c r="Z68" s="5" t="str">
        <f t="shared" si="20"/>
        <v>DSFC1</v>
      </c>
      <c r="AA68" s="7">
        <f t="shared" si="21"/>
        <v>0.26136783733826247</v>
      </c>
      <c r="AB68" s="5">
        <f>VLOOKUP($F68,DDE!$A:$AJ,AB$1,FALSE)</f>
        <v>7.07</v>
      </c>
      <c r="AC68" s="5">
        <f>VLOOKUP($F68,DDE!$A:$AJ,AC$1,FALSE)</f>
        <v>13893.65</v>
      </c>
      <c r="AD68" s="5" t="str">
        <f>VLOOKUP($F68,DDE!$A:$AJ,AD$1,FALSE)</f>
        <v xml:space="preserve"> -</v>
      </c>
      <c r="AE68" s="5" t="str">
        <f>VLOOKUP($F68,DDE!$A:$AJ,AE$1,FALSE)</f>
        <v xml:space="preserve"> -</v>
      </c>
      <c r="AF68" s="5">
        <f>VLOOKUP($F68,DDE!$A:$AJ,AF$1,FALSE)</f>
        <v>871785</v>
      </c>
      <c r="AG68" s="5">
        <f>VLOOKUP($F68,DDE!$A:$AJ,AG$1,FALSE)</f>
        <v>13893.03</v>
      </c>
      <c r="AH68" s="5">
        <f>VLOOKUP($F68,DDE!$A:$AJ,AH$1,FALSE)</f>
        <v>13945.78</v>
      </c>
      <c r="AI68" s="5">
        <f>VLOOKUP($F68,DDE!$A:$AJ,AI$1,FALSE)</f>
        <v>13875.82</v>
      </c>
      <c r="AJ68" s="5" t="str">
        <f>VLOOKUP($F68,DDE!$A:$AJ,AJ$1,FALSE)</f>
        <v xml:space="preserve"> -</v>
      </c>
      <c r="AK68" s="5" t="str">
        <f>VLOOKUP($F68,DDE!$A:$AJ,AK$1,FALSE)</f>
        <v xml:space="preserve"> -</v>
      </c>
      <c r="AL68" s="5">
        <f t="shared" si="22"/>
        <v>13886.58</v>
      </c>
      <c r="AM68" s="5">
        <f>VLOOKUP(X68,cmoney!$A:$M,12,FALSE)</f>
        <v>27.05</v>
      </c>
    </row>
    <row r="69" spans="1:39" x14ac:dyDescent="0.25">
      <c r="A69" s="5" t="str">
        <f t="shared" si="14"/>
        <v/>
      </c>
      <c r="B69" s="5" t="s">
        <v>696</v>
      </c>
      <c r="C69" s="5" t="s">
        <v>233</v>
      </c>
      <c r="D69" s="5" t="s">
        <v>943</v>
      </c>
      <c r="E69" s="5">
        <f>VLOOKUP($D69,股期名單!$L:$M,2,FALSE)</f>
        <v>2000</v>
      </c>
      <c r="F69" s="5" t="str">
        <f t="shared" si="3"/>
        <v>GCFB1</v>
      </c>
      <c r="G69" s="7">
        <f t="shared" si="15"/>
        <v>0.10071225071225071</v>
      </c>
      <c r="H69" s="5">
        <f>VLOOKUP($F69,DDE!$A:$AJ,H$1,FALSE)</f>
        <v>7.07</v>
      </c>
      <c r="I69" s="5">
        <f>VLOOKUP($F69,DDE!$A:$AJ,I$1,FALSE)</f>
        <v>13893.65</v>
      </c>
      <c r="J69" s="5" t="str">
        <f>VLOOKUP($F69,DDE!$A:$AJ,J$1,FALSE)</f>
        <v xml:space="preserve"> -</v>
      </c>
      <c r="K69" s="5" t="str">
        <f>VLOOKUP($F69,DDE!$A:$AJ,K$1,FALSE)</f>
        <v xml:space="preserve"> -</v>
      </c>
      <c r="L69" s="5">
        <f>VLOOKUP($F69,DDE!$A:$AJ,L$1,FALSE)</f>
        <v>871785</v>
      </c>
      <c r="M69" s="5">
        <f>VLOOKUP($F69,DDE!$A:$AJ,M$1,FALSE)</f>
        <v>13893.03</v>
      </c>
      <c r="N69" s="5">
        <f>VLOOKUP($F69,DDE!$A:$AJ,N$1,FALSE)</f>
        <v>13945.78</v>
      </c>
      <c r="O69" s="5">
        <f>VLOOKUP($F69,DDE!$A:$AJ,O$1,FALSE)</f>
        <v>13875.82</v>
      </c>
      <c r="P69" s="5" t="str">
        <f>VLOOKUP($F69,DDE!$A:$AJ,P$1,FALSE)</f>
        <v xml:space="preserve"> -</v>
      </c>
      <c r="Q69" s="5" t="str">
        <f>VLOOKUP($F69,DDE!$A:$AJ,Q$1,FALSE)</f>
        <v xml:space="preserve"> -</v>
      </c>
      <c r="R69" s="5">
        <f t="shared" si="23"/>
        <v>13886.58</v>
      </c>
      <c r="S69" s="5">
        <f>VLOOKUP(D69,cmoney!$A:$M,12,FALSE)</f>
        <v>70.2</v>
      </c>
      <c r="U69" s="5" t="str">
        <f t="shared" si="16"/>
        <v/>
      </c>
      <c r="V69" s="5" t="str">
        <f t="shared" si="17"/>
        <v>2354</v>
      </c>
      <c r="W69" s="5" t="str">
        <f t="shared" si="18"/>
        <v>鴻準</v>
      </c>
      <c r="X69" s="5" t="str">
        <f t="shared" si="19"/>
        <v>GCF</v>
      </c>
      <c r="Y69" s="49">
        <f>VLOOKUP($X69,股期名單!$L:$M,2,FALSE)</f>
        <v>2000</v>
      </c>
      <c r="Z69" s="5" t="str">
        <f t="shared" si="20"/>
        <v>GCFC1</v>
      </c>
      <c r="AA69" s="7">
        <f t="shared" si="21"/>
        <v>0.10071225071225071</v>
      </c>
      <c r="AB69" s="5">
        <f>VLOOKUP($F69,DDE!$A:$AJ,AB$1,FALSE)</f>
        <v>7.07</v>
      </c>
      <c r="AC69" s="5">
        <f>VLOOKUP($F69,DDE!$A:$AJ,AC$1,FALSE)</f>
        <v>13893.65</v>
      </c>
      <c r="AD69" s="5" t="str">
        <f>VLOOKUP($F69,DDE!$A:$AJ,AD$1,FALSE)</f>
        <v xml:space="preserve"> -</v>
      </c>
      <c r="AE69" s="5" t="str">
        <f>VLOOKUP($F69,DDE!$A:$AJ,AE$1,FALSE)</f>
        <v xml:space="preserve"> -</v>
      </c>
      <c r="AF69" s="5">
        <f>VLOOKUP($F69,DDE!$A:$AJ,AF$1,FALSE)</f>
        <v>871785</v>
      </c>
      <c r="AG69" s="5">
        <f>VLOOKUP($F69,DDE!$A:$AJ,AG$1,FALSE)</f>
        <v>13893.03</v>
      </c>
      <c r="AH69" s="5">
        <f>VLOOKUP($F69,DDE!$A:$AJ,AH$1,FALSE)</f>
        <v>13945.78</v>
      </c>
      <c r="AI69" s="5">
        <f>VLOOKUP($F69,DDE!$A:$AJ,AI$1,FALSE)</f>
        <v>13875.82</v>
      </c>
      <c r="AJ69" s="5" t="str">
        <f>VLOOKUP($F69,DDE!$A:$AJ,AJ$1,FALSE)</f>
        <v xml:space="preserve"> -</v>
      </c>
      <c r="AK69" s="5" t="str">
        <f>VLOOKUP($F69,DDE!$A:$AJ,AK$1,FALSE)</f>
        <v xml:space="preserve"> -</v>
      </c>
      <c r="AL69" s="5">
        <f t="shared" si="22"/>
        <v>13886.58</v>
      </c>
      <c r="AM69" s="5">
        <f>VLOOKUP(X69,cmoney!$A:$M,12,FALSE)</f>
        <v>70.2</v>
      </c>
    </row>
    <row r="70" spans="1:39" x14ac:dyDescent="0.25">
      <c r="A70" s="5" t="str">
        <f t="shared" si="14"/>
        <v/>
      </c>
      <c r="B70" s="5" t="s">
        <v>766</v>
      </c>
      <c r="C70" s="5" t="s">
        <v>443</v>
      </c>
      <c r="D70" s="5" t="s">
        <v>944</v>
      </c>
      <c r="E70" s="5">
        <f>VLOOKUP($D70,股期名單!$L:$M,2,FALSE)</f>
        <v>2000</v>
      </c>
      <c r="F70" s="5" t="str">
        <f t="shared" si="3"/>
        <v>MBFB1</v>
      </c>
      <c r="G70" s="7" t="e">
        <f t="shared" si="15"/>
        <v>#VALUE!</v>
      </c>
      <c r="H70" s="5" t="str">
        <f>VLOOKUP($F70,DDE!$A:$AJ,H$1,FALSE)</f>
        <v xml:space="preserve"> </v>
      </c>
      <c r="I70" s="5">
        <f>VLOOKUP($F70,DDE!$A:$AJ,I$1,FALSE)</f>
        <v>20878632</v>
      </c>
      <c r="J70" s="5" t="str">
        <f>VLOOKUP($F70,DDE!$A:$AJ,J$1,FALSE)</f>
        <v xml:space="preserve"> -</v>
      </c>
      <c r="K70" s="5" t="str">
        <f>VLOOKUP($F70,DDE!$A:$AJ,K$1,FALSE)</f>
        <v xml:space="preserve"> -</v>
      </c>
      <c r="L70" s="5">
        <f>VLOOKUP($F70,DDE!$A:$AJ,L$1,FALSE)</f>
        <v>2088371110</v>
      </c>
      <c r="M70" s="5">
        <f>VLOOKUP($F70,DDE!$A:$AJ,M$1,FALSE)</f>
        <v>20803788</v>
      </c>
      <c r="N70" s="5">
        <f>VLOOKUP($F70,DDE!$A:$AJ,N$1,FALSE)</f>
        <v>20804690</v>
      </c>
      <c r="O70" s="5">
        <f>VLOOKUP($F70,DDE!$A:$AJ,O$1,FALSE)</f>
        <v>10989732</v>
      </c>
      <c r="P70" s="5" t="str">
        <f>VLOOKUP($F70,DDE!$A:$AJ,P$1,FALSE)</f>
        <v xml:space="preserve"> -</v>
      </c>
      <c r="Q70" s="5" t="str">
        <f>VLOOKUP($F70,DDE!$A:$AJ,Q$1,FALSE)</f>
        <v xml:space="preserve"> -</v>
      </c>
      <c r="R70" s="5" t="e">
        <f t="shared" si="23"/>
        <v>#VALUE!</v>
      </c>
      <c r="S70" s="5">
        <f>VLOOKUP(D70,cmoney!$A:$M,12,FALSE)</f>
        <v>34.9</v>
      </c>
      <c r="U70" s="5" t="str">
        <f t="shared" si="16"/>
        <v/>
      </c>
      <c r="V70" s="5" t="str">
        <f t="shared" si="17"/>
        <v>2355</v>
      </c>
      <c r="W70" s="5" t="str">
        <f t="shared" si="18"/>
        <v>敬鵬</v>
      </c>
      <c r="X70" s="5" t="str">
        <f t="shared" si="19"/>
        <v>MBF</v>
      </c>
      <c r="Y70" s="49">
        <f>VLOOKUP($X70,股期名單!$L:$M,2,FALSE)</f>
        <v>2000</v>
      </c>
      <c r="Z70" s="5" t="str">
        <f t="shared" si="20"/>
        <v>MBFC1</v>
      </c>
      <c r="AA70" s="7" t="e">
        <f t="shared" si="21"/>
        <v>#VALUE!</v>
      </c>
      <c r="AB70" s="5" t="str">
        <f>VLOOKUP($F70,DDE!$A:$AJ,AB$1,FALSE)</f>
        <v xml:space="preserve"> </v>
      </c>
      <c r="AC70" s="5">
        <f>VLOOKUP($F70,DDE!$A:$AJ,AC$1,FALSE)</f>
        <v>20878632</v>
      </c>
      <c r="AD70" s="5" t="str">
        <f>VLOOKUP($F70,DDE!$A:$AJ,AD$1,FALSE)</f>
        <v xml:space="preserve"> -</v>
      </c>
      <c r="AE70" s="5" t="str">
        <f>VLOOKUP($F70,DDE!$A:$AJ,AE$1,FALSE)</f>
        <v xml:space="preserve"> -</v>
      </c>
      <c r="AF70" s="5">
        <f>VLOOKUP($F70,DDE!$A:$AJ,AF$1,FALSE)</f>
        <v>2088371110</v>
      </c>
      <c r="AG70" s="5">
        <f>VLOOKUP($F70,DDE!$A:$AJ,AG$1,FALSE)</f>
        <v>20803788</v>
      </c>
      <c r="AH70" s="5">
        <f>VLOOKUP($F70,DDE!$A:$AJ,AH$1,FALSE)</f>
        <v>20804690</v>
      </c>
      <c r="AI70" s="5">
        <f>VLOOKUP($F70,DDE!$A:$AJ,AI$1,FALSE)</f>
        <v>10989732</v>
      </c>
      <c r="AJ70" s="5" t="str">
        <f>VLOOKUP($F70,DDE!$A:$AJ,AJ$1,FALSE)</f>
        <v xml:space="preserve"> -</v>
      </c>
      <c r="AK70" s="5" t="str">
        <f>VLOOKUP($F70,DDE!$A:$AJ,AK$1,FALSE)</f>
        <v xml:space="preserve"> -</v>
      </c>
      <c r="AL70" s="5" t="e">
        <f t="shared" si="22"/>
        <v>#VALUE!</v>
      </c>
      <c r="AM70" s="5">
        <f>VLOOKUP(X70,cmoney!$A:$M,12,FALSE)</f>
        <v>34.9</v>
      </c>
    </row>
    <row r="71" spans="1:39" x14ac:dyDescent="0.25">
      <c r="A71" s="5" t="str">
        <f t="shared" si="14"/>
        <v/>
      </c>
      <c r="B71" s="5" t="s">
        <v>757</v>
      </c>
      <c r="C71" s="5" t="s">
        <v>416</v>
      </c>
      <c r="D71" s="5" t="s">
        <v>945</v>
      </c>
      <c r="E71" s="5">
        <f>VLOOKUP($D71,股期名單!$L:$M,2,FALSE)</f>
        <v>2000</v>
      </c>
      <c r="F71" s="5" t="str">
        <f t="shared" si="3"/>
        <v>LQFB1</v>
      </c>
      <c r="G71" s="7">
        <f t="shared" si="15"/>
        <v>0.56334661354581672</v>
      </c>
      <c r="H71" s="5">
        <f>VLOOKUP($F71,DDE!$A:$AJ,H$1,FALSE)</f>
        <v>14.14</v>
      </c>
      <c r="I71" s="5">
        <f>VLOOKUP($F71,DDE!$A:$AJ,I$1,FALSE)</f>
        <v>13900.72</v>
      </c>
      <c r="J71" s="5" t="str">
        <f>VLOOKUP($F71,DDE!$A:$AJ,J$1,FALSE)</f>
        <v xml:space="preserve"> -</v>
      </c>
      <c r="K71" s="5" t="str">
        <f>VLOOKUP($F71,DDE!$A:$AJ,K$1,FALSE)</f>
        <v xml:space="preserve"> -</v>
      </c>
      <c r="L71" s="5">
        <f>VLOOKUP($F71,DDE!$A:$AJ,L$1,FALSE)</f>
        <v>873827</v>
      </c>
      <c r="M71" s="5">
        <f>VLOOKUP($F71,DDE!$A:$AJ,M$1,FALSE)</f>
        <v>13893.03</v>
      </c>
      <c r="N71" s="5">
        <f>VLOOKUP($F71,DDE!$A:$AJ,N$1,FALSE)</f>
        <v>13945.78</v>
      </c>
      <c r="O71" s="5">
        <f>VLOOKUP($F71,DDE!$A:$AJ,O$1,FALSE)</f>
        <v>13875.82</v>
      </c>
      <c r="P71" s="5" t="str">
        <f>VLOOKUP($F71,DDE!$A:$AJ,P$1,FALSE)</f>
        <v xml:space="preserve"> -</v>
      </c>
      <c r="Q71" s="5" t="str">
        <f>VLOOKUP($F71,DDE!$A:$AJ,Q$1,FALSE)</f>
        <v xml:space="preserve"> -</v>
      </c>
      <c r="R71" s="5">
        <f t="shared" si="23"/>
        <v>13886.58</v>
      </c>
      <c r="S71" s="5">
        <f>VLOOKUP(D71,cmoney!$A:$M,12,FALSE)</f>
        <v>25.1</v>
      </c>
      <c r="U71" s="5" t="str">
        <f t="shared" si="16"/>
        <v/>
      </c>
      <c r="V71" s="5" t="str">
        <f t="shared" si="17"/>
        <v>2356</v>
      </c>
      <c r="W71" s="5" t="str">
        <f t="shared" si="18"/>
        <v>英業達</v>
      </c>
      <c r="X71" s="5" t="str">
        <f t="shared" si="19"/>
        <v>LQF</v>
      </c>
      <c r="Y71" s="49">
        <f>VLOOKUP($X71,股期名單!$L:$M,2,FALSE)</f>
        <v>2000</v>
      </c>
      <c r="Z71" s="5" t="str">
        <f t="shared" si="20"/>
        <v>LQFC1</v>
      </c>
      <c r="AA71" s="7">
        <f t="shared" si="21"/>
        <v>0.56334661354581672</v>
      </c>
      <c r="AB71" s="5">
        <f>VLOOKUP($F71,DDE!$A:$AJ,AB$1,FALSE)</f>
        <v>14.14</v>
      </c>
      <c r="AC71" s="5">
        <f>VLOOKUP($F71,DDE!$A:$AJ,AC$1,FALSE)</f>
        <v>13900.72</v>
      </c>
      <c r="AD71" s="5" t="str">
        <f>VLOOKUP($F71,DDE!$A:$AJ,AD$1,FALSE)</f>
        <v xml:space="preserve"> -</v>
      </c>
      <c r="AE71" s="5" t="str">
        <f>VLOOKUP($F71,DDE!$A:$AJ,AE$1,FALSE)</f>
        <v xml:space="preserve"> -</v>
      </c>
      <c r="AF71" s="5">
        <f>VLOOKUP($F71,DDE!$A:$AJ,AF$1,FALSE)</f>
        <v>873827</v>
      </c>
      <c r="AG71" s="5">
        <f>VLOOKUP($F71,DDE!$A:$AJ,AG$1,FALSE)</f>
        <v>13893.03</v>
      </c>
      <c r="AH71" s="5">
        <f>VLOOKUP($F71,DDE!$A:$AJ,AH$1,FALSE)</f>
        <v>13945.78</v>
      </c>
      <c r="AI71" s="5">
        <f>VLOOKUP($F71,DDE!$A:$AJ,AI$1,FALSE)</f>
        <v>13875.82</v>
      </c>
      <c r="AJ71" s="5" t="str">
        <f>VLOOKUP($F71,DDE!$A:$AJ,AJ$1,FALSE)</f>
        <v xml:space="preserve"> -</v>
      </c>
      <c r="AK71" s="5" t="str">
        <f>VLOOKUP($F71,DDE!$A:$AJ,AK$1,FALSE)</f>
        <v xml:space="preserve"> -</v>
      </c>
      <c r="AL71" s="5">
        <f t="shared" si="22"/>
        <v>13886.58</v>
      </c>
      <c r="AM71" s="5">
        <f>VLOOKUP(X71,cmoney!$A:$M,12,FALSE)</f>
        <v>25.1</v>
      </c>
    </row>
    <row r="72" spans="1:39" x14ac:dyDescent="0.25">
      <c r="A72" s="5" t="str">
        <f t="shared" si="14"/>
        <v/>
      </c>
      <c r="B72" s="5" t="s">
        <v>664</v>
      </c>
      <c r="C72" s="5" t="s">
        <v>137</v>
      </c>
      <c r="D72" s="5" t="s">
        <v>946</v>
      </c>
      <c r="E72" s="5">
        <f>VLOOKUP($D72,股期名單!$L:$M,2,FALSE)</f>
        <v>2000</v>
      </c>
      <c r="F72" s="5" t="str">
        <f t="shared" si="3"/>
        <v>DJFB1</v>
      </c>
      <c r="G72" s="7">
        <f t="shared" si="15"/>
        <v>-7.1862068965517237E-2</v>
      </c>
      <c r="H72" s="5">
        <f>VLOOKUP($F72,DDE!$A:$AJ,H$1,FALSE)</f>
        <v>-20.84</v>
      </c>
      <c r="I72" s="5">
        <f>VLOOKUP($F72,DDE!$A:$AJ,I$1,FALSE)</f>
        <v>16422.560000000001</v>
      </c>
      <c r="J72" s="5" t="str">
        <f>VLOOKUP($F72,DDE!$A:$AJ,J$1,FALSE)</f>
        <v xml:space="preserve"> -</v>
      </c>
      <c r="K72" s="5" t="str">
        <f>VLOOKUP($F72,DDE!$A:$AJ,K$1,FALSE)</f>
        <v xml:space="preserve"> -</v>
      </c>
      <c r="L72" s="5">
        <f>VLOOKUP($F72,DDE!$A:$AJ,L$1,FALSE)</f>
        <v>4024617</v>
      </c>
      <c r="M72" s="5">
        <f>VLOOKUP($F72,DDE!$A:$AJ,M$1,FALSE)</f>
        <v>16329.54</v>
      </c>
      <c r="N72" s="5">
        <f>VLOOKUP($F72,DDE!$A:$AJ,N$1,FALSE)</f>
        <v>16456.939999999999</v>
      </c>
      <c r="O72" s="5">
        <f>VLOOKUP($F72,DDE!$A:$AJ,O$1,FALSE)</f>
        <v>16329.54</v>
      </c>
      <c r="P72" s="5" t="str">
        <f>VLOOKUP($F72,DDE!$A:$AJ,P$1,FALSE)</f>
        <v xml:space="preserve"> -</v>
      </c>
      <c r="Q72" s="5" t="str">
        <f>VLOOKUP($F72,DDE!$A:$AJ,Q$1,FALSE)</f>
        <v xml:space="preserve"> -</v>
      </c>
      <c r="R72" s="5">
        <f t="shared" si="23"/>
        <v>16443.400000000001</v>
      </c>
      <c r="S72" s="5">
        <f>VLOOKUP(D72,cmoney!$A:$M,12,FALSE)</f>
        <v>290</v>
      </c>
      <c r="U72" s="5" t="str">
        <f t="shared" si="16"/>
        <v/>
      </c>
      <c r="V72" s="5" t="str">
        <f t="shared" si="17"/>
        <v>2357</v>
      </c>
      <c r="W72" s="5" t="str">
        <f t="shared" si="18"/>
        <v>華碩</v>
      </c>
      <c r="X72" s="5" t="str">
        <f t="shared" si="19"/>
        <v>DJF</v>
      </c>
      <c r="Y72" s="49">
        <f>VLOOKUP($X72,股期名單!$L:$M,2,FALSE)</f>
        <v>2000</v>
      </c>
      <c r="Z72" s="5" t="str">
        <f t="shared" si="20"/>
        <v>DJFC1</v>
      </c>
      <c r="AA72" s="7">
        <f t="shared" si="21"/>
        <v>-7.1862068965517237E-2</v>
      </c>
      <c r="AB72" s="5">
        <f>VLOOKUP($F72,DDE!$A:$AJ,AB$1,FALSE)</f>
        <v>-20.84</v>
      </c>
      <c r="AC72" s="5">
        <f>VLOOKUP($F72,DDE!$A:$AJ,AC$1,FALSE)</f>
        <v>16422.560000000001</v>
      </c>
      <c r="AD72" s="5" t="str">
        <f>VLOOKUP($F72,DDE!$A:$AJ,AD$1,FALSE)</f>
        <v xml:space="preserve"> -</v>
      </c>
      <c r="AE72" s="5" t="str">
        <f>VLOOKUP($F72,DDE!$A:$AJ,AE$1,FALSE)</f>
        <v xml:space="preserve"> -</v>
      </c>
      <c r="AF72" s="5">
        <f>VLOOKUP($F72,DDE!$A:$AJ,AF$1,FALSE)</f>
        <v>4024617</v>
      </c>
      <c r="AG72" s="5">
        <f>VLOOKUP($F72,DDE!$A:$AJ,AG$1,FALSE)</f>
        <v>16329.54</v>
      </c>
      <c r="AH72" s="5">
        <f>VLOOKUP($F72,DDE!$A:$AJ,AH$1,FALSE)</f>
        <v>16456.939999999999</v>
      </c>
      <c r="AI72" s="5">
        <f>VLOOKUP($F72,DDE!$A:$AJ,AI$1,FALSE)</f>
        <v>16329.54</v>
      </c>
      <c r="AJ72" s="5" t="str">
        <f>VLOOKUP($F72,DDE!$A:$AJ,AJ$1,FALSE)</f>
        <v xml:space="preserve"> -</v>
      </c>
      <c r="AK72" s="5" t="str">
        <f>VLOOKUP($F72,DDE!$A:$AJ,AK$1,FALSE)</f>
        <v xml:space="preserve"> -</v>
      </c>
      <c r="AL72" s="5">
        <f t="shared" si="22"/>
        <v>16443.400000000001</v>
      </c>
      <c r="AM72" s="5">
        <f>VLOOKUP(X72,cmoney!$A:$M,12,FALSE)</f>
        <v>290</v>
      </c>
    </row>
    <row r="73" spans="1:39" x14ac:dyDescent="0.25">
      <c r="A73" s="5" t="str">
        <f t="shared" si="14"/>
        <v/>
      </c>
      <c r="B73" s="5" t="s">
        <v>767</v>
      </c>
      <c r="C73" s="5" t="s">
        <v>446</v>
      </c>
      <c r="D73" s="5" t="s">
        <v>947</v>
      </c>
      <c r="E73" s="5">
        <f>VLOOKUP($D73,股期名單!$L:$M,2,FALSE)</f>
        <v>2000</v>
      </c>
      <c r="F73" s="5" t="str">
        <f t="shared" si="3"/>
        <v>MJFB1</v>
      </c>
      <c r="G73" s="7">
        <f t="shared" si="15"/>
        <v>-8.6851851851851861E-2</v>
      </c>
      <c r="H73" s="5">
        <f>VLOOKUP($F73,DDE!$A:$AJ,H$1,FALSE)</f>
        <v>-18.760000000000002</v>
      </c>
      <c r="I73" s="5">
        <f>VLOOKUP($F73,DDE!$A:$AJ,I$1,FALSE)</f>
        <v>16424.64</v>
      </c>
      <c r="J73" s="5" t="str">
        <f>VLOOKUP($F73,DDE!$A:$AJ,J$1,FALSE)</f>
        <v xml:space="preserve"> -</v>
      </c>
      <c r="K73" s="5" t="str">
        <f>VLOOKUP($F73,DDE!$A:$AJ,K$1,FALSE)</f>
        <v xml:space="preserve"> -</v>
      </c>
      <c r="L73" s="5">
        <f>VLOOKUP($F73,DDE!$A:$AJ,L$1,FALSE)</f>
        <v>4020107</v>
      </c>
      <c r="M73" s="5">
        <f>VLOOKUP($F73,DDE!$A:$AJ,M$1,FALSE)</f>
        <v>16329.54</v>
      </c>
      <c r="N73" s="5">
        <f>VLOOKUP($F73,DDE!$A:$AJ,N$1,FALSE)</f>
        <v>16456.939999999999</v>
      </c>
      <c r="O73" s="5">
        <f>VLOOKUP($F73,DDE!$A:$AJ,O$1,FALSE)</f>
        <v>16329.54</v>
      </c>
      <c r="P73" s="5" t="str">
        <f>VLOOKUP($F73,DDE!$A:$AJ,P$1,FALSE)</f>
        <v xml:space="preserve"> -</v>
      </c>
      <c r="Q73" s="5" t="str">
        <f>VLOOKUP($F73,DDE!$A:$AJ,Q$1,FALSE)</f>
        <v xml:space="preserve"> -</v>
      </c>
      <c r="R73" s="5">
        <f t="shared" si="23"/>
        <v>16443.399999999998</v>
      </c>
      <c r="S73" s="5">
        <f>VLOOKUP(D73,cmoney!$A:$M,12,FALSE)</f>
        <v>216</v>
      </c>
      <c r="U73" s="5" t="str">
        <f t="shared" si="16"/>
        <v/>
      </c>
      <c r="V73" s="5" t="str">
        <f t="shared" si="17"/>
        <v>2360</v>
      </c>
      <c r="W73" s="5" t="str">
        <f t="shared" si="18"/>
        <v>致茂</v>
      </c>
      <c r="X73" s="5" t="str">
        <f t="shared" si="19"/>
        <v>MJF</v>
      </c>
      <c r="Y73" s="49">
        <f>VLOOKUP($X73,股期名單!$L:$M,2,FALSE)</f>
        <v>2000</v>
      </c>
      <c r="Z73" s="5" t="str">
        <f t="shared" si="20"/>
        <v>MJFC1</v>
      </c>
      <c r="AA73" s="7">
        <f t="shared" si="21"/>
        <v>-8.6851851851851861E-2</v>
      </c>
      <c r="AB73" s="5">
        <f>VLOOKUP($F73,DDE!$A:$AJ,AB$1,FALSE)</f>
        <v>-18.760000000000002</v>
      </c>
      <c r="AC73" s="5">
        <f>VLOOKUP($F73,DDE!$A:$AJ,AC$1,FALSE)</f>
        <v>16424.64</v>
      </c>
      <c r="AD73" s="5" t="str">
        <f>VLOOKUP($F73,DDE!$A:$AJ,AD$1,FALSE)</f>
        <v xml:space="preserve"> -</v>
      </c>
      <c r="AE73" s="5" t="str">
        <f>VLOOKUP($F73,DDE!$A:$AJ,AE$1,FALSE)</f>
        <v xml:space="preserve"> -</v>
      </c>
      <c r="AF73" s="5">
        <f>VLOOKUP($F73,DDE!$A:$AJ,AF$1,FALSE)</f>
        <v>4020107</v>
      </c>
      <c r="AG73" s="5">
        <f>VLOOKUP($F73,DDE!$A:$AJ,AG$1,FALSE)</f>
        <v>16329.54</v>
      </c>
      <c r="AH73" s="5">
        <f>VLOOKUP($F73,DDE!$A:$AJ,AH$1,FALSE)</f>
        <v>16456.939999999999</v>
      </c>
      <c r="AI73" s="5">
        <f>VLOOKUP($F73,DDE!$A:$AJ,AI$1,FALSE)</f>
        <v>16329.54</v>
      </c>
      <c r="AJ73" s="5" t="str">
        <f>VLOOKUP($F73,DDE!$A:$AJ,AJ$1,FALSE)</f>
        <v xml:space="preserve"> -</v>
      </c>
      <c r="AK73" s="5" t="str">
        <f>VLOOKUP($F73,DDE!$A:$AJ,AK$1,FALSE)</f>
        <v xml:space="preserve"> -</v>
      </c>
      <c r="AL73" s="5">
        <f t="shared" si="22"/>
        <v>16443.399999999998</v>
      </c>
      <c r="AM73" s="5">
        <f>VLOOKUP(X73,cmoney!$A:$M,12,FALSE)</f>
        <v>216</v>
      </c>
    </row>
    <row r="74" spans="1:39" x14ac:dyDescent="0.25">
      <c r="A74" s="5" t="str">
        <f t="shared" si="14"/>
        <v/>
      </c>
      <c r="B74" s="5" t="s">
        <v>654</v>
      </c>
      <c r="C74" s="5" t="s">
        <v>107</v>
      </c>
      <c r="D74" s="5" t="s">
        <v>948</v>
      </c>
      <c r="E74" s="5">
        <f>VLOOKUP($D74,股期名單!$L:$M,2,FALSE)</f>
        <v>2000</v>
      </c>
      <c r="F74" s="5" t="str">
        <f t="shared" si="3"/>
        <v>CXFB1</v>
      </c>
      <c r="G74" s="7" t="e">
        <f t="shared" si="15"/>
        <v>#N/A</v>
      </c>
      <c r="H74" s="5" t="e">
        <f>VLOOKUP($F74,DDE!$A:$AJ,H$1,FALSE)</f>
        <v>#N/A</v>
      </c>
      <c r="I74" s="5" t="e">
        <f>VLOOKUP($F74,DDE!$A:$AJ,I$1,FALSE)</f>
        <v>#N/A</v>
      </c>
      <c r="J74" s="5" t="e">
        <f>VLOOKUP($F74,DDE!$A:$AJ,J$1,FALSE)</f>
        <v>#N/A</v>
      </c>
      <c r="K74" s="5" t="e">
        <f>VLOOKUP($F74,DDE!$A:$AJ,K$1,FALSE)</f>
        <v>#N/A</v>
      </c>
      <c r="L74" s="5" t="e">
        <f>VLOOKUP($F74,DDE!$A:$AJ,L$1,FALSE)</f>
        <v>#N/A</v>
      </c>
      <c r="M74" s="5" t="e">
        <f>VLOOKUP($F74,DDE!$A:$AJ,M$1,FALSE)</f>
        <v>#N/A</v>
      </c>
      <c r="N74" s="5" t="e">
        <f>VLOOKUP($F74,DDE!$A:$AJ,N$1,FALSE)</f>
        <v>#N/A</v>
      </c>
      <c r="O74" s="5" t="e">
        <f>VLOOKUP($F74,DDE!$A:$AJ,O$1,FALSE)</f>
        <v>#N/A</v>
      </c>
      <c r="P74" s="5" t="e">
        <f>VLOOKUP($F74,DDE!$A:$AJ,P$1,FALSE)</f>
        <v>#N/A</v>
      </c>
      <c r="Q74" s="5" t="e">
        <f>VLOOKUP($F74,DDE!$A:$AJ,Q$1,FALSE)</f>
        <v>#N/A</v>
      </c>
      <c r="R74" s="5" t="e">
        <f t="shared" si="23"/>
        <v>#N/A</v>
      </c>
      <c r="S74" s="5">
        <f>VLOOKUP(D74,cmoney!$A:$M,12,FALSE)</f>
        <v>27.15</v>
      </c>
      <c r="U74" s="5" t="str">
        <f t="shared" si="16"/>
        <v/>
      </c>
      <c r="V74" s="5" t="str">
        <f t="shared" si="17"/>
        <v>2371</v>
      </c>
      <c r="W74" s="5" t="str">
        <f t="shared" si="18"/>
        <v>大同</v>
      </c>
      <c r="X74" s="5" t="str">
        <f t="shared" si="19"/>
        <v>CXF</v>
      </c>
      <c r="Y74" s="49">
        <f>VLOOKUP($X74,股期名單!$L:$M,2,FALSE)</f>
        <v>2000</v>
      </c>
      <c r="Z74" s="5" t="str">
        <f t="shared" si="20"/>
        <v>CXFC1</v>
      </c>
      <c r="AA74" s="7" t="e">
        <f t="shared" si="21"/>
        <v>#N/A</v>
      </c>
      <c r="AB74" s="5" t="e">
        <f>VLOOKUP($F74,DDE!$A:$AJ,AB$1,FALSE)</f>
        <v>#N/A</v>
      </c>
      <c r="AC74" s="5" t="e">
        <f>VLOOKUP($F74,DDE!$A:$AJ,AC$1,FALSE)</f>
        <v>#N/A</v>
      </c>
      <c r="AD74" s="5" t="e">
        <f>VLOOKUP($F74,DDE!$A:$AJ,AD$1,FALSE)</f>
        <v>#N/A</v>
      </c>
      <c r="AE74" s="5" t="e">
        <f>VLOOKUP($F74,DDE!$A:$AJ,AE$1,FALSE)</f>
        <v>#N/A</v>
      </c>
      <c r="AF74" s="5" t="e">
        <f>VLOOKUP($F74,DDE!$A:$AJ,AF$1,FALSE)</f>
        <v>#N/A</v>
      </c>
      <c r="AG74" s="5" t="e">
        <f>VLOOKUP($F74,DDE!$A:$AJ,AG$1,FALSE)</f>
        <v>#N/A</v>
      </c>
      <c r="AH74" s="5" t="e">
        <f>VLOOKUP($F74,DDE!$A:$AJ,AH$1,FALSE)</f>
        <v>#N/A</v>
      </c>
      <c r="AI74" s="5" t="e">
        <f>VLOOKUP($F74,DDE!$A:$AJ,AI$1,FALSE)</f>
        <v>#N/A</v>
      </c>
      <c r="AJ74" s="5" t="e">
        <f>VLOOKUP($F74,DDE!$A:$AJ,AJ$1,FALSE)</f>
        <v>#N/A</v>
      </c>
      <c r="AK74" s="5" t="e">
        <f>VLOOKUP($F74,DDE!$A:$AJ,AK$1,FALSE)</f>
        <v>#N/A</v>
      </c>
      <c r="AL74" s="5" t="e">
        <f t="shared" si="22"/>
        <v>#N/A</v>
      </c>
      <c r="AM74" s="5">
        <f>VLOOKUP(X74,cmoney!$A:$M,12,FALSE)</f>
        <v>27.15</v>
      </c>
    </row>
    <row r="75" spans="1:39" x14ac:dyDescent="0.25">
      <c r="A75" s="5" t="str">
        <f t="shared" si="14"/>
        <v/>
      </c>
      <c r="B75" s="5" t="s">
        <v>697</v>
      </c>
      <c r="C75" s="5" t="s">
        <v>236</v>
      </c>
      <c r="D75" s="5" t="s">
        <v>949</v>
      </c>
      <c r="E75" s="5">
        <f>VLOOKUP($D75,股期名單!$L:$M,2,FALSE)</f>
        <v>2000</v>
      </c>
      <c r="F75" s="5" t="str">
        <f t="shared" si="3"/>
        <v>GHFB1</v>
      </c>
      <c r="G75" s="7">
        <f t="shared" si="15"/>
        <v>-0.15841584158415842</v>
      </c>
      <c r="H75" s="5">
        <f>VLOOKUP($F75,DDE!$A:$AJ,H$1,FALSE)</f>
        <v>-14.4</v>
      </c>
      <c r="I75" s="5">
        <f>VLOOKUP($F75,DDE!$A:$AJ,I$1,FALSE)</f>
        <v>16429</v>
      </c>
      <c r="J75" s="5" t="str">
        <f>VLOOKUP($F75,DDE!$A:$AJ,J$1,FALSE)</f>
        <v xml:space="preserve"> -</v>
      </c>
      <c r="K75" s="5" t="str">
        <f>VLOOKUP($F75,DDE!$A:$AJ,K$1,FALSE)</f>
        <v xml:space="preserve"> -</v>
      </c>
      <c r="L75" s="5">
        <f>VLOOKUP($F75,DDE!$A:$AJ,L$1,FALSE)</f>
        <v>4018459</v>
      </c>
      <c r="M75" s="5">
        <f>VLOOKUP($F75,DDE!$A:$AJ,M$1,FALSE)</f>
        <v>16329.54</v>
      </c>
      <c r="N75" s="5">
        <f>VLOOKUP($F75,DDE!$A:$AJ,N$1,FALSE)</f>
        <v>16456.939999999999</v>
      </c>
      <c r="O75" s="5">
        <f>VLOOKUP($F75,DDE!$A:$AJ,O$1,FALSE)</f>
        <v>16329.54</v>
      </c>
      <c r="P75" s="5" t="str">
        <f>VLOOKUP($F75,DDE!$A:$AJ,P$1,FALSE)</f>
        <v xml:space="preserve"> -</v>
      </c>
      <c r="Q75" s="5" t="str">
        <f>VLOOKUP($F75,DDE!$A:$AJ,Q$1,FALSE)</f>
        <v xml:space="preserve"> -</v>
      </c>
      <c r="R75" s="5">
        <f t="shared" ref="R75:R106" si="24">IF(L75&gt;0,I75-H75,"")</f>
        <v>16443.400000000001</v>
      </c>
      <c r="S75" s="5">
        <f>VLOOKUP(D75,cmoney!$A:$M,12,FALSE)</f>
        <v>90.9</v>
      </c>
      <c r="U75" s="5" t="str">
        <f t="shared" si="16"/>
        <v/>
      </c>
      <c r="V75" s="5" t="str">
        <f t="shared" si="17"/>
        <v>2376</v>
      </c>
      <c r="W75" s="5" t="str">
        <f t="shared" si="18"/>
        <v>技嘉</v>
      </c>
      <c r="X75" s="5" t="str">
        <f t="shared" si="19"/>
        <v>GHF</v>
      </c>
      <c r="Y75" s="49">
        <f>VLOOKUP($X75,股期名單!$L:$M,2,FALSE)</f>
        <v>2000</v>
      </c>
      <c r="Z75" s="5" t="str">
        <f t="shared" si="20"/>
        <v>GHFC1</v>
      </c>
      <c r="AA75" s="7">
        <f t="shared" si="21"/>
        <v>-0.15841584158415842</v>
      </c>
      <c r="AB75" s="5">
        <f>VLOOKUP($F75,DDE!$A:$AJ,AB$1,FALSE)</f>
        <v>-14.4</v>
      </c>
      <c r="AC75" s="5">
        <f>VLOOKUP($F75,DDE!$A:$AJ,AC$1,FALSE)</f>
        <v>16429</v>
      </c>
      <c r="AD75" s="5" t="str">
        <f>VLOOKUP($F75,DDE!$A:$AJ,AD$1,FALSE)</f>
        <v xml:space="preserve"> -</v>
      </c>
      <c r="AE75" s="5" t="str">
        <f>VLOOKUP($F75,DDE!$A:$AJ,AE$1,FALSE)</f>
        <v xml:space="preserve"> -</v>
      </c>
      <c r="AF75" s="5">
        <f>VLOOKUP($F75,DDE!$A:$AJ,AF$1,FALSE)</f>
        <v>4018459</v>
      </c>
      <c r="AG75" s="5">
        <f>VLOOKUP($F75,DDE!$A:$AJ,AG$1,FALSE)</f>
        <v>16329.54</v>
      </c>
      <c r="AH75" s="5">
        <f>VLOOKUP($F75,DDE!$A:$AJ,AH$1,FALSE)</f>
        <v>16456.939999999999</v>
      </c>
      <c r="AI75" s="5">
        <f>VLOOKUP($F75,DDE!$A:$AJ,AI$1,FALSE)</f>
        <v>16329.54</v>
      </c>
      <c r="AJ75" s="5" t="str">
        <f>VLOOKUP($F75,DDE!$A:$AJ,AJ$1,FALSE)</f>
        <v xml:space="preserve"> -</v>
      </c>
      <c r="AK75" s="5" t="str">
        <f>VLOOKUP($F75,DDE!$A:$AJ,AK$1,FALSE)</f>
        <v xml:space="preserve"> -</v>
      </c>
      <c r="AL75" s="5">
        <f t="shared" si="22"/>
        <v>16443.400000000001</v>
      </c>
      <c r="AM75" s="5">
        <f>VLOOKUP(X75,cmoney!$A:$M,12,FALSE)</f>
        <v>90.9</v>
      </c>
    </row>
    <row r="76" spans="1:39" x14ac:dyDescent="0.25">
      <c r="A76" s="5" t="str">
        <f t="shared" si="14"/>
        <v/>
      </c>
      <c r="B76" s="5" t="s">
        <v>698</v>
      </c>
      <c r="C76" s="5" t="s">
        <v>239</v>
      </c>
      <c r="D76" s="5" t="s">
        <v>950</v>
      </c>
      <c r="E76" s="5">
        <f>VLOOKUP($D76,股期名單!$L:$M,2,FALSE)</f>
        <v>2000</v>
      </c>
      <c r="F76" s="5" t="str">
        <f t="shared" ref="F76:F139" si="25">$D76&amp;$E$1&amp;$F$1</f>
        <v>GIFB1</v>
      </c>
      <c r="G76" s="7">
        <f t="shared" si="15"/>
        <v>4.9135802469135799E-2</v>
      </c>
      <c r="H76" s="5">
        <f>VLOOKUP($F76,DDE!$A:$AJ,H$1,FALSE)</f>
        <v>7.96</v>
      </c>
      <c r="I76" s="5">
        <f>VLOOKUP($F76,DDE!$A:$AJ,I$1,FALSE)</f>
        <v>13894.54</v>
      </c>
      <c r="J76" s="5" t="str">
        <f>VLOOKUP($F76,DDE!$A:$AJ,J$1,FALSE)</f>
        <v xml:space="preserve"> -</v>
      </c>
      <c r="K76" s="5" t="str">
        <f>VLOOKUP($F76,DDE!$A:$AJ,K$1,FALSE)</f>
        <v xml:space="preserve"> -</v>
      </c>
      <c r="L76" s="5">
        <f>VLOOKUP($F76,DDE!$A:$AJ,L$1,FALSE)</f>
        <v>870725</v>
      </c>
      <c r="M76" s="5">
        <f>VLOOKUP($F76,DDE!$A:$AJ,M$1,FALSE)</f>
        <v>13893.03</v>
      </c>
      <c r="N76" s="5">
        <f>VLOOKUP($F76,DDE!$A:$AJ,N$1,FALSE)</f>
        <v>13945.78</v>
      </c>
      <c r="O76" s="5">
        <f>VLOOKUP($F76,DDE!$A:$AJ,O$1,FALSE)</f>
        <v>13875.82</v>
      </c>
      <c r="P76" s="5" t="str">
        <f>VLOOKUP($F76,DDE!$A:$AJ,P$1,FALSE)</f>
        <v xml:space="preserve"> -</v>
      </c>
      <c r="Q76" s="5" t="str">
        <f>VLOOKUP($F76,DDE!$A:$AJ,Q$1,FALSE)</f>
        <v xml:space="preserve"> -</v>
      </c>
      <c r="R76" s="5">
        <f t="shared" si="24"/>
        <v>13886.580000000002</v>
      </c>
      <c r="S76" s="5">
        <f>VLOOKUP(D76,cmoney!$A:$M,12,FALSE)</f>
        <v>162</v>
      </c>
      <c r="U76" s="5" t="str">
        <f t="shared" si="16"/>
        <v/>
      </c>
      <c r="V76" s="5" t="str">
        <f t="shared" si="17"/>
        <v>2377</v>
      </c>
      <c r="W76" s="5" t="str">
        <f t="shared" si="18"/>
        <v>微星</v>
      </c>
      <c r="X76" s="5" t="str">
        <f t="shared" si="19"/>
        <v>GIF</v>
      </c>
      <c r="Y76" s="49">
        <f>VLOOKUP($X76,股期名單!$L:$M,2,FALSE)</f>
        <v>2000</v>
      </c>
      <c r="Z76" s="5" t="str">
        <f t="shared" si="20"/>
        <v>GIFC1</v>
      </c>
      <c r="AA76" s="7">
        <f t="shared" si="21"/>
        <v>4.9135802469135799E-2</v>
      </c>
      <c r="AB76" s="5">
        <f>VLOOKUP($F76,DDE!$A:$AJ,AB$1,FALSE)</f>
        <v>7.96</v>
      </c>
      <c r="AC76" s="5">
        <f>VLOOKUP($F76,DDE!$A:$AJ,AC$1,FALSE)</f>
        <v>13894.54</v>
      </c>
      <c r="AD76" s="5" t="str">
        <f>VLOOKUP($F76,DDE!$A:$AJ,AD$1,FALSE)</f>
        <v xml:space="preserve"> -</v>
      </c>
      <c r="AE76" s="5" t="str">
        <f>VLOOKUP($F76,DDE!$A:$AJ,AE$1,FALSE)</f>
        <v xml:space="preserve"> -</v>
      </c>
      <c r="AF76" s="5">
        <f>VLOOKUP($F76,DDE!$A:$AJ,AF$1,FALSE)</f>
        <v>870725</v>
      </c>
      <c r="AG76" s="5">
        <f>VLOOKUP($F76,DDE!$A:$AJ,AG$1,FALSE)</f>
        <v>13893.03</v>
      </c>
      <c r="AH76" s="5">
        <f>VLOOKUP($F76,DDE!$A:$AJ,AH$1,FALSE)</f>
        <v>13945.78</v>
      </c>
      <c r="AI76" s="5">
        <f>VLOOKUP($F76,DDE!$A:$AJ,AI$1,FALSE)</f>
        <v>13875.82</v>
      </c>
      <c r="AJ76" s="5" t="str">
        <f>VLOOKUP($F76,DDE!$A:$AJ,AJ$1,FALSE)</f>
        <v xml:space="preserve"> -</v>
      </c>
      <c r="AK76" s="5" t="str">
        <f>VLOOKUP($F76,DDE!$A:$AJ,AK$1,FALSE)</f>
        <v xml:space="preserve"> -</v>
      </c>
      <c r="AL76" s="5">
        <f t="shared" si="22"/>
        <v>13886.580000000002</v>
      </c>
      <c r="AM76" s="5">
        <f>VLOOKUP(X76,cmoney!$A:$M,12,FALSE)</f>
        <v>162</v>
      </c>
    </row>
    <row r="77" spans="1:39" x14ac:dyDescent="0.25">
      <c r="A77" s="5" t="str">
        <f t="shared" si="14"/>
        <v/>
      </c>
      <c r="B77" s="5" t="s">
        <v>699</v>
      </c>
      <c r="C77" s="5" t="s">
        <v>242</v>
      </c>
      <c r="D77" s="5" t="s">
        <v>951</v>
      </c>
      <c r="E77" s="5">
        <f>VLOOKUP($D77,股期名單!$L:$M,2,FALSE)</f>
        <v>2000</v>
      </c>
      <c r="F77" s="5" t="str">
        <f t="shared" si="25"/>
        <v>GJFB1</v>
      </c>
      <c r="G77" s="7">
        <f t="shared" si="15"/>
        <v>2.894575230296827E-2</v>
      </c>
      <c r="H77" s="5">
        <f>VLOOKUP($F77,DDE!$A:$AJ,H$1,FALSE)</f>
        <v>14.14</v>
      </c>
      <c r="I77" s="5">
        <f>VLOOKUP($F77,DDE!$A:$AJ,I$1,FALSE)</f>
        <v>13900.72</v>
      </c>
      <c r="J77" s="5" t="str">
        <f>VLOOKUP($F77,DDE!$A:$AJ,J$1,FALSE)</f>
        <v xml:space="preserve"> -</v>
      </c>
      <c r="K77" s="5" t="str">
        <f>VLOOKUP($F77,DDE!$A:$AJ,K$1,FALSE)</f>
        <v xml:space="preserve"> -</v>
      </c>
      <c r="L77" s="5">
        <f>VLOOKUP($F77,DDE!$A:$AJ,L$1,FALSE)</f>
        <v>873827</v>
      </c>
      <c r="M77" s="5">
        <f>VLOOKUP($F77,DDE!$A:$AJ,M$1,FALSE)</f>
        <v>13893.03</v>
      </c>
      <c r="N77" s="5">
        <f>VLOOKUP($F77,DDE!$A:$AJ,N$1,FALSE)</f>
        <v>13945.78</v>
      </c>
      <c r="O77" s="5">
        <f>VLOOKUP($F77,DDE!$A:$AJ,O$1,FALSE)</f>
        <v>13875.82</v>
      </c>
      <c r="P77" s="5" t="str">
        <f>VLOOKUP($F77,DDE!$A:$AJ,P$1,FALSE)</f>
        <v xml:space="preserve"> -</v>
      </c>
      <c r="Q77" s="5" t="str">
        <f>VLOOKUP($F77,DDE!$A:$AJ,Q$1,FALSE)</f>
        <v xml:space="preserve"> -</v>
      </c>
      <c r="R77" s="5">
        <f t="shared" si="24"/>
        <v>13886.58</v>
      </c>
      <c r="S77" s="5">
        <f>VLOOKUP(D77,cmoney!$A:$M,12,FALSE)</f>
        <v>488.5</v>
      </c>
      <c r="U77" s="5" t="str">
        <f t="shared" si="16"/>
        <v/>
      </c>
      <c r="V77" s="5" t="str">
        <f t="shared" si="17"/>
        <v>2379</v>
      </c>
      <c r="W77" s="5" t="str">
        <f t="shared" si="18"/>
        <v>瑞昱</v>
      </c>
      <c r="X77" s="5" t="str">
        <f t="shared" si="19"/>
        <v>GJF</v>
      </c>
      <c r="Y77" s="49">
        <f>VLOOKUP($X77,股期名單!$L:$M,2,FALSE)</f>
        <v>2000</v>
      </c>
      <c r="Z77" s="5" t="str">
        <f t="shared" si="20"/>
        <v>GJFC1</v>
      </c>
      <c r="AA77" s="7">
        <f t="shared" si="21"/>
        <v>2.894575230296827E-2</v>
      </c>
      <c r="AB77" s="5">
        <f>VLOOKUP($F77,DDE!$A:$AJ,AB$1,FALSE)</f>
        <v>14.14</v>
      </c>
      <c r="AC77" s="5">
        <f>VLOOKUP($F77,DDE!$A:$AJ,AC$1,FALSE)</f>
        <v>13900.72</v>
      </c>
      <c r="AD77" s="5" t="str">
        <f>VLOOKUP($F77,DDE!$A:$AJ,AD$1,FALSE)</f>
        <v xml:space="preserve"> -</v>
      </c>
      <c r="AE77" s="5" t="str">
        <f>VLOOKUP($F77,DDE!$A:$AJ,AE$1,FALSE)</f>
        <v xml:space="preserve"> -</v>
      </c>
      <c r="AF77" s="5">
        <f>VLOOKUP($F77,DDE!$A:$AJ,AF$1,FALSE)</f>
        <v>873827</v>
      </c>
      <c r="AG77" s="5">
        <f>VLOOKUP($F77,DDE!$A:$AJ,AG$1,FALSE)</f>
        <v>13893.03</v>
      </c>
      <c r="AH77" s="5">
        <f>VLOOKUP($F77,DDE!$A:$AJ,AH$1,FALSE)</f>
        <v>13945.78</v>
      </c>
      <c r="AI77" s="5">
        <f>VLOOKUP($F77,DDE!$A:$AJ,AI$1,FALSE)</f>
        <v>13875.82</v>
      </c>
      <c r="AJ77" s="5" t="str">
        <f>VLOOKUP($F77,DDE!$A:$AJ,AJ$1,FALSE)</f>
        <v xml:space="preserve"> -</v>
      </c>
      <c r="AK77" s="5" t="str">
        <f>VLOOKUP($F77,DDE!$A:$AJ,AK$1,FALSE)</f>
        <v xml:space="preserve"> -</v>
      </c>
      <c r="AL77" s="5">
        <f t="shared" si="22"/>
        <v>13886.58</v>
      </c>
      <c r="AM77" s="5">
        <f>VLOOKUP(X77,cmoney!$A:$M,12,FALSE)</f>
        <v>488.5</v>
      </c>
    </row>
    <row r="78" spans="1:39" x14ac:dyDescent="0.25">
      <c r="A78" s="5" t="str">
        <f t="shared" si="14"/>
        <v>小型</v>
      </c>
      <c r="B78" s="5" t="s">
        <v>699</v>
      </c>
      <c r="C78" s="5" t="s">
        <v>242</v>
      </c>
      <c r="D78" s="5" t="s">
        <v>952</v>
      </c>
      <c r="E78" s="5">
        <f>VLOOKUP($D78,股期名單!$L:$M,2,FALSE)</f>
        <v>100</v>
      </c>
      <c r="F78" s="5" t="str">
        <f t="shared" si="25"/>
        <v>QGFB1</v>
      </c>
      <c r="G78" s="7">
        <f t="shared" si="15"/>
        <v>-4.2661207778915043E-2</v>
      </c>
      <c r="H78" s="5">
        <f>VLOOKUP($F78,DDE!$A:$AJ,H$1,FALSE)</f>
        <v>-20.84</v>
      </c>
      <c r="I78" s="5">
        <f>VLOOKUP($F78,DDE!$A:$AJ,I$1,FALSE)</f>
        <v>16422.560000000001</v>
      </c>
      <c r="J78" s="5" t="str">
        <f>VLOOKUP($F78,DDE!$A:$AJ,J$1,FALSE)</f>
        <v xml:space="preserve"> -</v>
      </c>
      <c r="K78" s="5" t="str">
        <f>VLOOKUP($F78,DDE!$A:$AJ,K$1,FALSE)</f>
        <v xml:space="preserve"> -</v>
      </c>
      <c r="L78" s="5">
        <f>VLOOKUP($F78,DDE!$A:$AJ,L$1,FALSE)</f>
        <v>4024617</v>
      </c>
      <c r="M78" s="5">
        <f>VLOOKUP($F78,DDE!$A:$AJ,M$1,FALSE)</f>
        <v>16329.54</v>
      </c>
      <c r="N78" s="5">
        <f>VLOOKUP($F78,DDE!$A:$AJ,N$1,FALSE)</f>
        <v>16456.939999999999</v>
      </c>
      <c r="O78" s="5">
        <f>VLOOKUP($F78,DDE!$A:$AJ,O$1,FALSE)</f>
        <v>16329.54</v>
      </c>
      <c r="P78" s="5" t="str">
        <f>VLOOKUP($F78,DDE!$A:$AJ,P$1,FALSE)</f>
        <v xml:space="preserve"> -</v>
      </c>
      <c r="Q78" s="5" t="str">
        <f>VLOOKUP($F78,DDE!$A:$AJ,Q$1,FALSE)</f>
        <v xml:space="preserve"> -</v>
      </c>
      <c r="R78" s="5">
        <f t="shared" si="24"/>
        <v>16443.400000000001</v>
      </c>
      <c r="S78" s="5">
        <f>VLOOKUP(D78,cmoney!$A:$M,12,FALSE)</f>
        <v>488.5</v>
      </c>
      <c r="U78" s="5" t="str">
        <f t="shared" si="16"/>
        <v>小型</v>
      </c>
      <c r="V78" s="5" t="str">
        <f t="shared" si="17"/>
        <v>2379</v>
      </c>
      <c r="W78" s="5" t="str">
        <f t="shared" si="18"/>
        <v>瑞昱</v>
      </c>
      <c r="X78" s="5" t="str">
        <f t="shared" si="19"/>
        <v>QGF</v>
      </c>
      <c r="Y78" s="49">
        <f>VLOOKUP($X78,股期名單!$L:$M,2,FALSE)</f>
        <v>100</v>
      </c>
      <c r="Z78" s="5" t="str">
        <f t="shared" si="20"/>
        <v>QGFC1</v>
      </c>
      <c r="AA78" s="7">
        <f t="shared" si="21"/>
        <v>-4.2661207778915043E-2</v>
      </c>
      <c r="AB78" s="5">
        <f>VLOOKUP($F78,DDE!$A:$AJ,AB$1,FALSE)</f>
        <v>-20.84</v>
      </c>
      <c r="AC78" s="5">
        <f>VLOOKUP($F78,DDE!$A:$AJ,AC$1,FALSE)</f>
        <v>16422.560000000001</v>
      </c>
      <c r="AD78" s="5" t="str">
        <f>VLOOKUP($F78,DDE!$A:$AJ,AD$1,FALSE)</f>
        <v xml:space="preserve"> -</v>
      </c>
      <c r="AE78" s="5" t="str">
        <f>VLOOKUP($F78,DDE!$A:$AJ,AE$1,FALSE)</f>
        <v xml:space="preserve"> -</v>
      </c>
      <c r="AF78" s="5">
        <f>VLOOKUP($F78,DDE!$A:$AJ,AF$1,FALSE)</f>
        <v>4024617</v>
      </c>
      <c r="AG78" s="5">
        <f>VLOOKUP($F78,DDE!$A:$AJ,AG$1,FALSE)</f>
        <v>16329.54</v>
      </c>
      <c r="AH78" s="5">
        <f>VLOOKUP($F78,DDE!$A:$AJ,AH$1,FALSE)</f>
        <v>16456.939999999999</v>
      </c>
      <c r="AI78" s="5">
        <f>VLOOKUP($F78,DDE!$A:$AJ,AI$1,FALSE)</f>
        <v>16329.54</v>
      </c>
      <c r="AJ78" s="5" t="str">
        <f>VLOOKUP($F78,DDE!$A:$AJ,AJ$1,FALSE)</f>
        <v xml:space="preserve"> -</v>
      </c>
      <c r="AK78" s="5" t="str">
        <f>VLOOKUP($F78,DDE!$A:$AJ,AK$1,FALSE)</f>
        <v xml:space="preserve"> -</v>
      </c>
      <c r="AL78" s="5">
        <f t="shared" si="22"/>
        <v>16443.400000000001</v>
      </c>
      <c r="AM78" s="5">
        <f>VLOOKUP(X78,cmoney!$A:$M,12,FALSE)</f>
        <v>488.5</v>
      </c>
    </row>
    <row r="79" spans="1:39" x14ac:dyDescent="0.25">
      <c r="A79" s="5" t="str">
        <f t="shared" si="14"/>
        <v/>
      </c>
      <c r="B79" s="5" t="s">
        <v>665</v>
      </c>
      <c r="C79" s="5" t="s">
        <v>140</v>
      </c>
      <c r="D79" s="5" t="s">
        <v>953</v>
      </c>
      <c r="E79" s="5">
        <f>VLOOKUP($D79,股期名單!$L:$M,2,FALSE)</f>
        <v>2000</v>
      </c>
      <c r="F79" s="5" t="str">
        <f t="shared" si="25"/>
        <v>DKFB1</v>
      </c>
      <c r="G79" s="7">
        <f t="shared" si="15"/>
        <v>-0.23954022988505747</v>
      </c>
      <c r="H79" s="5">
        <f>VLOOKUP($F79,DDE!$A:$AJ,H$1,FALSE)</f>
        <v>-20.84</v>
      </c>
      <c r="I79" s="5">
        <f>VLOOKUP($F79,DDE!$A:$AJ,I$1,FALSE)</f>
        <v>16422.560000000001</v>
      </c>
      <c r="J79" s="5" t="str">
        <f>VLOOKUP($F79,DDE!$A:$AJ,J$1,FALSE)</f>
        <v xml:space="preserve"> -</v>
      </c>
      <c r="K79" s="5" t="str">
        <f>VLOOKUP($F79,DDE!$A:$AJ,K$1,FALSE)</f>
        <v xml:space="preserve"> -</v>
      </c>
      <c r="L79" s="5">
        <f>VLOOKUP($F79,DDE!$A:$AJ,L$1,FALSE)</f>
        <v>4024617</v>
      </c>
      <c r="M79" s="5">
        <f>VLOOKUP($F79,DDE!$A:$AJ,M$1,FALSE)</f>
        <v>16329.54</v>
      </c>
      <c r="N79" s="5">
        <f>VLOOKUP($F79,DDE!$A:$AJ,N$1,FALSE)</f>
        <v>16456.939999999999</v>
      </c>
      <c r="O79" s="5">
        <f>VLOOKUP($F79,DDE!$A:$AJ,O$1,FALSE)</f>
        <v>16329.54</v>
      </c>
      <c r="P79" s="5" t="str">
        <f>VLOOKUP($F79,DDE!$A:$AJ,P$1,FALSE)</f>
        <v xml:space="preserve"> -</v>
      </c>
      <c r="Q79" s="5" t="str">
        <f>VLOOKUP($F79,DDE!$A:$AJ,Q$1,FALSE)</f>
        <v xml:space="preserve"> -</v>
      </c>
      <c r="R79" s="5">
        <f t="shared" si="24"/>
        <v>16443.400000000001</v>
      </c>
      <c r="S79" s="5">
        <f>VLOOKUP(D79,cmoney!$A:$M,12,FALSE)</f>
        <v>87</v>
      </c>
      <c r="U79" s="5" t="str">
        <f t="shared" si="16"/>
        <v/>
      </c>
      <c r="V79" s="5" t="str">
        <f t="shared" si="17"/>
        <v>2382</v>
      </c>
      <c r="W79" s="5" t="str">
        <f t="shared" si="18"/>
        <v>廣達</v>
      </c>
      <c r="X79" s="5" t="str">
        <f t="shared" si="19"/>
        <v>DKF</v>
      </c>
      <c r="Y79" s="49">
        <f>VLOOKUP($X79,股期名單!$L:$M,2,FALSE)</f>
        <v>2000</v>
      </c>
      <c r="Z79" s="5" t="str">
        <f t="shared" si="20"/>
        <v>DKFC1</v>
      </c>
      <c r="AA79" s="7">
        <f t="shared" si="21"/>
        <v>-0.23954022988505747</v>
      </c>
      <c r="AB79" s="5">
        <f>VLOOKUP($F79,DDE!$A:$AJ,AB$1,FALSE)</f>
        <v>-20.84</v>
      </c>
      <c r="AC79" s="5">
        <f>VLOOKUP($F79,DDE!$A:$AJ,AC$1,FALSE)</f>
        <v>16422.560000000001</v>
      </c>
      <c r="AD79" s="5" t="str">
        <f>VLOOKUP($F79,DDE!$A:$AJ,AD$1,FALSE)</f>
        <v xml:space="preserve"> -</v>
      </c>
      <c r="AE79" s="5" t="str">
        <f>VLOOKUP($F79,DDE!$A:$AJ,AE$1,FALSE)</f>
        <v xml:space="preserve"> -</v>
      </c>
      <c r="AF79" s="5">
        <f>VLOOKUP($F79,DDE!$A:$AJ,AF$1,FALSE)</f>
        <v>4024617</v>
      </c>
      <c r="AG79" s="5">
        <f>VLOOKUP($F79,DDE!$A:$AJ,AG$1,FALSE)</f>
        <v>16329.54</v>
      </c>
      <c r="AH79" s="5">
        <f>VLOOKUP($F79,DDE!$A:$AJ,AH$1,FALSE)</f>
        <v>16456.939999999999</v>
      </c>
      <c r="AI79" s="5">
        <f>VLOOKUP($F79,DDE!$A:$AJ,AI$1,FALSE)</f>
        <v>16329.54</v>
      </c>
      <c r="AJ79" s="5" t="str">
        <f>VLOOKUP($F79,DDE!$A:$AJ,AJ$1,FALSE)</f>
        <v xml:space="preserve"> -</v>
      </c>
      <c r="AK79" s="5" t="str">
        <f>VLOOKUP($F79,DDE!$A:$AJ,AK$1,FALSE)</f>
        <v xml:space="preserve"> -</v>
      </c>
      <c r="AL79" s="5">
        <f t="shared" si="22"/>
        <v>16443.400000000001</v>
      </c>
      <c r="AM79" s="5">
        <f>VLOOKUP(X79,cmoney!$A:$M,12,FALSE)</f>
        <v>87</v>
      </c>
    </row>
    <row r="80" spans="1:39" x14ac:dyDescent="0.25">
      <c r="A80" s="5" t="str">
        <f t="shared" si="14"/>
        <v/>
      </c>
      <c r="B80" s="5" t="s">
        <v>810</v>
      </c>
      <c r="C80" s="5" t="s">
        <v>615</v>
      </c>
      <c r="D80" s="5" t="s">
        <v>954</v>
      </c>
      <c r="E80" s="5">
        <f>VLOOKUP($D80,股期名單!$L:$M,2,FALSE)</f>
        <v>2000</v>
      </c>
      <c r="F80" s="5" t="str">
        <f t="shared" si="25"/>
        <v>PJFB1</v>
      </c>
      <c r="G80" s="7">
        <f t="shared" si="15"/>
        <v>-8.6843657817109149E-2</v>
      </c>
      <c r="H80" s="5">
        <f>VLOOKUP($F80,DDE!$A:$AJ,H$1,FALSE)</f>
        <v>-14.72</v>
      </c>
      <c r="I80" s="5">
        <f>VLOOKUP($F80,DDE!$A:$AJ,I$1,FALSE)</f>
        <v>16428.68</v>
      </c>
      <c r="J80" s="5" t="str">
        <f>VLOOKUP($F80,DDE!$A:$AJ,J$1,FALSE)</f>
        <v xml:space="preserve"> -</v>
      </c>
      <c r="K80" s="5" t="str">
        <f>VLOOKUP($F80,DDE!$A:$AJ,K$1,FALSE)</f>
        <v xml:space="preserve"> -</v>
      </c>
      <c r="L80" s="5">
        <f>VLOOKUP($F80,DDE!$A:$AJ,L$1,FALSE)</f>
        <v>4022793</v>
      </c>
      <c r="M80" s="5">
        <f>VLOOKUP($F80,DDE!$A:$AJ,M$1,FALSE)</f>
        <v>16329.54</v>
      </c>
      <c r="N80" s="5">
        <f>VLOOKUP($F80,DDE!$A:$AJ,N$1,FALSE)</f>
        <v>16456.939999999999</v>
      </c>
      <c r="O80" s="5">
        <f>VLOOKUP($F80,DDE!$A:$AJ,O$1,FALSE)</f>
        <v>16329.54</v>
      </c>
      <c r="P80" s="5" t="str">
        <f>VLOOKUP($F80,DDE!$A:$AJ,P$1,FALSE)</f>
        <v xml:space="preserve"> -</v>
      </c>
      <c r="Q80" s="5" t="str">
        <f>VLOOKUP($F80,DDE!$A:$AJ,Q$1,FALSE)</f>
        <v xml:space="preserve"> -</v>
      </c>
      <c r="R80" s="5">
        <f t="shared" si="24"/>
        <v>16443.400000000001</v>
      </c>
      <c r="S80" s="5">
        <f>VLOOKUP(D80,cmoney!$A:$M,12,FALSE)</f>
        <v>169.5</v>
      </c>
      <c r="U80" s="5" t="str">
        <f t="shared" si="16"/>
        <v/>
      </c>
      <c r="V80" s="5" t="str">
        <f t="shared" si="17"/>
        <v>2383</v>
      </c>
      <c r="W80" s="5" t="str">
        <f t="shared" si="18"/>
        <v>台光電</v>
      </c>
      <c r="X80" s="5" t="str">
        <f t="shared" si="19"/>
        <v>PJF</v>
      </c>
      <c r="Y80" s="49">
        <f>VLOOKUP($X80,股期名單!$L:$M,2,FALSE)</f>
        <v>2000</v>
      </c>
      <c r="Z80" s="5" t="str">
        <f t="shared" si="20"/>
        <v>PJFC1</v>
      </c>
      <c r="AA80" s="7">
        <f t="shared" si="21"/>
        <v>-8.6843657817109149E-2</v>
      </c>
      <c r="AB80" s="5">
        <f>VLOOKUP($F80,DDE!$A:$AJ,AB$1,FALSE)</f>
        <v>-14.72</v>
      </c>
      <c r="AC80" s="5">
        <f>VLOOKUP($F80,DDE!$A:$AJ,AC$1,FALSE)</f>
        <v>16428.68</v>
      </c>
      <c r="AD80" s="5" t="str">
        <f>VLOOKUP($F80,DDE!$A:$AJ,AD$1,FALSE)</f>
        <v xml:space="preserve"> -</v>
      </c>
      <c r="AE80" s="5" t="str">
        <f>VLOOKUP($F80,DDE!$A:$AJ,AE$1,FALSE)</f>
        <v xml:space="preserve"> -</v>
      </c>
      <c r="AF80" s="5">
        <f>VLOOKUP($F80,DDE!$A:$AJ,AF$1,FALSE)</f>
        <v>4022793</v>
      </c>
      <c r="AG80" s="5">
        <f>VLOOKUP($F80,DDE!$A:$AJ,AG$1,FALSE)</f>
        <v>16329.54</v>
      </c>
      <c r="AH80" s="5">
        <f>VLOOKUP($F80,DDE!$A:$AJ,AH$1,FALSE)</f>
        <v>16456.939999999999</v>
      </c>
      <c r="AI80" s="5">
        <f>VLOOKUP($F80,DDE!$A:$AJ,AI$1,FALSE)</f>
        <v>16329.54</v>
      </c>
      <c r="AJ80" s="5" t="str">
        <f>VLOOKUP($F80,DDE!$A:$AJ,AJ$1,FALSE)</f>
        <v xml:space="preserve"> -</v>
      </c>
      <c r="AK80" s="5" t="str">
        <f>VLOOKUP($F80,DDE!$A:$AJ,AK$1,FALSE)</f>
        <v xml:space="preserve"> -</v>
      </c>
      <c r="AL80" s="5">
        <f t="shared" si="22"/>
        <v>16443.400000000001</v>
      </c>
      <c r="AM80" s="5">
        <f>VLOOKUP(X80,cmoney!$A:$M,12,FALSE)</f>
        <v>169.5</v>
      </c>
    </row>
    <row r="81" spans="1:39" x14ac:dyDescent="0.25">
      <c r="A81" s="5" t="str">
        <f t="shared" si="14"/>
        <v/>
      </c>
      <c r="B81" s="5" t="s">
        <v>700</v>
      </c>
      <c r="C81" s="5" t="s">
        <v>245</v>
      </c>
      <c r="D81" s="5" t="s">
        <v>955</v>
      </c>
      <c r="E81" s="5">
        <f>VLOOKUP($D81,股期名單!$L:$M,2,FALSE)</f>
        <v>2000</v>
      </c>
      <c r="F81" s="5" t="str">
        <f t="shared" si="25"/>
        <v>GLFB1</v>
      </c>
      <c r="G81" s="7" t="e">
        <f t="shared" si="15"/>
        <v>#VALUE!</v>
      </c>
      <c r="H81" s="5" t="str">
        <f>VLOOKUP($F81,DDE!$A:$AJ,H$1,FALSE)</f>
        <v xml:space="preserve"> </v>
      </c>
      <c r="I81" s="5">
        <f>VLOOKUP($F81,DDE!$A:$AJ,I$1,FALSE)</f>
        <v>20878632</v>
      </c>
      <c r="J81" s="5" t="str">
        <f>VLOOKUP($F81,DDE!$A:$AJ,J$1,FALSE)</f>
        <v xml:space="preserve"> -</v>
      </c>
      <c r="K81" s="5" t="str">
        <f>VLOOKUP($F81,DDE!$A:$AJ,K$1,FALSE)</f>
        <v xml:space="preserve"> -</v>
      </c>
      <c r="L81" s="5">
        <f>VLOOKUP($F81,DDE!$A:$AJ,L$1,FALSE)</f>
        <v>2088371110</v>
      </c>
      <c r="M81" s="5">
        <f>VLOOKUP($F81,DDE!$A:$AJ,M$1,FALSE)</f>
        <v>20803788</v>
      </c>
      <c r="N81" s="5">
        <f>VLOOKUP($F81,DDE!$A:$AJ,N$1,FALSE)</f>
        <v>20804690</v>
      </c>
      <c r="O81" s="5">
        <f>VLOOKUP($F81,DDE!$A:$AJ,O$1,FALSE)</f>
        <v>10989732</v>
      </c>
      <c r="P81" s="5" t="str">
        <f>VLOOKUP($F81,DDE!$A:$AJ,P$1,FALSE)</f>
        <v xml:space="preserve"> -</v>
      </c>
      <c r="Q81" s="5" t="str">
        <f>VLOOKUP($F81,DDE!$A:$AJ,Q$1,FALSE)</f>
        <v xml:space="preserve"> -</v>
      </c>
      <c r="R81" s="5" t="e">
        <f t="shared" si="24"/>
        <v>#VALUE!</v>
      </c>
      <c r="S81" s="5">
        <f>VLOOKUP(D81,cmoney!$A:$M,12,FALSE)</f>
        <v>47.5</v>
      </c>
      <c r="U81" s="5" t="str">
        <f t="shared" si="16"/>
        <v/>
      </c>
      <c r="V81" s="5" t="str">
        <f t="shared" si="17"/>
        <v>2392</v>
      </c>
      <c r="W81" s="5" t="str">
        <f t="shared" si="18"/>
        <v>正崴</v>
      </c>
      <c r="X81" s="5" t="str">
        <f t="shared" si="19"/>
        <v>GLF</v>
      </c>
      <c r="Y81" s="49">
        <f>VLOOKUP($X81,股期名單!$L:$M,2,FALSE)</f>
        <v>2000</v>
      </c>
      <c r="Z81" s="5" t="str">
        <f t="shared" si="20"/>
        <v>GLFC1</v>
      </c>
      <c r="AA81" s="7" t="e">
        <f t="shared" si="21"/>
        <v>#VALUE!</v>
      </c>
      <c r="AB81" s="5" t="str">
        <f>VLOOKUP($F81,DDE!$A:$AJ,AB$1,FALSE)</f>
        <v xml:space="preserve"> </v>
      </c>
      <c r="AC81" s="5">
        <f>VLOOKUP($F81,DDE!$A:$AJ,AC$1,FALSE)</f>
        <v>20878632</v>
      </c>
      <c r="AD81" s="5" t="str">
        <f>VLOOKUP($F81,DDE!$A:$AJ,AD$1,FALSE)</f>
        <v xml:space="preserve"> -</v>
      </c>
      <c r="AE81" s="5" t="str">
        <f>VLOOKUP($F81,DDE!$A:$AJ,AE$1,FALSE)</f>
        <v xml:space="preserve"> -</v>
      </c>
      <c r="AF81" s="5">
        <f>VLOOKUP($F81,DDE!$A:$AJ,AF$1,FALSE)</f>
        <v>2088371110</v>
      </c>
      <c r="AG81" s="5">
        <f>VLOOKUP($F81,DDE!$A:$AJ,AG$1,FALSE)</f>
        <v>20803788</v>
      </c>
      <c r="AH81" s="5">
        <f>VLOOKUP($F81,DDE!$A:$AJ,AH$1,FALSE)</f>
        <v>20804690</v>
      </c>
      <c r="AI81" s="5">
        <f>VLOOKUP($F81,DDE!$A:$AJ,AI$1,FALSE)</f>
        <v>10989732</v>
      </c>
      <c r="AJ81" s="5" t="str">
        <f>VLOOKUP($F81,DDE!$A:$AJ,AJ$1,FALSE)</f>
        <v xml:space="preserve"> -</v>
      </c>
      <c r="AK81" s="5" t="str">
        <f>VLOOKUP($F81,DDE!$A:$AJ,AK$1,FALSE)</f>
        <v xml:space="preserve"> -</v>
      </c>
      <c r="AL81" s="5" t="e">
        <f t="shared" si="22"/>
        <v>#VALUE!</v>
      </c>
      <c r="AM81" s="5">
        <f>VLOOKUP(X81,cmoney!$A:$M,12,FALSE)</f>
        <v>47.5</v>
      </c>
    </row>
    <row r="82" spans="1:39" x14ac:dyDescent="0.25">
      <c r="A82" s="5" t="str">
        <f t="shared" ref="A82:A145" si="26">IF(E82=10000,"ETF",IF(E82&lt;&gt;2000,"小型",""))</f>
        <v/>
      </c>
      <c r="B82" s="5" t="s">
        <v>701</v>
      </c>
      <c r="C82" s="5" t="s">
        <v>248</v>
      </c>
      <c r="D82" s="5" t="s">
        <v>956</v>
      </c>
      <c r="E82" s="5">
        <f>VLOOKUP($D82,股期名單!$L:$M,2,FALSE)</f>
        <v>2000</v>
      </c>
      <c r="F82" s="5" t="str">
        <f t="shared" si="25"/>
        <v>GMFB1</v>
      </c>
      <c r="G82" s="7">
        <f t="shared" ref="G82:G145" si="27">IF(S82&lt;&gt;"",H82/S82,"")</f>
        <v>-0.45502183406113539</v>
      </c>
      <c r="H82" s="5">
        <f>VLOOKUP($F82,DDE!$A:$AJ,H$1,FALSE)</f>
        <v>-20.84</v>
      </c>
      <c r="I82" s="5">
        <f>VLOOKUP($F82,DDE!$A:$AJ,I$1,FALSE)</f>
        <v>16422.560000000001</v>
      </c>
      <c r="J82" s="5" t="str">
        <f>VLOOKUP($F82,DDE!$A:$AJ,J$1,FALSE)</f>
        <v xml:space="preserve"> -</v>
      </c>
      <c r="K82" s="5" t="str">
        <f>VLOOKUP($F82,DDE!$A:$AJ,K$1,FALSE)</f>
        <v xml:space="preserve"> -</v>
      </c>
      <c r="L82" s="5">
        <f>VLOOKUP($F82,DDE!$A:$AJ,L$1,FALSE)</f>
        <v>4024617</v>
      </c>
      <c r="M82" s="5">
        <f>VLOOKUP($F82,DDE!$A:$AJ,M$1,FALSE)</f>
        <v>16329.54</v>
      </c>
      <c r="N82" s="5">
        <f>VLOOKUP($F82,DDE!$A:$AJ,N$1,FALSE)</f>
        <v>16456.939999999999</v>
      </c>
      <c r="O82" s="5">
        <f>VLOOKUP($F82,DDE!$A:$AJ,O$1,FALSE)</f>
        <v>16329.54</v>
      </c>
      <c r="P82" s="5" t="str">
        <f>VLOOKUP($F82,DDE!$A:$AJ,P$1,FALSE)</f>
        <v xml:space="preserve"> -</v>
      </c>
      <c r="Q82" s="5" t="str">
        <f>VLOOKUP($F82,DDE!$A:$AJ,Q$1,FALSE)</f>
        <v xml:space="preserve"> -</v>
      </c>
      <c r="R82" s="5">
        <f t="shared" si="24"/>
        <v>16443.400000000001</v>
      </c>
      <c r="S82" s="5">
        <f>VLOOKUP(D82,cmoney!$A:$M,12,FALSE)</f>
        <v>45.8</v>
      </c>
      <c r="U82" s="5" t="str">
        <f t="shared" ref="U82:U145" si="28">A82</f>
        <v/>
      </c>
      <c r="V82" s="5" t="str">
        <f t="shared" ref="V82:V145" si="29">B82</f>
        <v>2393</v>
      </c>
      <c r="W82" s="5" t="str">
        <f t="shared" ref="W82:W145" si="30">C82</f>
        <v>億光</v>
      </c>
      <c r="X82" s="5" t="str">
        <f t="shared" ref="X82:X145" si="31">D82</f>
        <v>GMF</v>
      </c>
      <c r="Y82" s="49">
        <f>VLOOKUP($X82,股期名單!$L:$M,2,FALSE)</f>
        <v>2000</v>
      </c>
      <c r="Z82" s="5" t="str">
        <f t="shared" ref="Z82:Z145" si="32">$X82&amp;$Y$1&amp;$Z$1</f>
        <v>GMFC1</v>
      </c>
      <c r="AA82" s="7">
        <f t="shared" ref="AA82:AA145" si="33">IF(AM82&lt;&gt;"",AB82/AM82,"")</f>
        <v>-0.45502183406113539</v>
      </c>
      <c r="AB82" s="5">
        <f>VLOOKUP($F82,DDE!$A:$AJ,AB$1,FALSE)</f>
        <v>-20.84</v>
      </c>
      <c r="AC82" s="5">
        <f>VLOOKUP($F82,DDE!$A:$AJ,AC$1,FALSE)</f>
        <v>16422.560000000001</v>
      </c>
      <c r="AD82" s="5" t="str">
        <f>VLOOKUP($F82,DDE!$A:$AJ,AD$1,FALSE)</f>
        <v xml:space="preserve"> -</v>
      </c>
      <c r="AE82" s="5" t="str">
        <f>VLOOKUP($F82,DDE!$A:$AJ,AE$1,FALSE)</f>
        <v xml:space="preserve"> -</v>
      </c>
      <c r="AF82" s="5">
        <f>VLOOKUP($F82,DDE!$A:$AJ,AF$1,FALSE)</f>
        <v>4024617</v>
      </c>
      <c r="AG82" s="5">
        <f>VLOOKUP($F82,DDE!$A:$AJ,AG$1,FALSE)</f>
        <v>16329.54</v>
      </c>
      <c r="AH82" s="5">
        <f>VLOOKUP($F82,DDE!$A:$AJ,AH$1,FALSE)</f>
        <v>16456.939999999999</v>
      </c>
      <c r="AI82" s="5">
        <f>VLOOKUP($F82,DDE!$A:$AJ,AI$1,FALSE)</f>
        <v>16329.54</v>
      </c>
      <c r="AJ82" s="5" t="str">
        <f>VLOOKUP($F82,DDE!$A:$AJ,AJ$1,FALSE)</f>
        <v xml:space="preserve"> -</v>
      </c>
      <c r="AK82" s="5" t="str">
        <f>VLOOKUP($F82,DDE!$A:$AJ,AK$1,FALSE)</f>
        <v xml:space="preserve"> -</v>
      </c>
      <c r="AL82" s="5">
        <f t="shared" ref="AL82:AL145" si="34">IF(AF82&gt;0,AC82-AB82,"")</f>
        <v>16443.400000000001</v>
      </c>
      <c r="AM82" s="5">
        <f>VLOOKUP(X82,cmoney!$A:$M,12,FALSE)</f>
        <v>45.8</v>
      </c>
    </row>
    <row r="83" spans="1:39" x14ac:dyDescent="0.25">
      <c r="A83" s="5" t="str">
        <f t="shared" si="26"/>
        <v/>
      </c>
      <c r="B83" s="5" t="s">
        <v>702</v>
      </c>
      <c r="C83" s="5" t="s">
        <v>251</v>
      </c>
      <c r="D83" s="5" t="s">
        <v>957</v>
      </c>
      <c r="E83" s="5">
        <f>VLOOKUP($D83,股期名單!$L:$M,2,FALSE)</f>
        <v>2000</v>
      </c>
      <c r="F83" s="5" t="str">
        <f t="shared" si="25"/>
        <v>GNFB1</v>
      </c>
      <c r="G83" s="7" t="e">
        <f t="shared" si="27"/>
        <v>#VALUE!</v>
      </c>
      <c r="H83" s="5" t="str">
        <f>VLOOKUP($F83,DDE!$A:$AJ,H$1,FALSE)</f>
        <v xml:space="preserve"> </v>
      </c>
      <c r="I83" s="5">
        <f>VLOOKUP($F83,DDE!$A:$AJ,I$1,FALSE)</f>
        <v>20878632</v>
      </c>
      <c r="J83" s="5" t="str">
        <f>VLOOKUP($F83,DDE!$A:$AJ,J$1,FALSE)</f>
        <v xml:space="preserve"> -</v>
      </c>
      <c r="K83" s="5" t="str">
        <f>VLOOKUP($F83,DDE!$A:$AJ,K$1,FALSE)</f>
        <v xml:space="preserve"> -</v>
      </c>
      <c r="L83" s="5">
        <f>VLOOKUP($F83,DDE!$A:$AJ,L$1,FALSE)</f>
        <v>2088371110</v>
      </c>
      <c r="M83" s="5">
        <f>VLOOKUP($F83,DDE!$A:$AJ,M$1,FALSE)</f>
        <v>20803788</v>
      </c>
      <c r="N83" s="5">
        <f>VLOOKUP($F83,DDE!$A:$AJ,N$1,FALSE)</f>
        <v>20804690</v>
      </c>
      <c r="O83" s="5">
        <f>VLOOKUP($F83,DDE!$A:$AJ,O$1,FALSE)</f>
        <v>10989732</v>
      </c>
      <c r="P83" s="5" t="str">
        <f>VLOOKUP($F83,DDE!$A:$AJ,P$1,FALSE)</f>
        <v xml:space="preserve"> -</v>
      </c>
      <c r="Q83" s="5" t="str">
        <f>VLOOKUP($F83,DDE!$A:$AJ,Q$1,FALSE)</f>
        <v xml:space="preserve"> -</v>
      </c>
      <c r="R83" s="5" t="e">
        <f t="shared" si="24"/>
        <v>#VALUE!</v>
      </c>
      <c r="S83" s="5">
        <f>VLOOKUP(D83,cmoney!$A:$M,12,FALSE)</f>
        <v>26.25</v>
      </c>
      <c r="U83" s="5" t="str">
        <f t="shared" si="28"/>
        <v/>
      </c>
      <c r="V83" s="5" t="str">
        <f t="shared" si="29"/>
        <v>2401</v>
      </c>
      <c r="W83" s="5" t="str">
        <f t="shared" si="30"/>
        <v>凌陽</v>
      </c>
      <c r="X83" s="5" t="str">
        <f t="shared" si="31"/>
        <v>GNF</v>
      </c>
      <c r="Y83" s="49">
        <f>VLOOKUP($X83,股期名單!$L:$M,2,FALSE)</f>
        <v>2000</v>
      </c>
      <c r="Z83" s="5" t="str">
        <f t="shared" si="32"/>
        <v>GNFC1</v>
      </c>
      <c r="AA83" s="7" t="e">
        <f t="shared" si="33"/>
        <v>#VALUE!</v>
      </c>
      <c r="AB83" s="5" t="str">
        <f>VLOOKUP($F83,DDE!$A:$AJ,AB$1,FALSE)</f>
        <v xml:space="preserve"> </v>
      </c>
      <c r="AC83" s="5">
        <f>VLOOKUP($F83,DDE!$A:$AJ,AC$1,FALSE)</f>
        <v>20878632</v>
      </c>
      <c r="AD83" s="5" t="str">
        <f>VLOOKUP($F83,DDE!$A:$AJ,AD$1,FALSE)</f>
        <v xml:space="preserve"> -</v>
      </c>
      <c r="AE83" s="5" t="str">
        <f>VLOOKUP($F83,DDE!$A:$AJ,AE$1,FALSE)</f>
        <v xml:space="preserve"> -</v>
      </c>
      <c r="AF83" s="5">
        <f>VLOOKUP($F83,DDE!$A:$AJ,AF$1,FALSE)</f>
        <v>2088371110</v>
      </c>
      <c r="AG83" s="5">
        <f>VLOOKUP($F83,DDE!$A:$AJ,AG$1,FALSE)</f>
        <v>20803788</v>
      </c>
      <c r="AH83" s="5">
        <f>VLOOKUP($F83,DDE!$A:$AJ,AH$1,FALSE)</f>
        <v>20804690</v>
      </c>
      <c r="AI83" s="5">
        <f>VLOOKUP($F83,DDE!$A:$AJ,AI$1,FALSE)</f>
        <v>10989732</v>
      </c>
      <c r="AJ83" s="5" t="str">
        <f>VLOOKUP($F83,DDE!$A:$AJ,AJ$1,FALSE)</f>
        <v xml:space="preserve"> -</v>
      </c>
      <c r="AK83" s="5" t="str">
        <f>VLOOKUP($F83,DDE!$A:$AJ,AK$1,FALSE)</f>
        <v xml:space="preserve"> -</v>
      </c>
      <c r="AL83" s="5" t="e">
        <f t="shared" si="34"/>
        <v>#VALUE!</v>
      </c>
      <c r="AM83" s="5">
        <f>VLOOKUP(X83,cmoney!$A:$M,12,FALSE)</f>
        <v>26.25</v>
      </c>
    </row>
    <row r="84" spans="1:39" x14ac:dyDescent="0.25">
      <c r="A84" s="5" t="str">
        <f t="shared" si="26"/>
        <v/>
      </c>
      <c r="B84" s="5" t="s">
        <v>703</v>
      </c>
      <c r="C84" s="5" t="s">
        <v>254</v>
      </c>
      <c r="D84" s="5" t="s">
        <v>958</v>
      </c>
      <c r="E84" s="5">
        <f>VLOOKUP($D84,股期名單!$L:$M,2,FALSE)</f>
        <v>2000</v>
      </c>
      <c r="F84" s="5" t="str">
        <f t="shared" si="25"/>
        <v>GOFB1</v>
      </c>
      <c r="G84" s="7">
        <f t="shared" si="27"/>
        <v>3.5958333333333335E-2</v>
      </c>
      <c r="H84" s="5">
        <f>VLOOKUP($F84,DDE!$A:$AJ,H$1,FALSE)</f>
        <v>8.6300000000000008</v>
      </c>
      <c r="I84" s="5">
        <f>VLOOKUP($F84,DDE!$A:$AJ,I$1,FALSE)</f>
        <v>13895.21</v>
      </c>
      <c r="J84" s="5" t="str">
        <f>VLOOKUP($F84,DDE!$A:$AJ,J$1,FALSE)</f>
        <v xml:space="preserve"> -</v>
      </c>
      <c r="K84" s="5" t="str">
        <f>VLOOKUP($F84,DDE!$A:$AJ,K$1,FALSE)</f>
        <v xml:space="preserve"> -</v>
      </c>
      <c r="L84" s="5">
        <f>VLOOKUP($F84,DDE!$A:$AJ,L$1,FALSE)</f>
        <v>872940</v>
      </c>
      <c r="M84" s="5">
        <f>VLOOKUP($F84,DDE!$A:$AJ,M$1,FALSE)</f>
        <v>13893.03</v>
      </c>
      <c r="N84" s="5">
        <f>VLOOKUP($F84,DDE!$A:$AJ,N$1,FALSE)</f>
        <v>13945.78</v>
      </c>
      <c r="O84" s="5">
        <f>VLOOKUP($F84,DDE!$A:$AJ,O$1,FALSE)</f>
        <v>13875.82</v>
      </c>
      <c r="P84" s="5" t="str">
        <f>VLOOKUP($F84,DDE!$A:$AJ,P$1,FALSE)</f>
        <v xml:space="preserve"> -</v>
      </c>
      <c r="Q84" s="5" t="str">
        <f>VLOOKUP($F84,DDE!$A:$AJ,Q$1,FALSE)</f>
        <v xml:space="preserve"> -</v>
      </c>
      <c r="R84" s="5">
        <f t="shared" si="24"/>
        <v>13886.58</v>
      </c>
      <c r="S84" s="5">
        <f>VLOOKUP(D84,cmoney!$A:$M,12,FALSE)</f>
        <v>240</v>
      </c>
      <c r="U84" s="5" t="str">
        <f t="shared" si="28"/>
        <v/>
      </c>
      <c r="V84" s="5" t="str">
        <f t="shared" si="29"/>
        <v>2404</v>
      </c>
      <c r="W84" s="5" t="str">
        <f t="shared" si="30"/>
        <v>漢唐</v>
      </c>
      <c r="X84" s="5" t="str">
        <f t="shared" si="31"/>
        <v>GOF</v>
      </c>
      <c r="Y84" s="49">
        <f>VLOOKUP($X84,股期名單!$L:$M,2,FALSE)</f>
        <v>2000</v>
      </c>
      <c r="Z84" s="5" t="str">
        <f t="shared" si="32"/>
        <v>GOFC1</v>
      </c>
      <c r="AA84" s="7">
        <f t="shared" si="33"/>
        <v>3.5958333333333335E-2</v>
      </c>
      <c r="AB84" s="5">
        <f>VLOOKUP($F84,DDE!$A:$AJ,AB$1,FALSE)</f>
        <v>8.6300000000000008</v>
      </c>
      <c r="AC84" s="5">
        <f>VLOOKUP($F84,DDE!$A:$AJ,AC$1,FALSE)</f>
        <v>13895.21</v>
      </c>
      <c r="AD84" s="5" t="str">
        <f>VLOOKUP($F84,DDE!$A:$AJ,AD$1,FALSE)</f>
        <v xml:space="preserve"> -</v>
      </c>
      <c r="AE84" s="5" t="str">
        <f>VLOOKUP($F84,DDE!$A:$AJ,AE$1,FALSE)</f>
        <v xml:space="preserve"> -</v>
      </c>
      <c r="AF84" s="5">
        <f>VLOOKUP($F84,DDE!$A:$AJ,AF$1,FALSE)</f>
        <v>872940</v>
      </c>
      <c r="AG84" s="5">
        <f>VLOOKUP($F84,DDE!$A:$AJ,AG$1,FALSE)</f>
        <v>13893.03</v>
      </c>
      <c r="AH84" s="5">
        <f>VLOOKUP($F84,DDE!$A:$AJ,AH$1,FALSE)</f>
        <v>13945.78</v>
      </c>
      <c r="AI84" s="5">
        <f>VLOOKUP($F84,DDE!$A:$AJ,AI$1,FALSE)</f>
        <v>13875.82</v>
      </c>
      <c r="AJ84" s="5" t="str">
        <f>VLOOKUP($F84,DDE!$A:$AJ,AJ$1,FALSE)</f>
        <v xml:space="preserve"> -</v>
      </c>
      <c r="AK84" s="5" t="str">
        <f>VLOOKUP($F84,DDE!$A:$AJ,AK$1,FALSE)</f>
        <v xml:space="preserve"> -</v>
      </c>
      <c r="AL84" s="5">
        <f t="shared" si="34"/>
        <v>13886.58</v>
      </c>
      <c r="AM84" s="5">
        <f>VLOOKUP(X84,cmoney!$A:$M,12,FALSE)</f>
        <v>240</v>
      </c>
    </row>
    <row r="85" spans="1:39" x14ac:dyDescent="0.25">
      <c r="A85" s="5" t="str">
        <f t="shared" si="26"/>
        <v/>
      </c>
      <c r="B85" s="5" t="s">
        <v>655</v>
      </c>
      <c r="C85" s="5" t="s">
        <v>110</v>
      </c>
      <c r="D85" s="5" t="s">
        <v>959</v>
      </c>
      <c r="E85" s="5">
        <f>VLOOKUP($D85,股期名單!$L:$M,2,FALSE)</f>
        <v>2000</v>
      </c>
      <c r="F85" s="5" t="str">
        <f t="shared" si="25"/>
        <v>CYFB1</v>
      </c>
      <c r="G85" s="7">
        <f t="shared" si="27"/>
        <v>-0.22022244691607684</v>
      </c>
      <c r="H85" s="5">
        <f>VLOOKUP($F85,DDE!$A:$AJ,H$1,FALSE)</f>
        <v>-21.78</v>
      </c>
      <c r="I85" s="5">
        <f>VLOOKUP($F85,DDE!$A:$AJ,I$1,FALSE)</f>
        <v>16421.62</v>
      </c>
      <c r="J85" s="5" t="str">
        <f>VLOOKUP($F85,DDE!$A:$AJ,J$1,FALSE)</f>
        <v xml:space="preserve"> -</v>
      </c>
      <c r="K85" s="5" t="str">
        <f>VLOOKUP($F85,DDE!$A:$AJ,K$1,FALSE)</f>
        <v xml:space="preserve"> -</v>
      </c>
      <c r="L85" s="5">
        <f>VLOOKUP($F85,DDE!$A:$AJ,L$1,FALSE)</f>
        <v>4027056</v>
      </c>
      <c r="M85" s="5">
        <f>VLOOKUP($F85,DDE!$A:$AJ,M$1,FALSE)</f>
        <v>16329.54</v>
      </c>
      <c r="N85" s="5">
        <f>VLOOKUP($F85,DDE!$A:$AJ,N$1,FALSE)</f>
        <v>16456.939999999999</v>
      </c>
      <c r="O85" s="5">
        <f>VLOOKUP($F85,DDE!$A:$AJ,O$1,FALSE)</f>
        <v>16329.54</v>
      </c>
      <c r="P85" s="5" t="str">
        <f>VLOOKUP($F85,DDE!$A:$AJ,P$1,FALSE)</f>
        <v xml:space="preserve"> -</v>
      </c>
      <c r="Q85" s="5" t="str">
        <f>VLOOKUP($F85,DDE!$A:$AJ,Q$1,FALSE)</f>
        <v xml:space="preserve"> -</v>
      </c>
      <c r="R85" s="5">
        <f t="shared" si="24"/>
        <v>16443.399999999998</v>
      </c>
      <c r="S85" s="5">
        <f>VLOOKUP(D85,cmoney!$A:$M,12,FALSE)</f>
        <v>98.9</v>
      </c>
      <c r="U85" s="5" t="str">
        <f t="shared" si="28"/>
        <v/>
      </c>
      <c r="V85" s="5" t="str">
        <f t="shared" si="29"/>
        <v>2408</v>
      </c>
      <c r="W85" s="5" t="str">
        <f t="shared" si="30"/>
        <v>南亞科</v>
      </c>
      <c r="X85" s="5" t="str">
        <f t="shared" si="31"/>
        <v>CYF</v>
      </c>
      <c r="Y85" s="49">
        <f>VLOOKUP($X85,股期名單!$L:$M,2,FALSE)</f>
        <v>2000</v>
      </c>
      <c r="Z85" s="5" t="str">
        <f t="shared" si="32"/>
        <v>CYFC1</v>
      </c>
      <c r="AA85" s="7">
        <f t="shared" si="33"/>
        <v>-0.22022244691607684</v>
      </c>
      <c r="AB85" s="5">
        <f>VLOOKUP($F85,DDE!$A:$AJ,AB$1,FALSE)</f>
        <v>-21.78</v>
      </c>
      <c r="AC85" s="5">
        <f>VLOOKUP($F85,DDE!$A:$AJ,AC$1,FALSE)</f>
        <v>16421.62</v>
      </c>
      <c r="AD85" s="5" t="str">
        <f>VLOOKUP($F85,DDE!$A:$AJ,AD$1,FALSE)</f>
        <v xml:space="preserve"> -</v>
      </c>
      <c r="AE85" s="5" t="str">
        <f>VLOOKUP($F85,DDE!$A:$AJ,AE$1,FALSE)</f>
        <v xml:space="preserve"> -</v>
      </c>
      <c r="AF85" s="5">
        <f>VLOOKUP($F85,DDE!$A:$AJ,AF$1,FALSE)</f>
        <v>4027056</v>
      </c>
      <c r="AG85" s="5">
        <f>VLOOKUP($F85,DDE!$A:$AJ,AG$1,FALSE)</f>
        <v>16329.54</v>
      </c>
      <c r="AH85" s="5">
        <f>VLOOKUP($F85,DDE!$A:$AJ,AH$1,FALSE)</f>
        <v>16456.939999999999</v>
      </c>
      <c r="AI85" s="5">
        <f>VLOOKUP($F85,DDE!$A:$AJ,AI$1,FALSE)</f>
        <v>16329.54</v>
      </c>
      <c r="AJ85" s="5" t="str">
        <f>VLOOKUP($F85,DDE!$A:$AJ,AJ$1,FALSE)</f>
        <v xml:space="preserve"> -</v>
      </c>
      <c r="AK85" s="5" t="str">
        <f>VLOOKUP($F85,DDE!$A:$AJ,AK$1,FALSE)</f>
        <v xml:space="preserve"> -</v>
      </c>
      <c r="AL85" s="5">
        <f t="shared" si="34"/>
        <v>16443.399999999998</v>
      </c>
      <c r="AM85" s="5">
        <f>VLOOKUP(X85,cmoney!$A:$M,12,FALSE)</f>
        <v>98.9</v>
      </c>
    </row>
    <row r="86" spans="1:39" x14ac:dyDescent="0.25">
      <c r="A86" s="5" t="str">
        <f t="shared" si="26"/>
        <v/>
      </c>
      <c r="B86" s="5" t="s">
        <v>643</v>
      </c>
      <c r="C86" s="5" t="s">
        <v>74</v>
      </c>
      <c r="D86" s="5" t="s">
        <v>960</v>
      </c>
      <c r="E86" s="5">
        <f>VLOOKUP($D86,股期名單!$L:$M,2,FALSE)</f>
        <v>2000</v>
      </c>
      <c r="F86" s="5" t="str">
        <f t="shared" si="25"/>
        <v>CHFB1</v>
      </c>
      <c r="G86" s="7" t="e">
        <f t="shared" si="27"/>
        <v>#VALUE!</v>
      </c>
      <c r="H86" s="5" t="str">
        <f>VLOOKUP($F86,DDE!$A:$AJ,H$1,FALSE)</f>
        <v xml:space="preserve"> </v>
      </c>
      <c r="I86" s="5">
        <f>VLOOKUP($F86,DDE!$A:$AJ,I$1,FALSE)</f>
        <v>20878632</v>
      </c>
      <c r="J86" s="5" t="str">
        <f>VLOOKUP($F86,DDE!$A:$AJ,J$1,FALSE)</f>
        <v xml:space="preserve"> -</v>
      </c>
      <c r="K86" s="5" t="str">
        <f>VLOOKUP($F86,DDE!$A:$AJ,K$1,FALSE)</f>
        <v xml:space="preserve"> -</v>
      </c>
      <c r="L86" s="5">
        <f>VLOOKUP($F86,DDE!$A:$AJ,L$1,FALSE)</f>
        <v>2088371110</v>
      </c>
      <c r="M86" s="5">
        <f>VLOOKUP($F86,DDE!$A:$AJ,M$1,FALSE)</f>
        <v>20803788</v>
      </c>
      <c r="N86" s="5">
        <f>VLOOKUP($F86,DDE!$A:$AJ,N$1,FALSE)</f>
        <v>20804690</v>
      </c>
      <c r="O86" s="5">
        <f>VLOOKUP($F86,DDE!$A:$AJ,O$1,FALSE)</f>
        <v>10989732</v>
      </c>
      <c r="P86" s="5" t="str">
        <f>VLOOKUP($F86,DDE!$A:$AJ,P$1,FALSE)</f>
        <v xml:space="preserve"> -</v>
      </c>
      <c r="Q86" s="5" t="str">
        <f>VLOOKUP($F86,DDE!$A:$AJ,Q$1,FALSE)</f>
        <v xml:space="preserve"> -</v>
      </c>
      <c r="R86" s="5" t="e">
        <f t="shared" si="24"/>
        <v>#VALUE!</v>
      </c>
      <c r="S86" s="5">
        <f>VLOOKUP(D86,cmoney!$A:$M,12,FALSE)</f>
        <v>18</v>
      </c>
      <c r="U86" s="5" t="str">
        <f t="shared" si="28"/>
        <v/>
      </c>
      <c r="V86" s="5" t="str">
        <f t="shared" si="29"/>
        <v>2409</v>
      </c>
      <c r="W86" s="5" t="str">
        <f t="shared" si="30"/>
        <v>友達</v>
      </c>
      <c r="X86" s="5" t="str">
        <f t="shared" si="31"/>
        <v>CHF</v>
      </c>
      <c r="Y86" s="49">
        <f>VLOOKUP($X86,股期名單!$L:$M,2,FALSE)</f>
        <v>2000</v>
      </c>
      <c r="Z86" s="5" t="str">
        <f t="shared" si="32"/>
        <v>CHFC1</v>
      </c>
      <c r="AA86" s="7" t="e">
        <f t="shared" si="33"/>
        <v>#VALUE!</v>
      </c>
      <c r="AB86" s="5" t="str">
        <f>VLOOKUP($F86,DDE!$A:$AJ,AB$1,FALSE)</f>
        <v xml:space="preserve"> </v>
      </c>
      <c r="AC86" s="5">
        <f>VLOOKUP($F86,DDE!$A:$AJ,AC$1,FALSE)</f>
        <v>20878632</v>
      </c>
      <c r="AD86" s="5" t="str">
        <f>VLOOKUP($F86,DDE!$A:$AJ,AD$1,FALSE)</f>
        <v xml:space="preserve"> -</v>
      </c>
      <c r="AE86" s="5" t="str">
        <f>VLOOKUP($F86,DDE!$A:$AJ,AE$1,FALSE)</f>
        <v xml:space="preserve"> -</v>
      </c>
      <c r="AF86" s="5">
        <f>VLOOKUP($F86,DDE!$A:$AJ,AF$1,FALSE)</f>
        <v>2088371110</v>
      </c>
      <c r="AG86" s="5">
        <f>VLOOKUP($F86,DDE!$A:$AJ,AG$1,FALSE)</f>
        <v>20803788</v>
      </c>
      <c r="AH86" s="5">
        <f>VLOOKUP($F86,DDE!$A:$AJ,AH$1,FALSE)</f>
        <v>20804690</v>
      </c>
      <c r="AI86" s="5">
        <f>VLOOKUP($F86,DDE!$A:$AJ,AI$1,FALSE)</f>
        <v>10989732</v>
      </c>
      <c r="AJ86" s="5" t="str">
        <f>VLOOKUP($F86,DDE!$A:$AJ,AJ$1,FALSE)</f>
        <v xml:space="preserve"> -</v>
      </c>
      <c r="AK86" s="5" t="str">
        <f>VLOOKUP($F86,DDE!$A:$AJ,AK$1,FALSE)</f>
        <v xml:space="preserve"> -</v>
      </c>
      <c r="AL86" s="5" t="e">
        <f t="shared" si="34"/>
        <v>#VALUE!</v>
      </c>
      <c r="AM86" s="5">
        <f>VLOOKUP(X86,cmoney!$A:$M,12,FALSE)</f>
        <v>18</v>
      </c>
    </row>
    <row r="87" spans="1:39" x14ac:dyDescent="0.25">
      <c r="A87" s="5" t="str">
        <f t="shared" si="26"/>
        <v/>
      </c>
      <c r="B87" s="5" t="s">
        <v>666</v>
      </c>
      <c r="C87" s="5" t="s">
        <v>143</v>
      </c>
      <c r="D87" s="5" t="s">
        <v>961</v>
      </c>
      <c r="E87" s="5">
        <f>VLOOKUP($D87,股期名單!$L:$M,2,FALSE)</f>
        <v>2000</v>
      </c>
      <c r="F87" s="5" t="str">
        <f t="shared" si="25"/>
        <v>DLFB1</v>
      </c>
      <c r="G87" s="7">
        <f t="shared" si="27"/>
        <v>-0.19119266055045872</v>
      </c>
      <c r="H87" s="5">
        <f>VLOOKUP($F87,DDE!$A:$AJ,H$1,FALSE)</f>
        <v>-20.84</v>
      </c>
      <c r="I87" s="5">
        <f>VLOOKUP($F87,DDE!$A:$AJ,I$1,FALSE)</f>
        <v>16422.560000000001</v>
      </c>
      <c r="J87" s="5" t="str">
        <f>VLOOKUP($F87,DDE!$A:$AJ,J$1,FALSE)</f>
        <v xml:space="preserve"> -</v>
      </c>
      <c r="K87" s="5" t="str">
        <f>VLOOKUP($F87,DDE!$A:$AJ,K$1,FALSE)</f>
        <v xml:space="preserve"> -</v>
      </c>
      <c r="L87" s="5">
        <f>VLOOKUP($F87,DDE!$A:$AJ,L$1,FALSE)</f>
        <v>4024617</v>
      </c>
      <c r="M87" s="5">
        <f>VLOOKUP($F87,DDE!$A:$AJ,M$1,FALSE)</f>
        <v>16329.54</v>
      </c>
      <c r="N87" s="5">
        <f>VLOOKUP($F87,DDE!$A:$AJ,N$1,FALSE)</f>
        <v>16456.939999999999</v>
      </c>
      <c r="O87" s="5">
        <f>VLOOKUP($F87,DDE!$A:$AJ,O$1,FALSE)</f>
        <v>16329.54</v>
      </c>
      <c r="P87" s="5" t="str">
        <f>VLOOKUP($F87,DDE!$A:$AJ,P$1,FALSE)</f>
        <v xml:space="preserve"> -</v>
      </c>
      <c r="Q87" s="5" t="str">
        <f>VLOOKUP($F87,DDE!$A:$AJ,Q$1,FALSE)</f>
        <v xml:space="preserve"> -</v>
      </c>
      <c r="R87" s="5">
        <f t="shared" si="24"/>
        <v>16443.400000000001</v>
      </c>
      <c r="S87" s="5">
        <f>VLOOKUP(D87,cmoney!$A:$M,12,FALSE)</f>
        <v>109</v>
      </c>
      <c r="U87" s="5" t="str">
        <f t="shared" si="28"/>
        <v/>
      </c>
      <c r="V87" s="5" t="str">
        <f t="shared" si="29"/>
        <v>2412</v>
      </c>
      <c r="W87" s="5" t="str">
        <f t="shared" si="30"/>
        <v>中華電</v>
      </c>
      <c r="X87" s="5" t="str">
        <f t="shared" si="31"/>
        <v>DLF</v>
      </c>
      <c r="Y87" s="49">
        <f>VLOOKUP($X87,股期名單!$L:$M,2,FALSE)</f>
        <v>2000</v>
      </c>
      <c r="Z87" s="5" t="str">
        <f t="shared" si="32"/>
        <v>DLFC1</v>
      </c>
      <c r="AA87" s="7">
        <f t="shared" si="33"/>
        <v>-0.19119266055045872</v>
      </c>
      <c r="AB87" s="5">
        <f>VLOOKUP($F87,DDE!$A:$AJ,AB$1,FALSE)</f>
        <v>-20.84</v>
      </c>
      <c r="AC87" s="5">
        <f>VLOOKUP($F87,DDE!$A:$AJ,AC$1,FALSE)</f>
        <v>16422.560000000001</v>
      </c>
      <c r="AD87" s="5" t="str">
        <f>VLOOKUP($F87,DDE!$A:$AJ,AD$1,FALSE)</f>
        <v xml:space="preserve"> -</v>
      </c>
      <c r="AE87" s="5" t="str">
        <f>VLOOKUP($F87,DDE!$A:$AJ,AE$1,FALSE)</f>
        <v xml:space="preserve"> -</v>
      </c>
      <c r="AF87" s="5">
        <f>VLOOKUP($F87,DDE!$A:$AJ,AF$1,FALSE)</f>
        <v>4024617</v>
      </c>
      <c r="AG87" s="5">
        <f>VLOOKUP($F87,DDE!$A:$AJ,AG$1,FALSE)</f>
        <v>16329.54</v>
      </c>
      <c r="AH87" s="5">
        <f>VLOOKUP($F87,DDE!$A:$AJ,AH$1,FALSE)</f>
        <v>16456.939999999999</v>
      </c>
      <c r="AI87" s="5">
        <f>VLOOKUP($F87,DDE!$A:$AJ,AI$1,FALSE)</f>
        <v>16329.54</v>
      </c>
      <c r="AJ87" s="5" t="str">
        <f>VLOOKUP($F87,DDE!$A:$AJ,AJ$1,FALSE)</f>
        <v xml:space="preserve"> -</v>
      </c>
      <c r="AK87" s="5" t="str">
        <f>VLOOKUP($F87,DDE!$A:$AJ,AK$1,FALSE)</f>
        <v xml:space="preserve"> -</v>
      </c>
      <c r="AL87" s="5">
        <f t="shared" si="34"/>
        <v>16443.400000000001</v>
      </c>
      <c r="AM87" s="5">
        <f>VLOOKUP(X87,cmoney!$A:$M,12,FALSE)</f>
        <v>109</v>
      </c>
    </row>
    <row r="88" spans="1:39" x14ac:dyDescent="0.25">
      <c r="A88" s="5" t="str">
        <f t="shared" si="26"/>
        <v/>
      </c>
      <c r="B88" s="5" t="s">
        <v>768</v>
      </c>
      <c r="C88" s="5" t="s">
        <v>449</v>
      </c>
      <c r="D88" s="5" t="s">
        <v>962</v>
      </c>
      <c r="E88" s="5">
        <f>VLOOKUP($D88,股期名單!$L:$M,2,FALSE)</f>
        <v>2000</v>
      </c>
      <c r="F88" s="5" t="str">
        <f t="shared" si="25"/>
        <v>MKFB1</v>
      </c>
      <c r="G88" s="7">
        <f t="shared" si="27"/>
        <v>-0.13693430656934308</v>
      </c>
      <c r="H88" s="5">
        <f>VLOOKUP($F88,DDE!$A:$AJ,H$1,FALSE)</f>
        <v>-18.760000000000002</v>
      </c>
      <c r="I88" s="5">
        <f>VLOOKUP($F88,DDE!$A:$AJ,I$1,FALSE)</f>
        <v>16424.64</v>
      </c>
      <c r="J88" s="5" t="str">
        <f>VLOOKUP($F88,DDE!$A:$AJ,J$1,FALSE)</f>
        <v xml:space="preserve"> -</v>
      </c>
      <c r="K88" s="5" t="str">
        <f>VLOOKUP($F88,DDE!$A:$AJ,K$1,FALSE)</f>
        <v xml:space="preserve"> -</v>
      </c>
      <c r="L88" s="5">
        <f>VLOOKUP($F88,DDE!$A:$AJ,L$1,FALSE)</f>
        <v>4020107</v>
      </c>
      <c r="M88" s="5">
        <f>VLOOKUP($F88,DDE!$A:$AJ,M$1,FALSE)</f>
        <v>16329.54</v>
      </c>
      <c r="N88" s="5">
        <f>VLOOKUP($F88,DDE!$A:$AJ,N$1,FALSE)</f>
        <v>16456.939999999999</v>
      </c>
      <c r="O88" s="5">
        <f>VLOOKUP($F88,DDE!$A:$AJ,O$1,FALSE)</f>
        <v>16329.54</v>
      </c>
      <c r="P88" s="5" t="str">
        <f>VLOOKUP($F88,DDE!$A:$AJ,P$1,FALSE)</f>
        <v xml:space="preserve"> -</v>
      </c>
      <c r="Q88" s="5" t="str">
        <f>VLOOKUP($F88,DDE!$A:$AJ,Q$1,FALSE)</f>
        <v xml:space="preserve"> -</v>
      </c>
      <c r="R88" s="5">
        <f t="shared" si="24"/>
        <v>16443.399999999998</v>
      </c>
      <c r="S88" s="5">
        <f>VLOOKUP(D88,cmoney!$A:$M,12,FALSE)</f>
        <v>137</v>
      </c>
      <c r="U88" s="5" t="str">
        <f t="shared" si="28"/>
        <v/>
      </c>
      <c r="V88" s="5" t="str">
        <f t="shared" si="29"/>
        <v>2439</v>
      </c>
      <c r="W88" s="5" t="str">
        <f t="shared" si="30"/>
        <v>美律</v>
      </c>
      <c r="X88" s="5" t="str">
        <f t="shared" si="31"/>
        <v>MKF</v>
      </c>
      <c r="Y88" s="49">
        <f>VLOOKUP($X88,股期名單!$L:$M,2,FALSE)</f>
        <v>2000</v>
      </c>
      <c r="Z88" s="5" t="str">
        <f t="shared" si="32"/>
        <v>MKFC1</v>
      </c>
      <c r="AA88" s="7">
        <f t="shared" si="33"/>
        <v>-0.13693430656934308</v>
      </c>
      <c r="AB88" s="5">
        <f>VLOOKUP($F88,DDE!$A:$AJ,AB$1,FALSE)</f>
        <v>-18.760000000000002</v>
      </c>
      <c r="AC88" s="5">
        <f>VLOOKUP($F88,DDE!$A:$AJ,AC$1,FALSE)</f>
        <v>16424.64</v>
      </c>
      <c r="AD88" s="5" t="str">
        <f>VLOOKUP($F88,DDE!$A:$AJ,AD$1,FALSE)</f>
        <v xml:space="preserve"> -</v>
      </c>
      <c r="AE88" s="5" t="str">
        <f>VLOOKUP($F88,DDE!$A:$AJ,AE$1,FALSE)</f>
        <v xml:space="preserve"> -</v>
      </c>
      <c r="AF88" s="5">
        <f>VLOOKUP($F88,DDE!$A:$AJ,AF$1,FALSE)</f>
        <v>4020107</v>
      </c>
      <c r="AG88" s="5">
        <f>VLOOKUP($F88,DDE!$A:$AJ,AG$1,FALSE)</f>
        <v>16329.54</v>
      </c>
      <c r="AH88" s="5">
        <f>VLOOKUP($F88,DDE!$A:$AJ,AH$1,FALSE)</f>
        <v>16456.939999999999</v>
      </c>
      <c r="AI88" s="5">
        <f>VLOOKUP($F88,DDE!$A:$AJ,AI$1,FALSE)</f>
        <v>16329.54</v>
      </c>
      <c r="AJ88" s="5" t="str">
        <f>VLOOKUP($F88,DDE!$A:$AJ,AJ$1,FALSE)</f>
        <v xml:space="preserve"> -</v>
      </c>
      <c r="AK88" s="5" t="str">
        <f>VLOOKUP($F88,DDE!$A:$AJ,AK$1,FALSE)</f>
        <v xml:space="preserve"> -</v>
      </c>
      <c r="AL88" s="5">
        <f t="shared" si="34"/>
        <v>16443.399999999998</v>
      </c>
      <c r="AM88" s="5">
        <f>VLOOKUP(X88,cmoney!$A:$M,12,FALSE)</f>
        <v>137</v>
      </c>
    </row>
    <row r="89" spans="1:39" x14ac:dyDescent="0.25">
      <c r="A89" s="5" t="str">
        <f t="shared" si="26"/>
        <v/>
      </c>
      <c r="B89" s="5" t="s">
        <v>704</v>
      </c>
      <c r="C89" s="5" t="s">
        <v>257</v>
      </c>
      <c r="D89" s="5" t="s">
        <v>963</v>
      </c>
      <c r="E89" s="5">
        <f>VLOOKUP($D89,股期名單!$L:$M,2,FALSE)</f>
        <v>2000</v>
      </c>
      <c r="F89" s="5" t="str">
        <f t="shared" si="25"/>
        <v>GRFB1</v>
      </c>
      <c r="G89" s="7">
        <f t="shared" si="27"/>
        <v>0.16666666666666666</v>
      </c>
      <c r="H89" s="5">
        <f>VLOOKUP($F89,DDE!$A:$AJ,H$1,FALSE)</f>
        <v>6.6</v>
      </c>
      <c r="I89" s="5">
        <f>VLOOKUP($F89,DDE!$A:$AJ,I$1,FALSE)</f>
        <v>13893.18</v>
      </c>
      <c r="J89" s="5" t="str">
        <f>VLOOKUP($F89,DDE!$A:$AJ,J$1,FALSE)</f>
        <v xml:space="preserve"> -</v>
      </c>
      <c r="K89" s="5" t="str">
        <f>VLOOKUP($F89,DDE!$A:$AJ,K$1,FALSE)</f>
        <v xml:space="preserve"> -</v>
      </c>
      <c r="L89" s="5">
        <f>VLOOKUP($F89,DDE!$A:$AJ,L$1,FALSE)</f>
        <v>872505</v>
      </c>
      <c r="M89" s="5">
        <f>VLOOKUP($F89,DDE!$A:$AJ,M$1,FALSE)</f>
        <v>13893.03</v>
      </c>
      <c r="N89" s="5">
        <f>VLOOKUP($F89,DDE!$A:$AJ,N$1,FALSE)</f>
        <v>13945.78</v>
      </c>
      <c r="O89" s="5">
        <f>VLOOKUP($F89,DDE!$A:$AJ,O$1,FALSE)</f>
        <v>13875.82</v>
      </c>
      <c r="P89" s="5" t="str">
        <f>VLOOKUP($F89,DDE!$A:$AJ,P$1,FALSE)</f>
        <v xml:space="preserve"> -</v>
      </c>
      <c r="Q89" s="5" t="str">
        <f>VLOOKUP($F89,DDE!$A:$AJ,Q$1,FALSE)</f>
        <v xml:space="preserve"> -</v>
      </c>
      <c r="R89" s="5">
        <f t="shared" si="24"/>
        <v>13886.58</v>
      </c>
      <c r="S89" s="5">
        <f>VLOOKUP(D89,cmoney!$A:$M,12,FALSE)</f>
        <v>39.6</v>
      </c>
      <c r="U89" s="5" t="str">
        <f t="shared" si="28"/>
        <v/>
      </c>
      <c r="V89" s="5" t="str">
        <f t="shared" si="29"/>
        <v>2449</v>
      </c>
      <c r="W89" s="5" t="str">
        <f t="shared" si="30"/>
        <v>京元電子</v>
      </c>
      <c r="X89" s="5" t="str">
        <f t="shared" si="31"/>
        <v>GRF</v>
      </c>
      <c r="Y89" s="49">
        <f>VLOOKUP($X89,股期名單!$L:$M,2,FALSE)</f>
        <v>2000</v>
      </c>
      <c r="Z89" s="5" t="str">
        <f t="shared" si="32"/>
        <v>GRFC1</v>
      </c>
      <c r="AA89" s="7">
        <f t="shared" si="33"/>
        <v>0.16666666666666666</v>
      </c>
      <c r="AB89" s="5">
        <f>VLOOKUP($F89,DDE!$A:$AJ,AB$1,FALSE)</f>
        <v>6.6</v>
      </c>
      <c r="AC89" s="5">
        <f>VLOOKUP($F89,DDE!$A:$AJ,AC$1,FALSE)</f>
        <v>13893.18</v>
      </c>
      <c r="AD89" s="5" t="str">
        <f>VLOOKUP($F89,DDE!$A:$AJ,AD$1,FALSE)</f>
        <v xml:space="preserve"> -</v>
      </c>
      <c r="AE89" s="5" t="str">
        <f>VLOOKUP($F89,DDE!$A:$AJ,AE$1,FALSE)</f>
        <v xml:space="preserve"> -</v>
      </c>
      <c r="AF89" s="5">
        <f>VLOOKUP($F89,DDE!$A:$AJ,AF$1,FALSE)</f>
        <v>872505</v>
      </c>
      <c r="AG89" s="5">
        <f>VLOOKUP($F89,DDE!$A:$AJ,AG$1,FALSE)</f>
        <v>13893.03</v>
      </c>
      <c r="AH89" s="5">
        <f>VLOOKUP($F89,DDE!$A:$AJ,AH$1,FALSE)</f>
        <v>13945.78</v>
      </c>
      <c r="AI89" s="5">
        <f>VLOOKUP($F89,DDE!$A:$AJ,AI$1,FALSE)</f>
        <v>13875.82</v>
      </c>
      <c r="AJ89" s="5" t="str">
        <f>VLOOKUP($F89,DDE!$A:$AJ,AJ$1,FALSE)</f>
        <v xml:space="preserve"> -</v>
      </c>
      <c r="AK89" s="5" t="str">
        <f>VLOOKUP($F89,DDE!$A:$AJ,AK$1,FALSE)</f>
        <v xml:space="preserve"> -</v>
      </c>
      <c r="AL89" s="5">
        <f t="shared" si="34"/>
        <v>13886.58</v>
      </c>
      <c r="AM89" s="5">
        <f>VLOOKUP(X89,cmoney!$A:$M,12,FALSE)</f>
        <v>39.6</v>
      </c>
    </row>
    <row r="90" spans="1:39" x14ac:dyDescent="0.25">
      <c r="A90" s="5" t="str">
        <f t="shared" si="26"/>
        <v/>
      </c>
      <c r="B90" s="5" t="s">
        <v>672</v>
      </c>
      <c r="C90" s="5" t="s">
        <v>161</v>
      </c>
      <c r="D90" s="5" t="s">
        <v>964</v>
      </c>
      <c r="E90" s="5">
        <f>VLOOKUP($D90,股期名單!$L:$M,2,FALSE)</f>
        <v>2000</v>
      </c>
      <c r="F90" s="5" t="str">
        <f t="shared" si="25"/>
        <v>DVFB1</v>
      </c>
      <c r="G90" s="7">
        <f t="shared" si="27"/>
        <v>8.8082901554404139E-3</v>
      </c>
      <c r="H90" s="5">
        <f>VLOOKUP($F90,DDE!$A:$AJ,H$1,FALSE)</f>
        <v>8.5</v>
      </c>
      <c r="I90" s="5">
        <f>VLOOKUP($F90,DDE!$A:$AJ,I$1,FALSE)</f>
        <v>13895.08</v>
      </c>
      <c r="J90" s="5" t="str">
        <f>VLOOKUP($F90,DDE!$A:$AJ,J$1,FALSE)</f>
        <v xml:space="preserve"> -</v>
      </c>
      <c r="K90" s="5" t="str">
        <f>VLOOKUP($F90,DDE!$A:$AJ,K$1,FALSE)</f>
        <v xml:space="preserve"> -</v>
      </c>
      <c r="L90" s="5">
        <f>VLOOKUP($F90,DDE!$A:$AJ,L$1,FALSE)</f>
        <v>871174</v>
      </c>
      <c r="M90" s="5">
        <f>VLOOKUP($F90,DDE!$A:$AJ,M$1,FALSE)</f>
        <v>13893.03</v>
      </c>
      <c r="N90" s="5">
        <f>VLOOKUP($F90,DDE!$A:$AJ,N$1,FALSE)</f>
        <v>13945.78</v>
      </c>
      <c r="O90" s="5">
        <f>VLOOKUP($F90,DDE!$A:$AJ,O$1,FALSE)</f>
        <v>13875.82</v>
      </c>
      <c r="P90" s="5" t="str">
        <f>VLOOKUP($F90,DDE!$A:$AJ,P$1,FALSE)</f>
        <v xml:space="preserve"> -</v>
      </c>
      <c r="Q90" s="5" t="str">
        <f>VLOOKUP($F90,DDE!$A:$AJ,Q$1,FALSE)</f>
        <v xml:space="preserve"> -</v>
      </c>
      <c r="R90" s="5">
        <f t="shared" si="24"/>
        <v>13886.58</v>
      </c>
      <c r="S90" s="5">
        <f>VLOOKUP(D90,cmoney!$A:$M,12,FALSE)</f>
        <v>965</v>
      </c>
      <c r="U90" s="5" t="str">
        <f t="shared" si="28"/>
        <v/>
      </c>
      <c r="V90" s="5" t="str">
        <f t="shared" si="29"/>
        <v>2454</v>
      </c>
      <c r="W90" s="5" t="str">
        <f t="shared" si="30"/>
        <v>聯發科</v>
      </c>
      <c r="X90" s="5" t="str">
        <f t="shared" si="31"/>
        <v>DVF</v>
      </c>
      <c r="Y90" s="49">
        <f>VLOOKUP($X90,股期名單!$L:$M,2,FALSE)</f>
        <v>2000</v>
      </c>
      <c r="Z90" s="5" t="str">
        <f t="shared" si="32"/>
        <v>DVFC1</v>
      </c>
      <c r="AA90" s="7">
        <f t="shared" si="33"/>
        <v>8.8082901554404139E-3</v>
      </c>
      <c r="AB90" s="5">
        <f>VLOOKUP($F90,DDE!$A:$AJ,AB$1,FALSE)</f>
        <v>8.5</v>
      </c>
      <c r="AC90" s="5">
        <f>VLOOKUP($F90,DDE!$A:$AJ,AC$1,FALSE)</f>
        <v>13895.08</v>
      </c>
      <c r="AD90" s="5" t="str">
        <f>VLOOKUP($F90,DDE!$A:$AJ,AD$1,FALSE)</f>
        <v xml:space="preserve"> -</v>
      </c>
      <c r="AE90" s="5" t="str">
        <f>VLOOKUP($F90,DDE!$A:$AJ,AE$1,FALSE)</f>
        <v xml:space="preserve"> -</v>
      </c>
      <c r="AF90" s="5">
        <f>VLOOKUP($F90,DDE!$A:$AJ,AF$1,FALSE)</f>
        <v>871174</v>
      </c>
      <c r="AG90" s="5">
        <f>VLOOKUP($F90,DDE!$A:$AJ,AG$1,FALSE)</f>
        <v>13893.03</v>
      </c>
      <c r="AH90" s="5">
        <f>VLOOKUP($F90,DDE!$A:$AJ,AH$1,FALSE)</f>
        <v>13945.78</v>
      </c>
      <c r="AI90" s="5">
        <f>VLOOKUP($F90,DDE!$A:$AJ,AI$1,FALSE)</f>
        <v>13875.82</v>
      </c>
      <c r="AJ90" s="5" t="str">
        <f>VLOOKUP($F90,DDE!$A:$AJ,AJ$1,FALSE)</f>
        <v xml:space="preserve"> -</v>
      </c>
      <c r="AK90" s="5" t="str">
        <f>VLOOKUP($F90,DDE!$A:$AJ,AK$1,FALSE)</f>
        <v xml:space="preserve"> -</v>
      </c>
      <c r="AL90" s="5">
        <f t="shared" si="34"/>
        <v>13886.58</v>
      </c>
      <c r="AM90" s="5">
        <f>VLOOKUP(X90,cmoney!$A:$M,12,FALSE)</f>
        <v>965</v>
      </c>
    </row>
    <row r="91" spans="1:39" x14ac:dyDescent="0.25">
      <c r="A91" s="5" t="str">
        <f t="shared" si="26"/>
        <v>小型</v>
      </c>
      <c r="B91" s="5" t="s">
        <v>672</v>
      </c>
      <c r="C91" s="5" t="s">
        <v>161</v>
      </c>
      <c r="D91" s="5" t="s">
        <v>965</v>
      </c>
      <c r="E91" s="5">
        <f>VLOOKUP($D91,股期名單!$L:$M,2,FALSE)</f>
        <v>100</v>
      </c>
      <c r="F91" s="5" t="str">
        <f t="shared" si="25"/>
        <v>PUFB1</v>
      </c>
      <c r="G91" s="7">
        <f t="shared" si="27"/>
        <v>-2.1595854922279792E-2</v>
      </c>
      <c r="H91" s="5">
        <f>VLOOKUP($F91,DDE!$A:$AJ,H$1,FALSE)</f>
        <v>-20.84</v>
      </c>
      <c r="I91" s="5">
        <f>VLOOKUP($F91,DDE!$A:$AJ,I$1,FALSE)</f>
        <v>16422.560000000001</v>
      </c>
      <c r="J91" s="5" t="str">
        <f>VLOOKUP($F91,DDE!$A:$AJ,J$1,FALSE)</f>
        <v xml:space="preserve"> -</v>
      </c>
      <c r="K91" s="5" t="str">
        <f>VLOOKUP($F91,DDE!$A:$AJ,K$1,FALSE)</f>
        <v xml:space="preserve"> -</v>
      </c>
      <c r="L91" s="5">
        <f>VLOOKUP($F91,DDE!$A:$AJ,L$1,FALSE)</f>
        <v>4024617</v>
      </c>
      <c r="M91" s="5">
        <f>VLOOKUP($F91,DDE!$A:$AJ,M$1,FALSE)</f>
        <v>16329.54</v>
      </c>
      <c r="N91" s="5">
        <f>VLOOKUP($F91,DDE!$A:$AJ,N$1,FALSE)</f>
        <v>16456.939999999999</v>
      </c>
      <c r="O91" s="5">
        <f>VLOOKUP($F91,DDE!$A:$AJ,O$1,FALSE)</f>
        <v>16329.54</v>
      </c>
      <c r="P91" s="5" t="str">
        <f>VLOOKUP($F91,DDE!$A:$AJ,P$1,FALSE)</f>
        <v xml:space="preserve"> -</v>
      </c>
      <c r="Q91" s="5" t="str">
        <f>VLOOKUP($F91,DDE!$A:$AJ,Q$1,FALSE)</f>
        <v xml:space="preserve"> -</v>
      </c>
      <c r="R91" s="5">
        <f t="shared" si="24"/>
        <v>16443.400000000001</v>
      </c>
      <c r="S91" s="5">
        <f>VLOOKUP(D91,cmoney!$A:$M,12,FALSE)</f>
        <v>965</v>
      </c>
      <c r="U91" s="5" t="str">
        <f t="shared" si="28"/>
        <v>小型</v>
      </c>
      <c r="V91" s="5" t="str">
        <f t="shared" si="29"/>
        <v>2454</v>
      </c>
      <c r="W91" s="5" t="str">
        <f t="shared" si="30"/>
        <v>聯發科</v>
      </c>
      <c r="X91" s="5" t="str">
        <f t="shared" si="31"/>
        <v>PUF</v>
      </c>
      <c r="Y91" s="49">
        <f>VLOOKUP($X91,股期名單!$L:$M,2,FALSE)</f>
        <v>100</v>
      </c>
      <c r="Z91" s="5" t="str">
        <f t="shared" si="32"/>
        <v>PUFC1</v>
      </c>
      <c r="AA91" s="7">
        <f t="shared" si="33"/>
        <v>-2.1595854922279792E-2</v>
      </c>
      <c r="AB91" s="5">
        <f>VLOOKUP($F91,DDE!$A:$AJ,AB$1,FALSE)</f>
        <v>-20.84</v>
      </c>
      <c r="AC91" s="5">
        <f>VLOOKUP($F91,DDE!$A:$AJ,AC$1,FALSE)</f>
        <v>16422.560000000001</v>
      </c>
      <c r="AD91" s="5" t="str">
        <f>VLOOKUP($F91,DDE!$A:$AJ,AD$1,FALSE)</f>
        <v xml:space="preserve"> -</v>
      </c>
      <c r="AE91" s="5" t="str">
        <f>VLOOKUP($F91,DDE!$A:$AJ,AE$1,FALSE)</f>
        <v xml:space="preserve"> -</v>
      </c>
      <c r="AF91" s="5">
        <f>VLOOKUP($F91,DDE!$A:$AJ,AF$1,FALSE)</f>
        <v>4024617</v>
      </c>
      <c r="AG91" s="5">
        <f>VLOOKUP($F91,DDE!$A:$AJ,AG$1,FALSE)</f>
        <v>16329.54</v>
      </c>
      <c r="AH91" s="5">
        <f>VLOOKUP($F91,DDE!$A:$AJ,AH$1,FALSE)</f>
        <v>16456.939999999999</v>
      </c>
      <c r="AI91" s="5">
        <f>VLOOKUP($F91,DDE!$A:$AJ,AI$1,FALSE)</f>
        <v>16329.54</v>
      </c>
      <c r="AJ91" s="5" t="str">
        <f>VLOOKUP($F91,DDE!$A:$AJ,AJ$1,FALSE)</f>
        <v xml:space="preserve"> -</v>
      </c>
      <c r="AK91" s="5" t="str">
        <f>VLOOKUP($F91,DDE!$A:$AJ,AK$1,FALSE)</f>
        <v xml:space="preserve"> -</v>
      </c>
      <c r="AL91" s="5">
        <f t="shared" si="34"/>
        <v>16443.400000000001</v>
      </c>
      <c r="AM91" s="5">
        <f>VLOOKUP(X91,cmoney!$A:$M,12,FALSE)</f>
        <v>965</v>
      </c>
    </row>
    <row r="92" spans="1:39" x14ac:dyDescent="0.25">
      <c r="A92" s="5" t="str">
        <f t="shared" si="26"/>
        <v/>
      </c>
      <c r="B92" s="5" t="s">
        <v>705</v>
      </c>
      <c r="C92" s="5" t="s">
        <v>260</v>
      </c>
      <c r="D92" s="5" t="s">
        <v>966</v>
      </c>
      <c r="E92" s="5">
        <f>VLOOKUP($D92,股期名單!$L:$M,2,FALSE)</f>
        <v>2000</v>
      </c>
      <c r="F92" s="5" t="str">
        <f t="shared" si="25"/>
        <v>GUFB1</v>
      </c>
      <c r="G92" s="7">
        <f t="shared" si="27"/>
        <v>-0.16750000000000001</v>
      </c>
      <c r="H92" s="5">
        <f>VLOOKUP($F92,DDE!$A:$AJ,H$1,FALSE)</f>
        <v>-18.760000000000002</v>
      </c>
      <c r="I92" s="5">
        <f>VLOOKUP($F92,DDE!$A:$AJ,I$1,FALSE)</f>
        <v>16424.64</v>
      </c>
      <c r="J92" s="5" t="str">
        <f>VLOOKUP($F92,DDE!$A:$AJ,J$1,FALSE)</f>
        <v xml:space="preserve"> -</v>
      </c>
      <c r="K92" s="5" t="str">
        <f>VLOOKUP($F92,DDE!$A:$AJ,K$1,FALSE)</f>
        <v xml:space="preserve"> -</v>
      </c>
      <c r="L92" s="5">
        <f>VLOOKUP($F92,DDE!$A:$AJ,L$1,FALSE)</f>
        <v>4020107</v>
      </c>
      <c r="M92" s="5">
        <f>VLOOKUP($F92,DDE!$A:$AJ,M$1,FALSE)</f>
        <v>16329.54</v>
      </c>
      <c r="N92" s="5">
        <f>VLOOKUP($F92,DDE!$A:$AJ,N$1,FALSE)</f>
        <v>16456.939999999999</v>
      </c>
      <c r="O92" s="5">
        <f>VLOOKUP($F92,DDE!$A:$AJ,O$1,FALSE)</f>
        <v>16329.54</v>
      </c>
      <c r="P92" s="5" t="str">
        <f>VLOOKUP($F92,DDE!$A:$AJ,P$1,FALSE)</f>
        <v xml:space="preserve"> -</v>
      </c>
      <c r="Q92" s="5" t="str">
        <f>VLOOKUP($F92,DDE!$A:$AJ,Q$1,FALSE)</f>
        <v xml:space="preserve"> -</v>
      </c>
      <c r="R92" s="5">
        <f t="shared" si="24"/>
        <v>16443.399999999998</v>
      </c>
      <c r="S92" s="5">
        <f>VLOOKUP(D92,cmoney!$A:$M,12,FALSE)</f>
        <v>112</v>
      </c>
      <c r="U92" s="5" t="str">
        <f t="shared" si="28"/>
        <v/>
      </c>
      <c r="V92" s="5" t="str">
        <f t="shared" si="29"/>
        <v>2455</v>
      </c>
      <c r="W92" s="5" t="str">
        <f t="shared" si="30"/>
        <v>全新</v>
      </c>
      <c r="X92" s="5" t="str">
        <f t="shared" si="31"/>
        <v>GUF</v>
      </c>
      <c r="Y92" s="49">
        <f>VLOOKUP($X92,股期名單!$L:$M,2,FALSE)</f>
        <v>2000</v>
      </c>
      <c r="Z92" s="5" t="str">
        <f t="shared" si="32"/>
        <v>GUFC1</v>
      </c>
      <c r="AA92" s="7">
        <f t="shared" si="33"/>
        <v>-0.16750000000000001</v>
      </c>
      <c r="AB92" s="5">
        <f>VLOOKUP($F92,DDE!$A:$AJ,AB$1,FALSE)</f>
        <v>-18.760000000000002</v>
      </c>
      <c r="AC92" s="5">
        <f>VLOOKUP($F92,DDE!$A:$AJ,AC$1,FALSE)</f>
        <v>16424.64</v>
      </c>
      <c r="AD92" s="5" t="str">
        <f>VLOOKUP($F92,DDE!$A:$AJ,AD$1,FALSE)</f>
        <v xml:space="preserve"> -</v>
      </c>
      <c r="AE92" s="5" t="str">
        <f>VLOOKUP($F92,DDE!$A:$AJ,AE$1,FALSE)</f>
        <v xml:space="preserve"> -</v>
      </c>
      <c r="AF92" s="5">
        <f>VLOOKUP($F92,DDE!$A:$AJ,AF$1,FALSE)</f>
        <v>4020107</v>
      </c>
      <c r="AG92" s="5">
        <f>VLOOKUP($F92,DDE!$A:$AJ,AG$1,FALSE)</f>
        <v>16329.54</v>
      </c>
      <c r="AH92" s="5">
        <f>VLOOKUP($F92,DDE!$A:$AJ,AH$1,FALSE)</f>
        <v>16456.939999999999</v>
      </c>
      <c r="AI92" s="5">
        <f>VLOOKUP($F92,DDE!$A:$AJ,AI$1,FALSE)</f>
        <v>16329.54</v>
      </c>
      <c r="AJ92" s="5" t="str">
        <f>VLOOKUP($F92,DDE!$A:$AJ,AJ$1,FALSE)</f>
        <v xml:space="preserve"> -</v>
      </c>
      <c r="AK92" s="5" t="str">
        <f>VLOOKUP($F92,DDE!$A:$AJ,AK$1,FALSE)</f>
        <v xml:space="preserve"> -</v>
      </c>
      <c r="AL92" s="5">
        <f t="shared" si="34"/>
        <v>16443.399999999998</v>
      </c>
      <c r="AM92" s="5">
        <f>VLOOKUP(X92,cmoney!$A:$M,12,FALSE)</f>
        <v>112</v>
      </c>
    </row>
    <row r="93" spans="1:39" x14ac:dyDescent="0.25">
      <c r="A93" s="5" t="str">
        <f t="shared" si="26"/>
        <v/>
      </c>
      <c r="B93" s="5" t="s">
        <v>706</v>
      </c>
      <c r="C93" s="5" t="s">
        <v>263</v>
      </c>
      <c r="D93" s="5" t="s">
        <v>967</v>
      </c>
      <c r="E93" s="5">
        <f>VLOOKUP($D93,股期名單!$L:$M,2,FALSE)</f>
        <v>2000</v>
      </c>
      <c r="F93" s="5" t="str">
        <f t="shared" si="25"/>
        <v>GWFB1</v>
      </c>
      <c r="G93" s="7">
        <f t="shared" si="27"/>
        <v>-0.107816091954023</v>
      </c>
      <c r="H93" s="5">
        <f>VLOOKUP($F93,DDE!$A:$AJ,H$1,FALSE)</f>
        <v>-18.760000000000002</v>
      </c>
      <c r="I93" s="5">
        <f>VLOOKUP($F93,DDE!$A:$AJ,I$1,FALSE)</f>
        <v>16424.64</v>
      </c>
      <c r="J93" s="5" t="str">
        <f>VLOOKUP($F93,DDE!$A:$AJ,J$1,FALSE)</f>
        <v xml:space="preserve"> -</v>
      </c>
      <c r="K93" s="5" t="str">
        <f>VLOOKUP($F93,DDE!$A:$AJ,K$1,FALSE)</f>
        <v xml:space="preserve"> -</v>
      </c>
      <c r="L93" s="5">
        <f>VLOOKUP($F93,DDE!$A:$AJ,L$1,FALSE)</f>
        <v>4020107</v>
      </c>
      <c r="M93" s="5">
        <f>VLOOKUP($F93,DDE!$A:$AJ,M$1,FALSE)</f>
        <v>16329.54</v>
      </c>
      <c r="N93" s="5">
        <f>VLOOKUP($F93,DDE!$A:$AJ,N$1,FALSE)</f>
        <v>16456.939999999999</v>
      </c>
      <c r="O93" s="5">
        <f>VLOOKUP($F93,DDE!$A:$AJ,O$1,FALSE)</f>
        <v>16329.54</v>
      </c>
      <c r="P93" s="5" t="str">
        <f>VLOOKUP($F93,DDE!$A:$AJ,P$1,FALSE)</f>
        <v xml:space="preserve"> -</v>
      </c>
      <c r="Q93" s="5" t="str">
        <f>VLOOKUP($F93,DDE!$A:$AJ,Q$1,FALSE)</f>
        <v xml:space="preserve"> -</v>
      </c>
      <c r="R93" s="5">
        <f t="shared" si="24"/>
        <v>16443.399999999998</v>
      </c>
      <c r="S93" s="5">
        <f>VLOOKUP(D93,cmoney!$A:$M,12,FALSE)</f>
        <v>174</v>
      </c>
      <c r="U93" s="5" t="str">
        <f t="shared" si="28"/>
        <v/>
      </c>
      <c r="V93" s="5" t="str">
        <f t="shared" si="29"/>
        <v>2458</v>
      </c>
      <c r="W93" s="5" t="str">
        <f t="shared" si="30"/>
        <v>義隆</v>
      </c>
      <c r="X93" s="5" t="str">
        <f t="shared" si="31"/>
        <v>GWF</v>
      </c>
      <c r="Y93" s="49">
        <f>VLOOKUP($X93,股期名單!$L:$M,2,FALSE)</f>
        <v>2000</v>
      </c>
      <c r="Z93" s="5" t="str">
        <f t="shared" si="32"/>
        <v>GWFC1</v>
      </c>
      <c r="AA93" s="7">
        <f t="shared" si="33"/>
        <v>-0.107816091954023</v>
      </c>
      <c r="AB93" s="5">
        <f>VLOOKUP($F93,DDE!$A:$AJ,AB$1,FALSE)</f>
        <v>-18.760000000000002</v>
      </c>
      <c r="AC93" s="5">
        <f>VLOOKUP($F93,DDE!$A:$AJ,AC$1,FALSE)</f>
        <v>16424.64</v>
      </c>
      <c r="AD93" s="5" t="str">
        <f>VLOOKUP($F93,DDE!$A:$AJ,AD$1,FALSE)</f>
        <v xml:space="preserve"> -</v>
      </c>
      <c r="AE93" s="5" t="str">
        <f>VLOOKUP($F93,DDE!$A:$AJ,AE$1,FALSE)</f>
        <v xml:space="preserve"> -</v>
      </c>
      <c r="AF93" s="5">
        <f>VLOOKUP($F93,DDE!$A:$AJ,AF$1,FALSE)</f>
        <v>4020107</v>
      </c>
      <c r="AG93" s="5">
        <f>VLOOKUP($F93,DDE!$A:$AJ,AG$1,FALSE)</f>
        <v>16329.54</v>
      </c>
      <c r="AH93" s="5">
        <f>VLOOKUP($F93,DDE!$A:$AJ,AH$1,FALSE)</f>
        <v>16456.939999999999</v>
      </c>
      <c r="AI93" s="5">
        <f>VLOOKUP($F93,DDE!$A:$AJ,AI$1,FALSE)</f>
        <v>16329.54</v>
      </c>
      <c r="AJ93" s="5" t="str">
        <f>VLOOKUP($F93,DDE!$A:$AJ,AJ$1,FALSE)</f>
        <v xml:space="preserve"> -</v>
      </c>
      <c r="AK93" s="5" t="str">
        <f>VLOOKUP($F93,DDE!$A:$AJ,AK$1,FALSE)</f>
        <v xml:space="preserve"> -</v>
      </c>
      <c r="AL93" s="5">
        <f t="shared" si="34"/>
        <v>16443.399999999998</v>
      </c>
      <c r="AM93" s="5">
        <f>VLOOKUP(X93,cmoney!$A:$M,12,FALSE)</f>
        <v>174</v>
      </c>
    </row>
    <row r="94" spans="1:39" x14ac:dyDescent="0.25">
      <c r="A94" s="5" t="str">
        <f t="shared" si="26"/>
        <v/>
      </c>
      <c r="B94" s="5" t="s">
        <v>707</v>
      </c>
      <c r="C94" s="5" t="s">
        <v>266</v>
      </c>
      <c r="D94" s="5" t="s">
        <v>968</v>
      </c>
      <c r="E94" s="5">
        <f>VLOOKUP($D94,股期名單!$L:$M,2,FALSE)</f>
        <v>2000</v>
      </c>
      <c r="F94" s="5" t="str">
        <f t="shared" si="25"/>
        <v>GXFB1</v>
      </c>
      <c r="G94" s="7" t="e">
        <f t="shared" si="27"/>
        <v>#VALUE!</v>
      </c>
      <c r="H94" s="5" t="str">
        <f>VLOOKUP($F94,DDE!$A:$AJ,H$1,FALSE)</f>
        <v xml:space="preserve"> </v>
      </c>
      <c r="I94" s="5">
        <f>VLOOKUP($F94,DDE!$A:$AJ,I$1,FALSE)</f>
        <v>20878632</v>
      </c>
      <c r="J94" s="5" t="str">
        <f>VLOOKUP($F94,DDE!$A:$AJ,J$1,FALSE)</f>
        <v xml:space="preserve"> -</v>
      </c>
      <c r="K94" s="5" t="str">
        <f>VLOOKUP($F94,DDE!$A:$AJ,K$1,FALSE)</f>
        <v xml:space="preserve"> -</v>
      </c>
      <c r="L94" s="5">
        <f>VLOOKUP($F94,DDE!$A:$AJ,L$1,FALSE)</f>
        <v>2088371110</v>
      </c>
      <c r="M94" s="5">
        <f>VLOOKUP($F94,DDE!$A:$AJ,M$1,FALSE)</f>
        <v>20803788</v>
      </c>
      <c r="N94" s="5">
        <f>VLOOKUP($F94,DDE!$A:$AJ,N$1,FALSE)</f>
        <v>20804690</v>
      </c>
      <c r="O94" s="5">
        <f>VLOOKUP($F94,DDE!$A:$AJ,O$1,FALSE)</f>
        <v>10989732</v>
      </c>
      <c r="P94" s="5" t="str">
        <f>VLOOKUP($F94,DDE!$A:$AJ,P$1,FALSE)</f>
        <v xml:space="preserve"> -</v>
      </c>
      <c r="Q94" s="5" t="str">
        <f>VLOOKUP($F94,DDE!$A:$AJ,Q$1,FALSE)</f>
        <v xml:space="preserve"> -</v>
      </c>
      <c r="R94" s="5" t="e">
        <f t="shared" si="24"/>
        <v>#VALUE!</v>
      </c>
      <c r="S94" s="5">
        <f>VLOOKUP(D94,cmoney!$A:$M,12,FALSE)</f>
        <v>197.5</v>
      </c>
      <c r="U94" s="5" t="str">
        <f t="shared" si="28"/>
        <v/>
      </c>
      <c r="V94" s="5" t="str">
        <f t="shared" si="29"/>
        <v>2474</v>
      </c>
      <c r="W94" s="5" t="str">
        <f t="shared" si="30"/>
        <v>可成</v>
      </c>
      <c r="X94" s="5" t="str">
        <f t="shared" si="31"/>
        <v>GXF</v>
      </c>
      <c r="Y94" s="49">
        <f>VLOOKUP($X94,股期名單!$L:$M,2,FALSE)</f>
        <v>2000</v>
      </c>
      <c r="Z94" s="5" t="str">
        <f t="shared" si="32"/>
        <v>GXFC1</v>
      </c>
      <c r="AA94" s="7" t="e">
        <f t="shared" si="33"/>
        <v>#VALUE!</v>
      </c>
      <c r="AB94" s="5" t="str">
        <f>VLOOKUP($F94,DDE!$A:$AJ,AB$1,FALSE)</f>
        <v xml:space="preserve"> </v>
      </c>
      <c r="AC94" s="5">
        <f>VLOOKUP($F94,DDE!$A:$AJ,AC$1,FALSE)</f>
        <v>20878632</v>
      </c>
      <c r="AD94" s="5" t="str">
        <f>VLOOKUP($F94,DDE!$A:$AJ,AD$1,FALSE)</f>
        <v xml:space="preserve"> -</v>
      </c>
      <c r="AE94" s="5" t="str">
        <f>VLOOKUP($F94,DDE!$A:$AJ,AE$1,FALSE)</f>
        <v xml:space="preserve"> -</v>
      </c>
      <c r="AF94" s="5">
        <f>VLOOKUP($F94,DDE!$A:$AJ,AF$1,FALSE)</f>
        <v>2088371110</v>
      </c>
      <c r="AG94" s="5">
        <f>VLOOKUP($F94,DDE!$A:$AJ,AG$1,FALSE)</f>
        <v>20803788</v>
      </c>
      <c r="AH94" s="5">
        <f>VLOOKUP($F94,DDE!$A:$AJ,AH$1,FALSE)</f>
        <v>20804690</v>
      </c>
      <c r="AI94" s="5">
        <f>VLOOKUP($F94,DDE!$A:$AJ,AI$1,FALSE)</f>
        <v>10989732</v>
      </c>
      <c r="AJ94" s="5" t="str">
        <f>VLOOKUP($F94,DDE!$A:$AJ,AJ$1,FALSE)</f>
        <v xml:space="preserve"> -</v>
      </c>
      <c r="AK94" s="5" t="str">
        <f>VLOOKUP($F94,DDE!$A:$AJ,AK$1,FALSE)</f>
        <v xml:space="preserve"> -</v>
      </c>
      <c r="AL94" s="5" t="e">
        <f t="shared" si="34"/>
        <v>#VALUE!</v>
      </c>
      <c r="AM94" s="5">
        <f>VLOOKUP(X94,cmoney!$A:$M,12,FALSE)</f>
        <v>197.5</v>
      </c>
    </row>
    <row r="95" spans="1:39" x14ac:dyDescent="0.25">
      <c r="A95" s="5" t="str">
        <f t="shared" si="26"/>
        <v/>
      </c>
      <c r="B95" s="5" t="s">
        <v>708</v>
      </c>
      <c r="C95" s="5" t="s">
        <v>269</v>
      </c>
      <c r="D95" s="5" t="s">
        <v>969</v>
      </c>
      <c r="E95" s="5">
        <f>VLOOKUP($D95,股期名單!$L:$M,2,FALSE)</f>
        <v>2000</v>
      </c>
      <c r="F95" s="5" t="str">
        <f t="shared" si="25"/>
        <v>GZFB1</v>
      </c>
      <c r="G95" s="7">
        <f t="shared" si="27"/>
        <v>-0.77419354838709675</v>
      </c>
      <c r="H95" s="5">
        <f>VLOOKUP($F95,DDE!$A:$AJ,H$1,FALSE)</f>
        <v>-14.4</v>
      </c>
      <c r="I95" s="5">
        <f>VLOOKUP($F95,DDE!$A:$AJ,I$1,FALSE)</f>
        <v>16429</v>
      </c>
      <c r="J95" s="5" t="str">
        <f>VLOOKUP($F95,DDE!$A:$AJ,J$1,FALSE)</f>
        <v xml:space="preserve"> -</v>
      </c>
      <c r="K95" s="5" t="str">
        <f>VLOOKUP($F95,DDE!$A:$AJ,K$1,FALSE)</f>
        <v xml:space="preserve"> -</v>
      </c>
      <c r="L95" s="5">
        <f>VLOOKUP($F95,DDE!$A:$AJ,L$1,FALSE)</f>
        <v>4015112</v>
      </c>
      <c r="M95" s="5">
        <f>VLOOKUP($F95,DDE!$A:$AJ,M$1,FALSE)</f>
        <v>16329.54</v>
      </c>
      <c r="N95" s="5">
        <f>VLOOKUP($F95,DDE!$A:$AJ,N$1,FALSE)</f>
        <v>16456.939999999999</v>
      </c>
      <c r="O95" s="5">
        <f>VLOOKUP($F95,DDE!$A:$AJ,O$1,FALSE)</f>
        <v>16329.54</v>
      </c>
      <c r="P95" s="5" t="str">
        <f>VLOOKUP($F95,DDE!$A:$AJ,P$1,FALSE)</f>
        <v xml:space="preserve"> -</v>
      </c>
      <c r="Q95" s="5" t="str">
        <f>VLOOKUP($F95,DDE!$A:$AJ,Q$1,FALSE)</f>
        <v xml:space="preserve"> -</v>
      </c>
      <c r="R95" s="5">
        <f t="shared" si="24"/>
        <v>16443.400000000001</v>
      </c>
      <c r="S95" s="5">
        <f>VLOOKUP(D95,cmoney!$A:$M,12,FALSE)</f>
        <v>18.600000000000001</v>
      </c>
      <c r="U95" s="5" t="str">
        <f t="shared" si="28"/>
        <v/>
      </c>
      <c r="V95" s="5" t="str">
        <f t="shared" si="29"/>
        <v>2485</v>
      </c>
      <c r="W95" s="5" t="str">
        <f t="shared" si="30"/>
        <v>兆赫</v>
      </c>
      <c r="X95" s="5" t="str">
        <f t="shared" si="31"/>
        <v>GZF</v>
      </c>
      <c r="Y95" s="49">
        <f>VLOOKUP($X95,股期名單!$L:$M,2,FALSE)</f>
        <v>2000</v>
      </c>
      <c r="Z95" s="5" t="str">
        <f t="shared" si="32"/>
        <v>GZFC1</v>
      </c>
      <c r="AA95" s="7">
        <f t="shared" si="33"/>
        <v>-0.77419354838709675</v>
      </c>
      <c r="AB95" s="5">
        <f>VLOOKUP($F95,DDE!$A:$AJ,AB$1,FALSE)</f>
        <v>-14.4</v>
      </c>
      <c r="AC95" s="5">
        <f>VLOOKUP($F95,DDE!$A:$AJ,AC$1,FALSE)</f>
        <v>16429</v>
      </c>
      <c r="AD95" s="5" t="str">
        <f>VLOOKUP($F95,DDE!$A:$AJ,AD$1,FALSE)</f>
        <v xml:space="preserve"> -</v>
      </c>
      <c r="AE95" s="5" t="str">
        <f>VLOOKUP($F95,DDE!$A:$AJ,AE$1,FALSE)</f>
        <v xml:space="preserve"> -</v>
      </c>
      <c r="AF95" s="5">
        <f>VLOOKUP($F95,DDE!$A:$AJ,AF$1,FALSE)</f>
        <v>4015112</v>
      </c>
      <c r="AG95" s="5">
        <f>VLOOKUP($F95,DDE!$A:$AJ,AG$1,FALSE)</f>
        <v>16329.54</v>
      </c>
      <c r="AH95" s="5">
        <f>VLOOKUP($F95,DDE!$A:$AJ,AH$1,FALSE)</f>
        <v>16456.939999999999</v>
      </c>
      <c r="AI95" s="5">
        <f>VLOOKUP($F95,DDE!$A:$AJ,AI$1,FALSE)</f>
        <v>16329.54</v>
      </c>
      <c r="AJ95" s="5" t="str">
        <f>VLOOKUP($F95,DDE!$A:$AJ,AJ$1,FALSE)</f>
        <v xml:space="preserve"> -</v>
      </c>
      <c r="AK95" s="5" t="str">
        <f>VLOOKUP($F95,DDE!$A:$AJ,AK$1,FALSE)</f>
        <v xml:space="preserve"> -</v>
      </c>
      <c r="AL95" s="5">
        <f t="shared" si="34"/>
        <v>16443.400000000001</v>
      </c>
      <c r="AM95" s="5">
        <f>VLOOKUP(X95,cmoney!$A:$M,12,FALSE)</f>
        <v>18.600000000000001</v>
      </c>
    </row>
    <row r="96" spans="1:39" x14ac:dyDescent="0.25">
      <c r="A96" s="5" t="str">
        <f t="shared" si="26"/>
        <v/>
      </c>
      <c r="B96" s="5" t="s">
        <v>709</v>
      </c>
      <c r="C96" s="5" t="s">
        <v>272</v>
      </c>
      <c r="D96" s="5" t="s">
        <v>970</v>
      </c>
      <c r="E96" s="5">
        <f>VLOOKUP($D96,股期名單!$L:$M,2,FALSE)</f>
        <v>2000</v>
      </c>
      <c r="F96" s="5" t="str">
        <f t="shared" si="25"/>
        <v>HAFB1</v>
      </c>
      <c r="G96" s="7">
        <f t="shared" si="27"/>
        <v>-1.2689655172413794</v>
      </c>
      <c r="H96" s="5">
        <f>VLOOKUP($F96,DDE!$A:$AJ,H$1,FALSE)</f>
        <v>-14.72</v>
      </c>
      <c r="I96" s="5">
        <f>VLOOKUP($F96,DDE!$A:$AJ,I$1,FALSE)</f>
        <v>16428.68</v>
      </c>
      <c r="J96" s="5" t="str">
        <f>VLOOKUP($F96,DDE!$A:$AJ,J$1,FALSE)</f>
        <v xml:space="preserve"> -</v>
      </c>
      <c r="K96" s="5" t="str">
        <f>VLOOKUP($F96,DDE!$A:$AJ,K$1,FALSE)</f>
        <v xml:space="preserve"> -</v>
      </c>
      <c r="L96" s="5">
        <f>VLOOKUP($F96,DDE!$A:$AJ,L$1,FALSE)</f>
        <v>4022793</v>
      </c>
      <c r="M96" s="5">
        <f>VLOOKUP($F96,DDE!$A:$AJ,M$1,FALSE)</f>
        <v>16329.54</v>
      </c>
      <c r="N96" s="5">
        <f>VLOOKUP($F96,DDE!$A:$AJ,N$1,FALSE)</f>
        <v>16456.939999999999</v>
      </c>
      <c r="O96" s="5">
        <f>VLOOKUP($F96,DDE!$A:$AJ,O$1,FALSE)</f>
        <v>16329.54</v>
      </c>
      <c r="P96" s="5" t="str">
        <f>VLOOKUP($F96,DDE!$A:$AJ,P$1,FALSE)</f>
        <v xml:space="preserve"> -</v>
      </c>
      <c r="Q96" s="5" t="str">
        <f>VLOOKUP($F96,DDE!$A:$AJ,Q$1,FALSE)</f>
        <v xml:space="preserve"> -</v>
      </c>
      <c r="R96" s="5">
        <f t="shared" si="24"/>
        <v>16443.400000000001</v>
      </c>
      <c r="S96" s="5">
        <f>VLOOKUP(D96,cmoney!$A:$M,12,FALSE)</f>
        <v>11.6</v>
      </c>
      <c r="U96" s="5" t="str">
        <f t="shared" si="28"/>
        <v/>
      </c>
      <c r="V96" s="5" t="str">
        <f t="shared" si="29"/>
        <v>2489</v>
      </c>
      <c r="W96" s="5" t="str">
        <f t="shared" si="30"/>
        <v>瑞軒</v>
      </c>
      <c r="X96" s="5" t="str">
        <f t="shared" si="31"/>
        <v>HAF</v>
      </c>
      <c r="Y96" s="49">
        <f>VLOOKUP($X96,股期名單!$L:$M,2,FALSE)</f>
        <v>2000</v>
      </c>
      <c r="Z96" s="5" t="str">
        <f t="shared" si="32"/>
        <v>HAFC1</v>
      </c>
      <c r="AA96" s="7">
        <f t="shared" si="33"/>
        <v>-1.2689655172413794</v>
      </c>
      <c r="AB96" s="5">
        <f>VLOOKUP($F96,DDE!$A:$AJ,AB$1,FALSE)</f>
        <v>-14.72</v>
      </c>
      <c r="AC96" s="5">
        <f>VLOOKUP($F96,DDE!$A:$AJ,AC$1,FALSE)</f>
        <v>16428.68</v>
      </c>
      <c r="AD96" s="5" t="str">
        <f>VLOOKUP($F96,DDE!$A:$AJ,AD$1,FALSE)</f>
        <v xml:space="preserve"> -</v>
      </c>
      <c r="AE96" s="5" t="str">
        <f>VLOOKUP($F96,DDE!$A:$AJ,AE$1,FALSE)</f>
        <v xml:space="preserve"> -</v>
      </c>
      <c r="AF96" s="5">
        <f>VLOOKUP($F96,DDE!$A:$AJ,AF$1,FALSE)</f>
        <v>4022793</v>
      </c>
      <c r="AG96" s="5">
        <f>VLOOKUP($F96,DDE!$A:$AJ,AG$1,FALSE)</f>
        <v>16329.54</v>
      </c>
      <c r="AH96" s="5">
        <f>VLOOKUP($F96,DDE!$A:$AJ,AH$1,FALSE)</f>
        <v>16456.939999999999</v>
      </c>
      <c r="AI96" s="5">
        <f>VLOOKUP($F96,DDE!$A:$AJ,AI$1,FALSE)</f>
        <v>16329.54</v>
      </c>
      <c r="AJ96" s="5" t="str">
        <f>VLOOKUP($F96,DDE!$A:$AJ,AJ$1,FALSE)</f>
        <v xml:space="preserve"> -</v>
      </c>
      <c r="AK96" s="5" t="str">
        <f>VLOOKUP($F96,DDE!$A:$AJ,AK$1,FALSE)</f>
        <v xml:space="preserve"> -</v>
      </c>
      <c r="AL96" s="5">
        <f t="shared" si="34"/>
        <v>16443.400000000001</v>
      </c>
      <c r="AM96" s="5">
        <f>VLOOKUP(X96,cmoney!$A:$M,12,FALSE)</f>
        <v>11.6</v>
      </c>
    </row>
    <row r="97" spans="1:39" x14ac:dyDescent="0.25">
      <c r="A97" s="5" t="str">
        <f t="shared" si="26"/>
        <v/>
      </c>
      <c r="B97" s="5" t="s">
        <v>710</v>
      </c>
      <c r="C97" s="5" t="s">
        <v>275</v>
      </c>
      <c r="D97" s="5" t="s">
        <v>971</v>
      </c>
      <c r="E97" s="5">
        <f>VLOOKUP($D97,股期名單!$L:$M,2,FALSE)</f>
        <v>2000</v>
      </c>
      <c r="F97" s="5" t="str">
        <f t="shared" si="25"/>
        <v>HBFB1</v>
      </c>
      <c r="G97" s="7">
        <f t="shared" si="27"/>
        <v>-5.067125645438899E-2</v>
      </c>
      <c r="H97" s="5">
        <f>VLOOKUP($F97,DDE!$A:$AJ,H$1,FALSE)</f>
        <v>-14.72</v>
      </c>
      <c r="I97" s="5">
        <f>VLOOKUP($F97,DDE!$A:$AJ,I$1,FALSE)</f>
        <v>16428.68</v>
      </c>
      <c r="J97" s="5" t="str">
        <f>VLOOKUP($F97,DDE!$A:$AJ,J$1,FALSE)</f>
        <v xml:space="preserve"> -</v>
      </c>
      <c r="K97" s="5" t="str">
        <f>VLOOKUP($F97,DDE!$A:$AJ,K$1,FALSE)</f>
        <v xml:space="preserve"> -</v>
      </c>
      <c r="L97" s="5">
        <f>VLOOKUP($F97,DDE!$A:$AJ,L$1,FALSE)</f>
        <v>4022793</v>
      </c>
      <c r="M97" s="5">
        <f>VLOOKUP($F97,DDE!$A:$AJ,M$1,FALSE)</f>
        <v>16329.54</v>
      </c>
      <c r="N97" s="5">
        <f>VLOOKUP($F97,DDE!$A:$AJ,N$1,FALSE)</f>
        <v>16456.939999999999</v>
      </c>
      <c r="O97" s="5">
        <f>VLOOKUP($F97,DDE!$A:$AJ,O$1,FALSE)</f>
        <v>16329.54</v>
      </c>
      <c r="P97" s="5" t="str">
        <f>VLOOKUP($F97,DDE!$A:$AJ,P$1,FALSE)</f>
        <v xml:space="preserve"> -</v>
      </c>
      <c r="Q97" s="5" t="str">
        <f>VLOOKUP($F97,DDE!$A:$AJ,Q$1,FALSE)</f>
        <v xml:space="preserve"> -</v>
      </c>
      <c r="R97" s="5">
        <f t="shared" si="24"/>
        <v>16443.400000000001</v>
      </c>
      <c r="S97" s="5">
        <f>VLOOKUP(D97,cmoney!$A:$M,12,FALSE)</f>
        <v>290.5</v>
      </c>
      <c r="U97" s="5" t="str">
        <f t="shared" si="28"/>
        <v/>
      </c>
      <c r="V97" s="5" t="str">
        <f t="shared" si="29"/>
        <v>2492</v>
      </c>
      <c r="W97" s="5" t="str">
        <f t="shared" si="30"/>
        <v>華新科</v>
      </c>
      <c r="X97" s="5" t="str">
        <f t="shared" si="31"/>
        <v>HBF</v>
      </c>
      <c r="Y97" s="49">
        <f>VLOOKUP($X97,股期名單!$L:$M,2,FALSE)</f>
        <v>2000</v>
      </c>
      <c r="Z97" s="5" t="str">
        <f t="shared" si="32"/>
        <v>HBFC1</v>
      </c>
      <c r="AA97" s="7">
        <f t="shared" si="33"/>
        <v>-5.067125645438899E-2</v>
      </c>
      <c r="AB97" s="5">
        <f>VLOOKUP($F97,DDE!$A:$AJ,AB$1,FALSE)</f>
        <v>-14.72</v>
      </c>
      <c r="AC97" s="5">
        <f>VLOOKUP($F97,DDE!$A:$AJ,AC$1,FALSE)</f>
        <v>16428.68</v>
      </c>
      <c r="AD97" s="5" t="str">
        <f>VLOOKUP($F97,DDE!$A:$AJ,AD$1,FALSE)</f>
        <v xml:space="preserve"> -</v>
      </c>
      <c r="AE97" s="5" t="str">
        <f>VLOOKUP($F97,DDE!$A:$AJ,AE$1,FALSE)</f>
        <v xml:space="preserve"> -</v>
      </c>
      <c r="AF97" s="5">
        <f>VLOOKUP($F97,DDE!$A:$AJ,AF$1,FALSE)</f>
        <v>4022793</v>
      </c>
      <c r="AG97" s="5">
        <f>VLOOKUP($F97,DDE!$A:$AJ,AG$1,FALSE)</f>
        <v>16329.54</v>
      </c>
      <c r="AH97" s="5">
        <f>VLOOKUP($F97,DDE!$A:$AJ,AH$1,FALSE)</f>
        <v>16456.939999999999</v>
      </c>
      <c r="AI97" s="5">
        <f>VLOOKUP($F97,DDE!$A:$AJ,AI$1,FALSE)</f>
        <v>16329.54</v>
      </c>
      <c r="AJ97" s="5" t="str">
        <f>VLOOKUP($F97,DDE!$A:$AJ,AJ$1,FALSE)</f>
        <v xml:space="preserve"> -</v>
      </c>
      <c r="AK97" s="5" t="str">
        <f>VLOOKUP($F97,DDE!$A:$AJ,AK$1,FALSE)</f>
        <v xml:space="preserve"> -</v>
      </c>
      <c r="AL97" s="5">
        <f t="shared" si="34"/>
        <v>16443.400000000001</v>
      </c>
      <c r="AM97" s="5">
        <f>VLOOKUP(X97,cmoney!$A:$M,12,FALSE)</f>
        <v>290.5</v>
      </c>
    </row>
    <row r="98" spans="1:39" x14ac:dyDescent="0.25">
      <c r="A98" s="5" t="str">
        <f t="shared" si="26"/>
        <v/>
      </c>
      <c r="B98" s="5" t="s">
        <v>711</v>
      </c>
      <c r="C98" s="5" t="s">
        <v>278</v>
      </c>
      <c r="D98" s="5" t="s">
        <v>972</v>
      </c>
      <c r="E98" s="5">
        <f>VLOOKUP($D98,股期名單!$L:$M,2,FALSE)</f>
        <v>2000</v>
      </c>
      <c r="F98" s="5" t="str">
        <f t="shared" si="25"/>
        <v>HCFB1</v>
      </c>
      <c r="G98" s="7">
        <f t="shared" si="27"/>
        <v>0.22680412371134018</v>
      </c>
      <c r="H98" s="5">
        <f>VLOOKUP($F98,DDE!$A:$AJ,H$1,FALSE)</f>
        <v>6.6</v>
      </c>
      <c r="I98" s="5">
        <f>VLOOKUP($F98,DDE!$A:$AJ,I$1,FALSE)</f>
        <v>13893.18</v>
      </c>
      <c r="J98" s="5" t="str">
        <f>VLOOKUP($F98,DDE!$A:$AJ,J$1,FALSE)</f>
        <v xml:space="preserve"> -</v>
      </c>
      <c r="K98" s="5" t="str">
        <f>VLOOKUP($F98,DDE!$A:$AJ,K$1,FALSE)</f>
        <v xml:space="preserve"> -</v>
      </c>
      <c r="L98" s="5">
        <f>VLOOKUP($F98,DDE!$A:$AJ,L$1,FALSE)</f>
        <v>872505</v>
      </c>
      <c r="M98" s="5">
        <f>VLOOKUP($F98,DDE!$A:$AJ,M$1,FALSE)</f>
        <v>13893.03</v>
      </c>
      <c r="N98" s="5">
        <f>VLOOKUP($F98,DDE!$A:$AJ,N$1,FALSE)</f>
        <v>13945.78</v>
      </c>
      <c r="O98" s="5">
        <f>VLOOKUP($F98,DDE!$A:$AJ,O$1,FALSE)</f>
        <v>13875.82</v>
      </c>
      <c r="P98" s="5" t="str">
        <f>VLOOKUP($F98,DDE!$A:$AJ,P$1,FALSE)</f>
        <v xml:space="preserve"> -</v>
      </c>
      <c r="Q98" s="5" t="str">
        <f>VLOOKUP($F98,DDE!$A:$AJ,Q$1,FALSE)</f>
        <v xml:space="preserve"> -</v>
      </c>
      <c r="R98" s="5">
        <f t="shared" si="24"/>
        <v>13886.58</v>
      </c>
      <c r="S98" s="5">
        <f>VLOOKUP(D98,cmoney!$A:$M,12,FALSE)</f>
        <v>29.1</v>
      </c>
      <c r="U98" s="5" t="str">
        <f t="shared" si="28"/>
        <v/>
      </c>
      <c r="V98" s="5" t="str">
        <f t="shared" si="29"/>
        <v>2498</v>
      </c>
      <c r="W98" s="5" t="str">
        <f t="shared" si="30"/>
        <v>宏達電</v>
      </c>
      <c r="X98" s="5" t="str">
        <f t="shared" si="31"/>
        <v>HCF</v>
      </c>
      <c r="Y98" s="49">
        <f>VLOOKUP($X98,股期名單!$L:$M,2,FALSE)</f>
        <v>2000</v>
      </c>
      <c r="Z98" s="5" t="str">
        <f t="shared" si="32"/>
        <v>HCFC1</v>
      </c>
      <c r="AA98" s="7">
        <f t="shared" si="33"/>
        <v>0.22680412371134018</v>
      </c>
      <c r="AB98" s="5">
        <f>VLOOKUP($F98,DDE!$A:$AJ,AB$1,FALSE)</f>
        <v>6.6</v>
      </c>
      <c r="AC98" s="5">
        <f>VLOOKUP($F98,DDE!$A:$AJ,AC$1,FALSE)</f>
        <v>13893.18</v>
      </c>
      <c r="AD98" s="5" t="str">
        <f>VLOOKUP($F98,DDE!$A:$AJ,AD$1,FALSE)</f>
        <v xml:space="preserve"> -</v>
      </c>
      <c r="AE98" s="5" t="str">
        <f>VLOOKUP($F98,DDE!$A:$AJ,AE$1,FALSE)</f>
        <v xml:space="preserve"> -</v>
      </c>
      <c r="AF98" s="5">
        <f>VLOOKUP($F98,DDE!$A:$AJ,AF$1,FALSE)</f>
        <v>872505</v>
      </c>
      <c r="AG98" s="5">
        <f>VLOOKUP($F98,DDE!$A:$AJ,AG$1,FALSE)</f>
        <v>13893.03</v>
      </c>
      <c r="AH98" s="5">
        <f>VLOOKUP($F98,DDE!$A:$AJ,AH$1,FALSE)</f>
        <v>13945.78</v>
      </c>
      <c r="AI98" s="5">
        <f>VLOOKUP($F98,DDE!$A:$AJ,AI$1,FALSE)</f>
        <v>13875.82</v>
      </c>
      <c r="AJ98" s="5" t="str">
        <f>VLOOKUP($F98,DDE!$A:$AJ,AJ$1,FALSE)</f>
        <v xml:space="preserve"> -</v>
      </c>
      <c r="AK98" s="5" t="str">
        <f>VLOOKUP($F98,DDE!$A:$AJ,AK$1,FALSE)</f>
        <v xml:space="preserve"> -</v>
      </c>
      <c r="AL98" s="5">
        <f t="shared" si="34"/>
        <v>13886.58</v>
      </c>
      <c r="AM98" s="5">
        <f>VLOOKUP(X98,cmoney!$A:$M,12,FALSE)</f>
        <v>29.1</v>
      </c>
    </row>
    <row r="99" spans="1:39" x14ac:dyDescent="0.25">
      <c r="A99" s="5" t="str">
        <f t="shared" si="26"/>
        <v/>
      </c>
      <c r="B99" s="5" t="s">
        <v>712</v>
      </c>
      <c r="C99" s="5" t="s">
        <v>281</v>
      </c>
      <c r="D99" s="5" t="s">
        <v>973</v>
      </c>
      <c r="E99" s="5">
        <f>VLOOKUP($D99,股期名單!$L:$M,2,FALSE)</f>
        <v>2000</v>
      </c>
      <c r="F99" s="5" t="str">
        <f t="shared" si="25"/>
        <v>HHFB1</v>
      </c>
      <c r="G99" s="7">
        <f t="shared" si="27"/>
        <v>0.7735229759299781</v>
      </c>
      <c r="H99" s="5">
        <f>VLOOKUP($F99,DDE!$A:$AJ,H$1,FALSE)</f>
        <v>7.07</v>
      </c>
      <c r="I99" s="5">
        <f>VLOOKUP($F99,DDE!$A:$AJ,I$1,FALSE)</f>
        <v>13893.65</v>
      </c>
      <c r="J99" s="5" t="str">
        <f>VLOOKUP($F99,DDE!$A:$AJ,J$1,FALSE)</f>
        <v xml:space="preserve"> -</v>
      </c>
      <c r="K99" s="5" t="str">
        <f>VLOOKUP($F99,DDE!$A:$AJ,K$1,FALSE)</f>
        <v xml:space="preserve"> -</v>
      </c>
      <c r="L99" s="5">
        <f>VLOOKUP($F99,DDE!$A:$AJ,L$1,FALSE)</f>
        <v>871785</v>
      </c>
      <c r="M99" s="5">
        <f>VLOOKUP($F99,DDE!$A:$AJ,M$1,FALSE)</f>
        <v>13893.03</v>
      </c>
      <c r="N99" s="5">
        <f>VLOOKUP($F99,DDE!$A:$AJ,N$1,FALSE)</f>
        <v>13945.78</v>
      </c>
      <c r="O99" s="5">
        <f>VLOOKUP($F99,DDE!$A:$AJ,O$1,FALSE)</f>
        <v>13875.82</v>
      </c>
      <c r="P99" s="5" t="str">
        <f>VLOOKUP($F99,DDE!$A:$AJ,P$1,FALSE)</f>
        <v xml:space="preserve"> -</v>
      </c>
      <c r="Q99" s="5" t="str">
        <f>VLOOKUP($F99,DDE!$A:$AJ,Q$1,FALSE)</f>
        <v xml:space="preserve"> -</v>
      </c>
      <c r="R99" s="5">
        <f t="shared" si="24"/>
        <v>13886.58</v>
      </c>
      <c r="S99" s="5">
        <f>VLOOKUP(D99,cmoney!$A:$M,12,FALSE)</f>
        <v>9.14</v>
      </c>
      <c r="U99" s="5" t="str">
        <f t="shared" si="28"/>
        <v/>
      </c>
      <c r="V99" s="5" t="str">
        <f t="shared" si="29"/>
        <v>2515</v>
      </c>
      <c r="W99" s="5" t="str">
        <f t="shared" si="30"/>
        <v>中工</v>
      </c>
      <c r="X99" s="5" t="str">
        <f t="shared" si="31"/>
        <v>HHF</v>
      </c>
      <c r="Y99" s="49">
        <f>VLOOKUP($X99,股期名單!$L:$M,2,FALSE)</f>
        <v>2000</v>
      </c>
      <c r="Z99" s="5" t="str">
        <f t="shared" si="32"/>
        <v>HHFC1</v>
      </c>
      <c r="AA99" s="7">
        <f t="shared" si="33"/>
        <v>0.7735229759299781</v>
      </c>
      <c r="AB99" s="5">
        <f>VLOOKUP($F99,DDE!$A:$AJ,AB$1,FALSE)</f>
        <v>7.07</v>
      </c>
      <c r="AC99" s="5">
        <f>VLOOKUP($F99,DDE!$A:$AJ,AC$1,FALSE)</f>
        <v>13893.65</v>
      </c>
      <c r="AD99" s="5" t="str">
        <f>VLOOKUP($F99,DDE!$A:$AJ,AD$1,FALSE)</f>
        <v xml:space="preserve"> -</v>
      </c>
      <c r="AE99" s="5" t="str">
        <f>VLOOKUP($F99,DDE!$A:$AJ,AE$1,FALSE)</f>
        <v xml:space="preserve"> -</v>
      </c>
      <c r="AF99" s="5">
        <f>VLOOKUP($F99,DDE!$A:$AJ,AF$1,FALSE)</f>
        <v>871785</v>
      </c>
      <c r="AG99" s="5">
        <f>VLOOKUP($F99,DDE!$A:$AJ,AG$1,FALSE)</f>
        <v>13893.03</v>
      </c>
      <c r="AH99" s="5">
        <f>VLOOKUP($F99,DDE!$A:$AJ,AH$1,FALSE)</f>
        <v>13945.78</v>
      </c>
      <c r="AI99" s="5">
        <f>VLOOKUP($F99,DDE!$A:$AJ,AI$1,FALSE)</f>
        <v>13875.82</v>
      </c>
      <c r="AJ99" s="5" t="str">
        <f>VLOOKUP($F99,DDE!$A:$AJ,AJ$1,FALSE)</f>
        <v xml:space="preserve"> -</v>
      </c>
      <c r="AK99" s="5" t="str">
        <f>VLOOKUP($F99,DDE!$A:$AJ,AK$1,FALSE)</f>
        <v xml:space="preserve"> -</v>
      </c>
      <c r="AL99" s="5">
        <f t="shared" si="34"/>
        <v>13886.58</v>
      </c>
      <c r="AM99" s="5">
        <f>VLOOKUP(X99,cmoney!$A:$M,12,FALSE)</f>
        <v>9.14</v>
      </c>
    </row>
    <row r="100" spans="1:39" x14ac:dyDescent="0.25">
      <c r="A100" s="5" t="str">
        <f t="shared" si="26"/>
        <v/>
      </c>
      <c r="B100" s="5" t="s">
        <v>713</v>
      </c>
      <c r="C100" s="5" t="s">
        <v>284</v>
      </c>
      <c r="D100" s="5" t="s">
        <v>974</v>
      </c>
      <c r="E100" s="5">
        <f>VLOOKUP($D100,股期名單!$L:$M,2,FALSE)</f>
        <v>2000</v>
      </c>
      <c r="F100" s="5" t="str">
        <f t="shared" si="25"/>
        <v>HIFB1</v>
      </c>
      <c r="G100" s="7">
        <f t="shared" si="27"/>
        <v>-0.40735502121640738</v>
      </c>
      <c r="H100" s="5">
        <f>VLOOKUP($F100,DDE!$A:$AJ,H$1,FALSE)</f>
        <v>-14.4</v>
      </c>
      <c r="I100" s="5">
        <f>VLOOKUP($F100,DDE!$A:$AJ,I$1,FALSE)</f>
        <v>16429</v>
      </c>
      <c r="J100" s="5" t="str">
        <f>VLOOKUP($F100,DDE!$A:$AJ,J$1,FALSE)</f>
        <v xml:space="preserve"> -</v>
      </c>
      <c r="K100" s="5" t="str">
        <f>VLOOKUP($F100,DDE!$A:$AJ,K$1,FALSE)</f>
        <v xml:space="preserve"> -</v>
      </c>
      <c r="L100" s="5">
        <f>VLOOKUP($F100,DDE!$A:$AJ,L$1,FALSE)</f>
        <v>4018459</v>
      </c>
      <c r="M100" s="5">
        <f>VLOOKUP($F100,DDE!$A:$AJ,M$1,FALSE)</f>
        <v>16329.54</v>
      </c>
      <c r="N100" s="5">
        <f>VLOOKUP($F100,DDE!$A:$AJ,N$1,FALSE)</f>
        <v>16456.939999999999</v>
      </c>
      <c r="O100" s="5">
        <f>VLOOKUP($F100,DDE!$A:$AJ,O$1,FALSE)</f>
        <v>16329.54</v>
      </c>
      <c r="P100" s="5" t="str">
        <f>VLOOKUP($F100,DDE!$A:$AJ,P$1,FALSE)</f>
        <v xml:space="preserve"> -</v>
      </c>
      <c r="Q100" s="5" t="str">
        <f>VLOOKUP($F100,DDE!$A:$AJ,Q$1,FALSE)</f>
        <v xml:space="preserve"> -</v>
      </c>
      <c r="R100" s="5">
        <f t="shared" si="24"/>
        <v>16443.400000000001</v>
      </c>
      <c r="S100" s="5">
        <f>VLOOKUP(D100,cmoney!$A:$M,12,FALSE)</f>
        <v>35.35</v>
      </c>
      <c r="U100" s="5" t="str">
        <f t="shared" si="28"/>
        <v/>
      </c>
      <c r="V100" s="5" t="str">
        <f t="shared" si="29"/>
        <v>2520</v>
      </c>
      <c r="W100" s="5" t="str">
        <f t="shared" si="30"/>
        <v>冠德</v>
      </c>
      <c r="X100" s="5" t="str">
        <f t="shared" si="31"/>
        <v>HIF</v>
      </c>
      <c r="Y100" s="49">
        <f>VLOOKUP($X100,股期名單!$L:$M,2,FALSE)</f>
        <v>2000</v>
      </c>
      <c r="Z100" s="5" t="str">
        <f t="shared" si="32"/>
        <v>HIFC1</v>
      </c>
      <c r="AA100" s="7">
        <f t="shared" si="33"/>
        <v>-0.40735502121640738</v>
      </c>
      <c r="AB100" s="5">
        <f>VLOOKUP($F100,DDE!$A:$AJ,AB$1,FALSE)</f>
        <v>-14.4</v>
      </c>
      <c r="AC100" s="5">
        <f>VLOOKUP($F100,DDE!$A:$AJ,AC$1,FALSE)</f>
        <v>16429</v>
      </c>
      <c r="AD100" s="5" t="str">
        <f>VLOOKUP($F100,DDE!$A:$AJ,AD$1,FALSE)</f>
        <v xml:space="preserve"> -</v>
      </c>
      <c r="AE100" s="5" t="str">
        <f>VLOOKUP($F100,DDE!$A:$AJ,AE$1,FALSE)</f>
        <v xml:space="preserve"> -</v>
      </c>
      <c r="AF100" s="5">
        <f>VLOOKUP($F100,DDE!$A:$AJ,AF$1,FALSE)</f>
        <v>4018459</v>
      </c>
      <c r="AG100" s="5">
        <f>VLOOKUP($F100,DDE!$A:$AJ,AG$1,FALSE)</f>
        <v>16329.54</v>
      </c>
      <c r="AH100" s="5">
        <f>VLOOKUP($F100,DDE!$A:$AJ,AH$1,FALSE)</f>
        <v>16456.939999999999</v>
      </c>
      <c r="AI100" s="5">
        <f>VLOOKUP($F100,DDE!$A:$AJ,AI$1,FALSE)</f>
        <v>16329.54</v>
      </c>
      <c r="AJ100" s="5" t="str">
        <f>VLOOKUP($F100,DDE!$A:$AJ,AJ$1,FALSE)</f>
        <v xml:space="preserve"> -</v>
      </c>
      <c r="AK100" s="5" t="str">
        <f>VLOOKUP($F100,DDE!$A:$AJ,AK$1,FALSE)</f>
        <v xml:space="preserve"> -</v>
      </c>
      <c r="AL100" s="5">
        <f t="shared" si="34"/>
        <v>16443.400000000001</v>
      </c>
      <c r="AM100" s="5">
        <f>VLOOKUP(X100,cmoney!$A:$M,12,FALSE)</f>
        <v>35.35</v>
      </c>
    </row>
    <row r="101" spans="1:39" x14ac:dyDescent="0.25">
      <c r="A101" s="5" t="str">
        <f t="shared" si="26"/>
        <v/>
      </c>
      <c r="B101" s="5" t="s">
        <v>714</v>
      </c>
      <c r="C101" s="5" t="s">
        <v>287</v>
      </c>
      <c r="D101" s="5" t="s">
        <v>975</v>
      </c>
      <c r="E101" s="5">
        <f>VLOOKUP($D101,股期名單!$L:$M,2,FALSE)</f>
        <v>2000</v>
      </c>
      <c r="F101" s="5" t="str">
        <f t="shared" si="25"/>
        <v>HLFB1</v>
      </c>
      <c r="G101" s="7">
        <f t="shared" si="27"/>
        <v>0.31457174638487206</v>
      </c>
      <c r="H101" s="5">
        <f>VLOOKUP($F101,DDE!$A:$AJ,H$1,FALSE)</f>
        <v>14.14</v>
      </c>
      <c r="I101" s="5">
        <f>VLOOKUP($F101,DDE!$A:$AJ,I$1,FALSE)</f>
        <v>13900.72</v>
      </c>
      <c r="J101" s="5" t="str">
        <f>VLOOKUP($F101,DDE!$A:$AJ,J$1,FALSE)</f>
        <v xml:space="preserve"> -</v>
      </c>
      <c r="K101" s="5" t="str">
        <f>VLOOKUP($F101,DDE!$A:$AJ,K$1,FALSE)</f>
        <v xml:space="preserve"> -</v>
      </c>
      <c r="L101" s="5">
        <f>VLOOKUP($F101,DDE!$A:$AJ,L$1,FALSE)</f>
        <v>873827</v>
      </c>
      <c r="M101" s="5">
        <f>VLOOKUP($F101,DDE!$A:$AJ,M$1,FALSE)</f>
        <v>13893.03</v>
      </c>
      <c r="N101" s="5">
        <f>VLOOKUP($F101,DDE!$A:$AJ,N$1,FALSE)</f>
        <v>13945.78</v>
      </c>
      <c r="O101" s="5">
        <f>VLOOKUP($F101,DDE!$A:$AJ,O$1,FALSE)</f>
        <v>13875.82</v>
      </c>
      <c r="P101" s="5" t="str">
        <f>VLOOKUP($F101,DDE!$A:$AJ,P$1,FALSE)</f>
        <v xml:space="preserve"> -</v>
      </c>
      <c r="Q101" s="5" t="str">
        <f>VLOOKUP($F101,DDE!$A:$AJ,Q$1,FALSE)</f>
        <v xml:space="preserve"> -</v>
      </c>
      <c r="R101" s="5">
        <f t="shared" si="24"/>
        <v>13886.58</v>
      </c>
      <c r="S101" s="5">
        <f>VLOOKUP(D101,cmoney!$A:$M,12,FALSE)</f>
        <v>44.95</v>
      </c>
      <c r="U101" s="5" t="str">
        <f t="shared" si="28"/>
        <v/>
      </c>
      <c r="V101" s="5" t="str">
        <f t="shared" si="29"/>
        <v>2542</v>
      </c>
      <c r="W101" s="5" t="str">
        <f t="shared" si="30"/>
        <v>興富發</v>
      </c>
      <c r="X101" s="5" t="str">
        <f t="shared" si="31"/>
        <v>HLF</v>
      </c>
      <c r="Y101" s="49">
        <f>VLOOKUP($X101,股期名單!$L:$M,2,FALSE)</f>
        <v>2000</v>
      </c>
      <c r="Z101" s="5" t="str">
        <f t="shared" si="32"/>
        <v>HLFC1</v>
      </c>
      <c r="AA101" s="7">
        <f t="shared" si="33"/>
        <v>0.31457174638487206</v>
      </c>
      <c r="AB101" s="5">
        <f>VLOOKUP($F101,DDE!$A:$AJ,AB$1,FALSE)</f>
        <v>14.14</v>
      </c>
      <c r="AC101" s="5">
        <f>VLOOKUP($F101,DDE!$A:$AJ,AC$1,FALSE)</f>
        <v>13900.72</v>
      </c>
      <c r="AD101" s="5" t="str">
        <f>VLOOKUP($F101,DDE!$A:$AJ,AD$1,FALSE)</f>
        <v xml:space="preserve"> -</v>
      </c>
      <c r="AE101" s="5" t="str">
        <f>VLOOKUP($F101,DDE!$A:$AJ,AE$1,FALSE)</f>
        <v xml:space="preserve"> -</v>
      </c>
      <c r="AF101" s="5">
        <f>VLOOKUP($F101,DDE!$A:$AJ,AF$1,FALSE)</f>
        <v>873827</v>
      </c>
      <c r="AG101" s="5">
        <f>VLOOKUP($F101,DDE!$A:$AJ,AG$1,FALSE)</f>
        <v>13893.03</v>
      </c>
      <c r="AH101" s="5">
        <f>VLOOKUP($F101,DDE!$A:$AJ,AH$1,FALSE)</f>
        <v>13945.78</v>
      </c>
      <c r="AI101" s="5">
        <f>VLOOKUP($F101,DDE!$A:$AJ,AI$1,FALSE)</f>
        <v>13875.82</v>
      </c>
      <c r="AJ101" s="5" t="str">
        <f>VLOOKUP($F101,DDE!$A:$AJ,AJ$1,FALSE)</f>
        <v xml:space="preserve"> -</v>
      </c>
      <c r="AK101" s="5" t="str">
        <f>VLOOKUP($F101,DDE!$A:$AJ,AK$1,FALSE)</f>
        <v xml:space="preserve"> -</v>
      </c>
      <c r="AL101" s="5">
        <f t="shared" si="34"/>
        <v>13886.58</v>
      </c>
      <c r="AM101" s="5">
        <f>VLOOKUP(X101,cmoney!$A:$M,12,FALSE)</f>
        <v>44.95</v>
      </c>
    </row>
    <row r="102" spans="1:39" x14ac:dyDescent="0.25">
      <c r="A102" s="5" t="str">
        <f t="shared" si="26"/>
        <v/>
      </c>
      <c r="B102" s="5" t="s">
        <v>715</v>
      </c>
      <c r="C102" s="5" t="s">
        <v>290</v>
      </c>
      <c r="D102" s="5" t="s">
        <v>976</v>
      </c>
      <c r="E102" s="5">
        <f>VLOOKUP($D102,股期名單!$L:$M,2,FALSE)</f>
        <v>2000</v>
      </c>
      <c r="F102" s="5" t="str">
        <f t="shared" si="25"/>
        <v>HOFB1</v>
      </c>
      <c r="G102" s="7">
        <f t="shared" si="27"/>
        <v>9.7184684684684691E-2</v>
      </c>
      <c r="H102" s="5">
        <f>VLOOKUP($F102,DDE!$A:$AJ,H$1,FALSE)</f>
        <v>8.6300000000000008</v>
      </c>
      <c r="I102" s="5">
        <f>VLOOKUP($F102,DDE!$A:$AJ,I$1,FALSE)</f>
        <v>13895.21</v>
      </c>
      <c r="J102" s="5" t="str">
        <f>VLOOKUP($F102,DDE!$A:$AJ,J$1,FALSE)</f>
        <v xml:space="preserve"> -</v>
      </c>
      <c r="K102" s="5" t="str">
        <f>VLOOKUP($F102,DDE!$A:$AJ,K$1,FALSE)</f>
        <v xml:space="preserve"> -</v>
      </c>
      <c r="L102" s="5">
        <f>VLOOKUP($F102,DDE!$A:$AJ,L$1,FALSE)</f>
        <v>872940</v>
      </c>
      <c r="M102" s="5">
        <f>VLOOKUP($F102,DDE!$A:$AJ,M$1,FALSE)</f>
        <v>13893.03</v>
      </c>
      <c r="N102" s="5">
        <f>VLOOKUP($F102,DDE!$A:$AJ,N$1,FALSE)</f>
        <v>13945.78</v>
      </c>
      <c r="O102" s="5">
        <f>VLOOKUP($F102,DDE!$A:$AJ,O$1,FALSE)</f>
        <v>13875.82</v>
      </c>
      <c r="P102" s="5" t="str">
        <f>VLOOKUP($F102,DDE!$A:$AJ,P$1,FALSE)</f>
        <v xml:space="preserve"> -</v>
      </c>
      <c r="Q102" s="5" t="str">
        <f>VLOOKUP($F102,DDE!$A:$AJ,Q$1,FALSE)</f>
        <v xml:space="preserve"> -</v>
      </c>
      <c r="R102" s="5">
        <f t="shared" si="24"/>
        <v>13886.58</v>
      </c>
      <c r="S102" s="5">
        <f>VLOOKUP(D102,cmoney!$A:$M,12,FALSE)</f>
        <v>88.8</v>
      </c>
      <c r="U102" s="5" t="str">
        <f t="shared" si="28"/>
        <v/>
      </c>
      <c r="V102" s="5" t="str">
        <f t="shared" si="29"/>
        <v>2548</v>
      </c>
      <c r="W102" s="5" t="str">
        <f t="shared" si="30"/>
        <v>華固</v>
      </c>
      <c r="X102" s="5" t="str">
        <f t="shared" si="31"/>
        <v>HOF</v>
      </c>
      <c r="Y102" s="49">
        <f>VLOOKUP($X102,股期名單!$L:$M,2,FALSE)</f>
        <v>2000</v>
      </c>
      <c r="Z102" s="5" t="str">
        <f t="shared" si="32"/>
        <v>HOFC1</v>
      </c>
      <c r="AA102" s="7">
        <f t="shared" si="33"/>
        <v>9.7184684684684691E-2</v>
      </c>
      <c r="AB102" s="5">
        <f>VLOOKUP($F102,DDE!$A:$AJ,AB$1,FALSE)</f>
        <v>8.6300000000000008</v>
      </c>
      <c r="AC102" s="5">
        <f>VLOOKUP($F102,DDE!$A:$AJ,AC$1,FALSE)</f>
        <v>13895.21</v>
      </c>
      <c r="AD102" s="5" t="str">
        <f>VLOOKUP($F102,DDE!$A:$AJ,AD$1,FALSE)</f>
        <v xml:space="preserve"> -</v>
      </c>
      <c r="AE102" s="5" t="str">
        <f>VLOOKUP($F102,DDE!$A:$AJ,AE$1,FALSE)</f>
        <v xml:space="preserve"> -</v>
      </c>
      <c r="AF102" s="5">
        <f>VLOOKUP($F102,DDE!$A:$AJ,AF$1,FALSE)</f>
        <v>872940</v>
      </c>
      <c r="AG102" s="5">
        <f>VLOOKUP($F102,DDE!$A:$AJ,AG$1,FALSE)</f>
        <v>13893.03</v>
      </c>
      <c r="AH102" s="5">
        <f>VLOOKUP($F102,DDE!$A:$AJ,AH$1,FALSE)</f>
        <v>13945.78</v>
      </c>
      <c r="AI102" s="5">
        <f>VLOOKUP($F102,DDE!$A:$AJ,AI$1,FALSE)</f>
        <v>13875.82</v>
      </c>
      <c r="AJ102" s="5" t="str">
        <f>VLOOKUP($F102,DDE!$A:$AJ,AJ$1,FALSE)</f>
        <v xml:space="preserve"> -</v>
      </c>
      <c r="AK102" s="5" t="str">
        <f>VLOOKUP($F102,DDE!$A:$AJ,AK$1,FALSE)</f>
        <v xml:space="preserve"> -</v>
      </c>
      <c r="AL102" s="5">
        <f t="shared" si="34"/>
        <v>13886.58</v>
      </c>
      <c r="AM102" s="5">
        <f>VLOOKUP(X102,cmoney!$A:$M,12,FALSE)</f>
        <v>88.8</v>
      </c>
    </row>
    <row r="103" spans="1:39" x14ac:dyDescent="0.25">
      <c r="A103" s="5" t="str">
        <f t="shared" si="26"/>
        <v/>
      </c>
      <c r="B103" s="5" t="s">
        <v>656</v>
      </c>
      <c r="C103" s="5" t="s">
        <v>113</v>
      </c>
      <c r="D103" s="5" t="s">
        <v>977</v>
      </c>
      <c r="E103" s="5">
        <f>VLOOKUP($D103,股期名單!$L:$M,2,FALSE)</f>
        <v>2000</v>
      </c>
      <c r="F103" s="5" t="str">
        <f t="shared" si="25"/>
        <v>CZFB1</v>
      </c>
      <c r="G103" s="7">
        <f t="shared" si="27"/>
        <v>0.22444733420026008</v>
      </c>
      <c r="H103" s="5">
        <f>VLOOKUP($F103,DDE!$A:$AJ,H$1,FALSE)</f>
        <v>8.6300000000000008</v>
      </c>
      <c r="I103" s="5">
        <f>VLOOKUP($F103,DDE!$A:$AJ,I$1,FALSE)</f>
        <v>13895.21</v>
      </c>
      <c r="J103" s="5" t="str">
        <f>VLOOKUP($F103,DDE!$A:$AJ,J$1,FALSE)</f>
        <v xml:space="preserve"> -</v>
      </c>
      <c r="K103" s="5" t="str">
        <f>VLOOKUP($F103,DDE!$A:$AJ,K$1,FALSE)</f>
        <v xml:space="preserve"> -</v>
      </c>
      <c r="L103" s="5">
        <f>VLOOKUP($F103,DDE!$A:$AJ,L$1,FALSE)</f>
        <v>872940</v>
      </c>
      <c r="M103" s="5">
        <f>VLOOKUP($F103,DDE!$A:$AJ,M$1,FALSE)</f>
        <v>13893.03</v>
      </c>
      <c r="N103" s="5">
        <f>VLOOKUP($F103,DDE!$A:$AJ,N$1,FALSE)</f>
        <v>13945.78</v>
      </c>
      <c r="O103" s="5">
        <f>VLOOKUP($F103,DDE!$A:$AJ,O$1,FALSE)</f>
        <v>13875.82</v>
      </c>
      <c r="P103" s="5" t="str">
        <f>VLOOKUP($F103,DDE!$A:$AJ,P$1,FALSE)</f>
        <v xml:space="preserve"> -</v>
      </c>
      <c r="Q103" s="5" t="str">
        <f>VLOOKUP($F103,DDE!$A:$AJ,Q$1,FALSE)</f>
        <v xml:space="preserve"> -</v>
      </c>
      <c r="R103" s="5">
        <f t="shared" si="24"/>
        <v>13886.58</v>
      </c>
      <c r="S103" s="5">
        <f>VLOOKUP(D103,cmoney!$A:$M,12,FALSE)</f>
        <v>38.450000000000003</v>
      </c>
      <c r="U103" s="5" t="str">
        <f t="shared" si="28"/>
        <v/>
      </c>
      <c r="V103" s="5" t="str">
        <f t="shared" si="29"/>
        <v>2603</v>
      </c>
      <c r="W103" s="5" t="str">
        <f t="shared" si="30"/>
        <v>長榮</v>
      </c>
      <c r="X103" s="5" t="str">
        <f t="shared" si="31"/>
        <v>CZF</v>
      </c>
      <c r="Y103" s="49">
        <f>VLOOKUP($X103,股期名單!$L:$M,2,FALSE)</f>
        <v>2000</v>
      </c>
      <c r="Z103" s="5" t="str">
        <f t="shared" si="32"/>
        <v>CZFC1</v>
      </c>
      <c r="AA103" s="7">
        <f t="shared" si="33"/>
        <v>0.22444733420026008</v>
      </c>
      <c r="AB103" s="5">
        <f>VLOOKUP($F103,DDE!$A:$AJ,AB$1,FALSE)</f>
        <v>8.6300000000000008</v>
      </c>
      <c r="AC103" s="5">
        <f>VLOOKUP($F103,DDE!$A:$AJ,AC$1,FALSE)</f>
        <v>13895.21</v>
      </c>
      <c r="AD103" s="5" t="str">
        <f>VLOOKUP($F103,DDE!$A:$AJ,AD$1,FALSE)</f>
        <v xml:space="preserve"> -</v>
      </c>
      <c r="AE103" s="5" t="str">
        <f>VLOOKUP($F103,DDE!$A:$AJ,AE$1,FALSE)</f>
        <v xml:space="preserve"> -</v>
      </c>
      <c r="AF103" s="5">
        <f>VLOOKUP($F103,DDE!$A:$AJ,AF$1,FALSE)</f>
        <v>872940</v>
      </c>
      <c r="AG103" s="5">
        <f>VLOOKUP($F103,DDE!$A:$AJ,AG$1,FALSE)</f>
        <v>13893.03</v>
      </c>
      <c r="AH103" s="5">
        <f>VLOOKUP($F103,DDE!$A:$AJ,AH$1,FALSE)</f>
        <v>13945.78</v>
      </c>
      <c r="AI103" s="5">
        <f>VLOOKUP($F103,DDE!$A:$AJ,AI$1,FALSE)</f>
        <v>13875.82</v>
      </c>
      <c r="AJ103" s="5" t="str">
        <f>VLOOKUP($F103,DDE!$A:$AJ,AJ$1,FALSE)</f>
        <v xml:space="preserve"> -</v>
      </c>
      <c r="AK103" s="5" t="str">
        <f>VLOOKUP($F103,DDE!$A:$AJ,AK$1,FALSE)</f>
        <v xml:space="preserve"> -</v>
      </c>
      <c r="AL103" s="5">
        <f t="shared" si="34"/>
        <v>13886.58</v>
      </c>
      <c r="AM103" s="5">
        <f>VLOOKUP(X103,cmoney!$A:$M,12,FALSE)</f>
        <v>38.450000000000003</v>
      </c>
    </row>
    <row r="104" spans="1:39" x14ac:dyDescent="0.25">
      <c r="A104" s="5" t="str">
        <f t="shared" si="26"/>
        <v/>
      </c>
      <c r="B104" s="5" t="s">
        <v>978</v>
      </c>
      <c r="C104" s="5" t="s">
        <v>867</v>
      </c>
      <c r="D104" s="5" t="s">
        <v>979</v>
      </c>
      <c r="E104" s="5">
        <f>VLOOKUP($D104,股期名單!$L:$M,2,FALSE)</f>
        <v>2000</v>
      </c>
      <c r="F104" s="5" t="str">
        <f t="shared" si="25"/>
        <v>QCFB1</v>
      </c>
      <c r="G104" s="7">
        <f t="shared" si="27"/>
        <v>0.4</v>
      </c>
      <c r="H104" s="5">
        <f>VLOOKUP($F104,DDE!$A:$AJ,H$1,FALSE)</f>
        <v>14.14</v>
      </c>
      <c r="I104" s="5">
        <f>VLOOKUP($F104,DDE!$A:$AJ,I$1,FALSE)</f>
        <v>13900.72</v>
      </c>
      <c r="J104" s="5" t="str">
        <f>VLOOKUP($F104,DDE!$A:$AJ,J$1,FALSE)</f>
        <v xml:space="preserve"> -</v>
      </c>
      <c r="K104" s="5" t="str">
        <f>VLOOKUP($F104,DDE!$A:$AJ,K$1,FALSE)</f>
        <v xml:space="preserve"> -</v>
      </c>
      <c r="L104" s="5">
        <f>VLOOKUP($F104,DDE!$A:$AJ,L$1,FALSE)</f>
        <v>873827</v>
      </c>
      <c r="M104" s="5">
        <f>VLOOKUP($F104,DDE!$A:$AJ,M$1,FALSE)</f>
        <v>13893.03</v>
      </c>
      <c r="N104" s="5">
        <f>VLOOKUP($F104,DDE!$A:$AJ,N$1,FALSE)</f>
        <v>13945.78</v>
      </c>
      <c r="O104" s="5">
        <f>VLOOKUP($F104,DDE!$A:$AJ,O$1,FALSE)</f>
        <v>13875.82</v>
      </c>
      <c r="P104" s="5" t="str">
        <f>VLOOKUP($F104,DDE!$A:$AJ,P$1,FALSE)</f>
        <v xml:space="preserve"> -</v>
      </c>
      <c r="Q104" s="5" t="str">
        <f>VLOOKUP($F104,DDE!$A:$AJ,Q$1,FALSE)</f>
        <v xml:space="preserve"> -</v>
      </c>
      <c r="R104" s="5">
        <f t="shared" si="24"/>
        <v>13886.58</v>
      </c>
      <c r="S104" s="5">
        <f>VLOOKUP(D104,cmoney!$A:$M,12,FALSE)</f>
        <v>35.35</v>
      </c>
      <c r="U104" s="5" t="str">
        <f t="shared" si="28"/>
        <v/>
      </c>
      <c r="V104" s="5" t="str">
        <f t="shared" si="29"/>
        <v>2606</v>
      </c>
      <c r="W104" s="5" t="str">
        <f t="shared" si="30"/>
        <v>裕民</v>
      </c>
      <c r="X104" s="5" t="str">
        <f t="shared" si="31"/>
        <v>QCF</v>
      </c>
      <c r="Y104" s="49">
        <f>VLOOKUP($X104,股期名單!$L:$M,2,FALSE)</f>
        <v>2000</v>
      </c>
      <c r="Z104" s="5" t="str">
        <f t="shared" si="32"/>
        <v>QCFC1</v>
      </c>
      <c r="AA104" s="7">
        <f t="shared" si="33"/>
        <v>0.4</v>
      </c>
      <c r="AB104" s="5">
        <f>VLOOKUP($F104,DDE!$A:$AJ,AB$1,FALSE)</f>
        <v>14.14</v>
      </c>
      <c r="AC104" s="5">
        <f>VLOOKUP($F104,DDE!$A:$AJ,AC$1,FALSE)</f>
        <v>13900.72</v>
      </c>
      <c r="AD104" s="5" t="str">
        <f>VLOOKUP($F104,DDE!$A:$AJ,AD$1,FALSE)</f>
        <v xml:space="preserve"> -</v>
      </c>
      <c r="AE104" s="5" t="str">
        <f>VLOOKUP($F104,DDE!$A:$AJ,AE$1,FALSE)</f>
        <v xml:space="preserve"> -</v>
      </c>
      <c r="AF104" s="5">
        <f>VLOOKUP($F104,DDE!$A:$AJ,AF$1,FALSE)</f>
        <v>873827</v>
      </c>
      <c r="AG104" s="5">
        <f>VLOOKUP($F104,DDE!$A:$AJ,AG$1,FALSE)</f>
        <v>13893.03</v>
      </c>
      <c r="AH104" s="5">
        <f>VLOOKUP($F104,DDE!$A:$AJ,AH$1,FALSE)</f>
        <v>13945.78</v>
      </c>
      <c r="AI104" s="5">
        <f>VLOOKUP($F104,DDE!$A:$AJ,AI$1,FALSE)</f>
        <v>13875.82</v>
      </c>
      <c r="AJ104" s="5" t="str">
        <f>VLOOKUP($F104,DDE!$A:$AJ,AJ$1,FALSE)</f>
        <v xml:space="preserve"> -</v>
      </c>
      <c r="AK104" s="5" t="str">
        <f>VLOOKUP($F104,DDE!$A:$AJ,AK$1,FALSE)</f>
        <v xml:space="preserve"> -</v>
      </c>
      <c r="AL104" s="5">
        <f t="shared" si="34"/>
        <v>13886.58</v>
      </c>
      <c r="AM104" s="5">
        <f>VLOOKUP(X104,cmoney!$A:$M,12,FALSE)</f>
        <v>35.35</v>
      </c>
    </row>
    <row r="105" spans="1:39" x14ac:dyDescent="0.25">
      <c r="A105" s="5" t="str">
        <f t="shared" si="26"/>
        <v/>
      </c>
      <c r="B105" s="5" t="s">
        <v>716</v>
      </c>
      <c r="C105" s="5" t="s">
        <v>293</v>
      </c>
      <c r="D105" s="5" t="s">
        <v>980</v>
      </c>
      <c r="E105" s="5">
        <f>VLOOKUP($D105,股期名單!$L:$M,2,FALSE)</f>
        <v>2000</v>
      </c>
      <c r="F105" s="5" t="str">
        <f t="shared" si="25"/>
        <v>HSFB1</v>
      </c>
      <c r="G105" s="7">
        <f t="shared" si="27"/>
        <v>-0.99459459459459454</v>
      </c>
      <c r="H105" s="5">
        <f>VLOOKUP($F105,DDE!$A:$AJ,H$1,FALSE)</f>
        <v>-14.72</v>
      </c>
      <c r="I105" s="5">
        <f>VLOOKUP($F105,DDE!$A:$AJ,I$1,FALSE)</f>
        <v>16428.68</v>
      </c>
      <c r="J105" s="5" t="str">
        <f>VLOOKUP($F105,DDE!$A:$AJ,J$1,FALSE)</f>
        <v xml:space="preserve"> -</v>
      </c>
      <c r="K105" s="5" t="str">
        <f>VLOOKUP($F105,DDE!$A:$AJ,K$1,FALSE)</f>
        <v xml:space="preserve"> -</v>
      </c>
      <c r="L105" s="5">
        <f>VLOOKUP($F105,DDE!$A:$AJ,L$1,FALSE)</f>
        <v>4022793</v>
      </c>
      <c r="M105" s="5">
        <f>VLOOKUP($F105,DDE!$A:$AJ,M$1,FALSE)</f>
        <v>16329.54</v>
      </c>
      <c r="N105" s="5">
        <f>VLOOKUP($F105,DDE!$A:$AJ,N$1,FALSE)</f>
        <v>16456.939999999999</v>
      </c>
      <c r="O105" s="5">
        <f>VLOOKUP($F105,DDE!$A:$AJ,O$1,FALSE)</f>
        <v>16329.54</v>
      </c>
      <c r="P105" s="5" t="str">
        <f>VLOOKUP($F105,DDE!$A:$AJ,P$1,FALSE)</f>
        <v xml:space="preserve"> -</v>
      </c>
      <c r="Q105" s="5" t="str">
        <f>VLOOKUP($F105,DDE!$A:$AJ,Q$1,FALSE)</f>
        <v xml:space="preserve"> -</v>
      </c>
      <c r="R105" s="5">
        <f t="shared" si="24"/>
        <v>16443.400000000001</v>
      </c>
      <c r="S105" s="5">
        <f>VLOOKUP(D105,cmoney!$A:$M,12,FALSE)</f>
        <v>14.8</v>
      </c>
      <c r="U105" s="5" t="str">
        <f t="shared" si="28"/>
        <v/>
      </c>
      <c r="V105" s="5" t="str">
        <f t="shared" si="29"/>
        <v>2618</v>
      </c>
      <c r="W105" s="5" t="str">
        <f t="shared" si="30"/>
        <v>長榮航</v>
      </c>
      <c r="X105" s="5" t="str">
        <f t="shared" si="31"/>
        <v>HSF</v>
      </c>
      <c r="Y105" s="49">
        <f>VLOOKUP($X105,股期名單!$L:$M,2,FALSE)</f>
        <v>2000</v>
      </c>
      <c r="Z105" s="5" t="str">
        <f t="shared" si="32"/>
        <v>HSFC1</v>
      </c>
      <c r="AA105" s="7">
        <f t="shared" si="33"/>
        <v>-0.99459459459459454</v>
      </c>
      <c r="AB105" s="5">
        <f>VLOOKUP($F105,DDE!$A:$AJ,AB$1,FALSE)</f>
        <v>-14.72</v>
      </c>
      <c r="AC105" s="5">
        <f>VLOOKUP($F105,DDE!$A:$AJ,AC$1,FALSE)</f>
        <v>16428.68</v>
      </c>
      <c r="AD105" s="5" t="str">
        <f>VLOOKUP($F105,DDE!$A:$AJ,AD$1,FALSE)</f>
        <v xml:space="preserve"> -</v>
      </c>
      <c r="AE105" s="5" t="str">
        <f>VLOOKUP($F105,DDE!$A:$AJ,AE$1,FALSE)</f>
        <v xml:space="preserve"> -</v>
      </c>
      <c r="AF105" s="5">
        <f>VLOOKUP($F105,DDE!$A:$AJ,AF$1,FALSE)</f>
        <v>4022793</v>
      </c>
      <c r="AG105" s="5">
        <f>VLOOKUP($F105,DDE!$A:$AJ,AG$1,FALSE)</f>
        <v>16329.54</v>
      </c>
      <c r="AH105" s="5">
        <f>VLOOKUP($F105,DDE!$A:$AJ,AH$1,FALSE)</f>
        <v>16456.939999999999</v>
      </c>
      <c r="AI105" s="5">
        <f>VLOOKUP($F105,DDE!$A:$AJ,AI$1,FALSE)</f>
        <v>16329.54</v>
      </c>
      <c r="AJ105" s="5" t="str">
        <f>VLOOKUP($F105,DDE!$A:$AJ,AJ$1,FALSE)</f>
        <v xml:space="preserve"> -</v>
      </c>
      <c r="AK105" s="5" t="str">
        <f>VLOOKUP($F105,DDE!$A:$AJ,AK$1,FALSE)</f>
        <v xml:space="preserve"> -</v>
      </c>
      <c r="AL105" s="5">
        <f t="shared" si="34"/>
        <v>16443.400000000001</v>
      </c>
      <c r="AM105" s="5">
        <f>VLOOKUP(X105,cmoney!$A:$M,12,FALSE)</f>
        <v>14.8</v>
      </c>
    </row>
    <row r="106" spans="1:39" x14ac:dyDescent="0.25">
      <c r="A106" s="5" t="str">
        <f t="shared" si="26"/>
        <v/>
      </c>
      <c r="B106" s="5" t="s">
        <v>807</v>
      </c>
      <c r="C106" s="5" t="s">
        <v>606</v>
      </c>
      <c r="D106" s="5" t="s">
        <v>981</v>
      </c>
      <c r="E106" s="5">
        <f>VLOOKUP($D106,股期名單!$L:$M,2,FALSE)</f>
        <v>2000</v>
      </c>
      <c r="F106" s="5" t="str">
        <f t="shared" si="25"/>
        <v>PGFB1</v>
      </c>
      <c r="G106" s="7">
        <f t="shared" si="27"/>
        <v>-0.47714748784440841</v>
      </c>
      <c r="H106" s="5">
        <f>VLOOKUP($F106,DDE!$A:$AJ,H$1,FALSE)</f>
        <v>-14.72</v>
      </c>
      <c r="I106" s="5">
        <f>VLOOKUP($F106,DDE!$A:$AJ,I$1,FALSE)</f>
        <v>16428.68</v>
      </c>
      <c r="J106" s="5" t="str">
        <f>VLOOKUP($F106,DDE!$A:$AJ,J$1,FALSE)</f>
        <v xml:space="preserve"> -</v>
      </c>
      <c r="K106" s="5" t="str">
        <f>VLOOKUP($F106,DDE!$A:$AJ,K$1,FALSE)</f>
        <v xml:space="preserve"> -</v>
      </c>
      <c r="L106" s="5">
        <f>VLOOKUP($F106,DDE!$A:$AJ,L$1,FALSE)</f>
        <v>4022793</v>
      </c>
      <c r="M106" s="5">
        <f>VLOOKUP($F106,DDE!$A:$AJ,M$1,FALSE)</f>
        <v>16329.54</v>
      </c>
      <c r="N106" s="5">
        <f>VLOOKUP($F106,DDE!$A:$AJ,N$1,FALSE)</f>
        <v>16456.939999999999</v>
      </c>
      <c r="O106" s="5">
        <f>VLOOKUP($F106,DDE!$A:$AJ,O$1,FALSE)</f>
        <v>16329.54</v>
      </c>
      <c r="P106" s="5" t="str">
        <f>VLOOKUP($F106,DDE!$A:$AJ,P$1,FALSE)</f>
        <v xml:space="preserve"> -</v>
      </c>
      <c r="Q106" s="5" t="str">
        <f>VLOOKUP($F106,DDE!$A:$AJ,Q$1,FALSE)</f>
        <v xml:space="preserve"> -</v>
      </c>
      <c r="R106" s="5">
        <f t="shared" si="24"/>
        <v>16443.400000000001</v>
      </c>
      <c r="S106" s="5">
        <f>VLOOKUP(D106,cmoney!$A:$M,12,FALSE)</f>
        <v>30.85</v>
      </c>
      <c r="U106" s="5" t="str">
        <f t="shared" si="28"/>
        <v/>
      </c>
      <c r="V106" s="5" t="str">
        <f t="shared" si="29"/>
        <v>2633</v>
      </c>
      <c r="W106" s="5" t="str">
        <f t="shared" si="30"/>
        <v>台灣高鐵</v>
      </c>
      <c r="X106" s="5" t="str">
        <f t="shared" si="31"/>
        <v>PGF</v>
      </c>
      <c r="Y106" s="49">
        <f>VLOOKUP($X106,股期名單!$L:$M,2,FALSE)</f>
        <v>2000</v>
      </c>
      <c r="Z106" s="5" t="str">
        <f t="shared" si="32"/>
        <v>PGFC1</v>
      </c>
      <c r="AA106" s="7">
        <f t="shared" si="33"/>
        <v>-0.47714748784440841</v>
      </c>
      <c r="AB106" s="5">
        <f>VLOOKUP($F106,DDE!$A:$AJ,AB$1,FALSE)</f>
        <v>-14.72</v>
      </c>
      <c r="AC106" s="5">
        <f>VLOOKUP($F106,DDE!$A:$AJ,AC$1,FALSE)</f>
        <v>16428.68</v>
      </c>
      <c r="AD106" s="5" t="str">
        <f>VLOOKUP($F106,DDE!$A:$AJ,AD$1,FALSE)</f>
        <v xml:space="preserve"> -</v>
      </c>
      <c r="AE106" s="5" t="str">
        <f>VLOOKUP($F106,DDE!$A:$AJ,AE$1,FALSE)</f>
        <v xml:space="preserve"> -</v>
      </c>
      <c r="AF106" s="5">
        <f>VLOOKUP($F106,DDE!$A:$AJ,AF$1,FALSE)</f>
        <v>4022793</v>
      </c>
      <c r="AG106" s="5">
        <f>VLOOKUP($F106,DDE!$A:$AJ,AG$1,FALSE)</f>
        <v>16329.54</v>
      </c>
      <c r="AH106" s="5">
        <f>VLOOKUP($F106,DDE!$A:$AJ,AH$1,FALSE)</f>
        <v>16456.939999999999</v>
      </c>
      <c r="AI106" s="5">
        <f>VLOOKUP($F106,DDE!$A:$AJ,AI$1,FALSE)</f>
        <v>16329.54</v>
      </c>
      <c r="AJ106" s="5" t="str">
        <f>VLOOKUP($F106,DDE!$A:$AJ,AJ$1,FALSE)</f>
        <v xml:space="preserve"> -</v>
      </c>
      <c r="AK106" s="5" t="str">
        <f>VLOOKUP($F106,DDE!$A:$AJ,AK$1,FALSE)</f>
        <v xml:space="preserve"> -</v>
      </c>
      <c r="AL106" s="5">
        <f t="shared" si="34"/>
        <v>16443.400000000001</v>
      </c>
      <c r="AM106" s="5">
        <f>VLOOKUP(X106,cmoney!$A:$M,12,FALSE)</f>
        <v>30.85</v>
      </c>
    </row>
    <row r="107" spans="1:39" x14ac:dyDescent="0.25">
      <c r="A107" s="5" t="str">
        <f t="shared" si="26"/>
        <v/>
      </c>
      <c r="B107" s="5" t="s">
        <v>657</v>
      </c>
      <c r="C107" s="5" t="s">
        <v>116</v>
      </c>
      <c r="D107" s="5" t="s">
        <v>982</v>
      </c>
      <c r="E107" s="5">
        <f>VLOOKUP($D107,股期名單!$L:$M,2,FALSE)</f>
        <v>2000</v>
      </c>
      <c r="F107" s="5" t="str">
        <f t="shared" si="25"/>
        <v>DCFB1</v>
      </c>
      <c r="G107" s="7">
        <f t="shared" si="27"/>
        <v>0.40867052023121386</v>
      </c>
      <c r="H107" s="5">
        <f>VLOOKUP($F107,DDE!$A:$AJ,H$1,FALSE)</f>
        <v>7.07</v>
      </c>
      <c r="I107" s="5">
        <f>VLOOKUP($F107,DDE!$A:$AJ,I$1,FALSE)</f>
        <v>13893.65</v>
      </c>
      <c r="J107" s="5" t="str">
        <f>VLOOKUP($F107,DDE!$A:$AJ,J$1,FALSE)</f>
        <v xml:space="preserve"> -</v>
      </c>
      <c r="K107" s="5" t="str">
        <f>VLOOKUP($F107,DDE!$A:$AJ,K$1,FALSE)</f>
        <v xml:space="preserve"> -</v>
      </c>
      <c r="L107" s="5">
        <f>VLOOKUP($F107,DDE!$A:$AJ,L$1,FALSE)</f>
        <v>871785</v>
      </c>
      <c r="M107" s="5">
        <f>VLOOKUP($F107,DDE!$A:$AJ,M$1,FALSE)</f>
        <v>13893.03</v>
      </c>
      <c r="N107" s="5">
        <f>VLOOKUP($F107,DDE!$A:$AJ,N$1,FALSE)</f>
        <v>13945.78</v>
      </c>
      <c r="O107" s="5">
        <f>VLOOKUP($F107,DDE!$A:$AJ,O$1,FALSE)</f>
        <v>13875.82</v>
      </c>
      <c r="P107" s="5" t="str">
        <f>VLOOKUP($F107,DDE!$A:$AJ,P$1,FALSE)</f>
        <v xml:space="preserve"> -</v>
      </c>
      <c r="Q107" s="5" t="str">
        <f>VLOOKUP($F107,DDE!$A:$AJ,Q$1,FALSE)</f>
        <v xml:space="preserve"> -</v>
      </c>
      <c r="R107" s="5">
        <f t="shared" ref="R107:R138" si="35">IF(L107&gt;0,I107-H107,"")</f>
        <v>13886.58</v>
      </c>
      <c r="S107" s="5">
        <f>VLOOKUP(D107,cmoney!$A:$M,12,FALSE)</f>
        <v>17.3</v>
      </c>
      <c r="U107" s="5" t="str">
        <f t="shared" si="28"/>
        <v/>
      </c>
      <c r="V107" s="5" t="str">
        <f t="shared" si="29"/>
        <v>2801</v>
      </c>
      <c r="W107" s="5" t="str">
        <f t="shared" si="30"/>
        <v>彰銀</v>
      </c>
      <c r="X107" s="5" t="str">
        <f t="shared" si="31"/>
        <v>DCF</v>
      </c>
      <c r="Y107" s="49">
        <f>VLOOKUP($X107,股期名單!$L:$M,2,FALSE)</f>
        <v>2000</v>
      </c>
      <c r="Z107" s="5" t="str">
        <f t="shared" si="32"/>
        <v>DCFC1</v>
      </c>
      <c r="AA107" s="7">
        <f t="shared" si="33"/>
        <v>0.40867052023121386</v>
      </c>
      <c r="AB107" s="5">
        <f>VLOOKUP($F107,DDE!$A:$AJ,AB$1,FALSE)</f>
        <v>7.07</v>
      </c>
      <c r="AC107" s="5">
        <f>VLOOKUP($F107,DDE!$A:$AJ,AC$1,FALSE)</f>
        <v>13893.65</v>
      </c>
      <c r="AD107" s="5" t="str">
        <f>VLOOKUP($F107,DDE!$A:$AJ,AD$1,FALSE)</f>
        <v xml:space="preserve"> -</v>
      </c>
      <c r="AE107" s="5" t="str">
        <f>VLOOKUP($F107,DDE!$A:$AJ,AE$1,FALSE)</f>
        <v xml:space="preserve"> -</v>
      </c>
      <c r="AF107" s="5">
        <f>VLOOKUP($F107,DDE!$A:$AJ,AF$1,FALSE)</f>
        <v>871785</v>
      </c>
      <c r="AG107" s="5">
        <f>VLOOKUP($F107,DDE!$A:$AJ,AG$1,FALSE)</f>
        <v>13893.03</v>
      </c>
      <c r="AH107" s="5">
        <f>VLOOKUP($F107,DDE!$A:$AJ,AH$1,FALSE)</f>
        <v>13945.78</v>
      </c>
      <c r="AI107" s="5">
        <f>VLOOKUP($F107,DDE!$A:$AJ,AI$1,FALSE)</f>
        <v>13875.82</v>
      </c>
      <c r="AJ107" s="5" t="str">
        <f>VLOOKUP($F107,DDE!$A:$AJ,AJ$1,FALSE)</f>
        <v xml:space="preserve"> -</v>
      </c>
      <c r="AK107" s="5" t="str">
        <f>VLOOKUP($F107,DDE!$A:$AJ,AK$1,FALSE)</f>
        <v xml:space="preserve"> -</v>
      </c>
      <c r="AL107" s="5">
        <f t="shared" si="34"/>
        <v>13886.58</v>
      </c>
      <c r="AM107" s="5">
        <f>VLOOKUP(X107,cmoney!$A:$M,12,FALSE)</f>
        <v>17.3</v>
      </c>
    </row>
    <row r="108" spans="1:39" x14ac:dyDescent="0.25">
      <c r="A108" s="5" t="str">
        <f t="shared" si="26"/>
        <v/>
      </c>
      <c r="B108" s="5" t="s">
        <v>717</v>
      </c>
      <c r="C108" s="5" t="s">
        <v>296</v>
      </c>
      <c r="D108" s="5" t="s">
        <v>983</v>
      </c>
      <c r="E108" s="5">
        <f>VLOOKUP($D108,股期名單!$L:$M,2,FALSE)</f>
        <v>2000</v>
      </c>
      <c r="F108" s="5" t="str">
        <f t="shared" si="25"/>
        <v>HYFB1</v>
      </c>
      <c r="G108" s="7">
        <f t="shared" si="27"/>
        <v>-0.81742919389978219</v>
      </c>
      <c r="H108" s="5">
        <f>VLOOKUP($F108,DDE!$A:$AJ,H$1,FALSE)</f>
        <v>-18.760000000000002</v>
      </c>
      <c r="I108" s="5">
        <f>VLOOKUP($F108,DDE!$A:$AJ,I$1,FALSE)</f>
        <v>16424.64</v>
      </c>
      <c r="J108" s="5" t="str">
        <f>VLOOKUP($F108,DDE!$A:$AJ,J$1,FALSE)</f>
        <v xml:space="preserve"> -</v>
      </c>
      <c r="K108" s="5" t="str">
        <f>VLOOKUP($F108,DDE!$A:$AJ,K$1,FALSE)</f>
        <v xml:space="preserve"> -</v>
      </c>
      <c r="L108" s="5">
        <f>VLOOKUP($F108,DDE!$A:$AJ,L$1,FALSE)</f>
        <v>4020107</v>
      </c>
      <c r="M108" s="5">
        <f>VLOOKUP($F108,DDE!$A:$AJ,M$1,FALSE)</f>
        <v>16329.54</v>
      </c>
      <c r="N108" s="5">
        <f>VLOOKUP($F108,DDE!$A:$AJ,N$1,FALSE)</f>
        <v>16456.939999999999</v>
      </c>
      <c r="O108" s="5">
        <f>VLOOKUP($F108,DDE!$A:$AJ,O$1,FALSE)</f>
        <v>16329.54</v>
      </c>
      <c r="P108" s="5" t="str">
        <f>VLOOKUP($F108,DDE!$A:$AJ,P$1,FALSE)</f>
        <v xml:space="preserve"> -</v>
      </c>
      <c r="Q108" s="5" t="str">
        <f>VLOOKUP($F108,DDE!$A:$AJ,Q$1,FALSE)</f>
        <v xml:space="preserve"> -</v>
      </c>
      <c r="R108" s="5">
        <f t="shared" si="35"/>
        <v>16443.399999999998</v>
      </c>
      <c r="S108" s="5">
        <f>VLOOKUP(D108,cmoney!$A:$M,12,FALSE)</f>
        <v>22.95</v>
      </c>
      <c r="U108" s="5" t="str">
        <f t="shared" si="28"/>
        <v/>
      </c>
      <c r="V108" s="5" t="str">
        <f t="shared" si="29"/>
        <v>2823</v>
      </c>
      <c r="W108" s="5" t="str">
        <f t="shared" si="30"/>
        <v>中壽</v>
      </c>
      <c r="X108" s="5" t="str">
        <f t="shared" si="31"/>
        <v>HYF</v>
      </c>
      <c r="Y108" s="49">
        <f>VLOOKUP($X108,股期名單!$L:$M,2,FALSE)</f>
        <v>2000</v>
      </c>
      <c r="Z108" s="5" t="str">
        <f t="shared" si="32"/>
        <v>HYFC1</v>
      </c>
      <c r="AA108" s="7">
        <f t="shared" si="33"/>
        <v>-0.81742919389978219</v>
      </c>
      <c r="AB108" s="5">
        <f>VLOOKUP($F108,DDE!$A:$AJ,AB$1,FALSE)</f>
        <v>-18.760000000000002</v>
      </c>
      <c r="AC108" s="5">
        <f>VLOOKUP($F108,DDE!$A:$AJ,AC$1,FALSE)</f>
        <v>16424.64</v>
      </c>
      <c r="AD108" s="5" t="str">
        <f>VLOOKUP($F108,DDE!$A:$AJ,AD$1,FALSE)</f>
        <v xml:space="preserve"> -</v>
      </c>
      <c r="AE108" s="5" t="str">
        <f>VLOOKUP($F108,DDE!$A:$AJ,AE$1,FALSE)</f>
        <v xml:space="preserve"> -</v>
      </c>
      <c r="AF108" s="5">
        <f>VLOOKUP($F108,DDE!$A:$AJ,AF$1,FALSE)</f>
        <v>4020107</v>
      </c>
      <c r="AG108" s="5">
        <f>VLOOKUP($F108,DDE!$A:$AJ,AG$1,FALSE)</f>
        <v>16329.54</v>
      </c>
      <c r="AH108" s="5">
        <f>VLOOKUP($F108,DDE!$A:$AJ,AH$1,FALSE)</f>
        <v>16456.939999999999</v>
      </c>
      <c r="AI108" s="5">
        <f>VLOOKUP($F108,DDE!$A:$AJ,AI$1,FALSE)</f>
        <v>16329.54</v>
      </c>
      <c r="AJ108" s="5" t="str">
        <f>VLOOKUP($F108,DDE!$A:$AJ,AJ$1,FALSE)</f>
        <v xml:space="preserve"> -</v>
      </c>
      <c r="AK108" s="5" t="str">
        <f>VLOOKUP($F108,DDE!$A:$AJ,AK$1,FALSE)</f>
        <v xml:space="preserve"> -</v>
      </c>
      <c r="AL108" s="5">
        <f t="shared" si="34"/>
        <v>16443.399999999998</v>
      </c>
      <c r="AM108" s="5">
        <f>VLOOKUP(X108,cmoney!$A:$M,12,FALSE)</f>
        <v>22.95</v>
      </c>
    </row>
    <row r="109" spans="1:39" x14ac:dyDescent="0.25">
      <c r="A109" s="5" t="str">
        <f t="shared" si="26"/>
        <v/>
      </c>
      <c r="B109" s="5" t="s">
        <v>718</v>
      </c>
      <c r="C109" s="5" t="s">
        <v>299</v>
      </c>
      <c r="D109" s="5" t="s">
        <v>984</v>
      </c>
      <c r="E109" s="5">
        <f>VLOOKUP($D109,股期名單!$L:$M,2,FALSE)</f>
        <v>2000</v>
      </c>
      <c r="F109" s="5" t="str">
        <f t="shared" si="25"/>
        <v>IAFB1</v>
      </c>
      <c r="G109" s="7">
        <f t="shared" si="27"/>
        <v>-1.5478443743427972</v>
      </c>
      <c r="H109" s="5">
        <f>VLOOKUP($F109,DDE!$A:$AJ,H$1,FALSE)</f>
        <v>-14.72</v>
      </c>
      <c r="I109" s="5">
        <f>VLOOKUP($F109,DDE!$A:$AJ,I$1,FALSE)</f>
        <v>16428.68</v>
      </c>
      <c r="J109" s="5" t="str">
        <f>VLOOKUP($F109,DDE!$A:$AJ,J$1,FALSE)</f>
        <v xml:space="preserve"> -</v>
      </c>
      <c r="K109" s="5" t="str">
        <f>VLOOKUP($F109,DDE!$A:$AJ,K$1,FALSE)</f>
        <v xml:space="preserve"> -</v>
      </c>
      <c r="L109" s="5">
        <f>VLOOKUP($F109,DDE!$A:$AJ,L$1,FALSE)</f>
        <v>4022793</v>
      </c>
      <c r="M109" s="5">
        <f>VLOOKUP($F109,DDE!$A:$AJ,M$1,FALSE)</f>
        <v>16329.54</v>
      </c>
      <c r="N109" s="5">
        <f>VLOOKUP($F109,DDE!$A:$AJ,N$1,FALSE)</f>
        <v>16456.939999999999</v>
      </c>
      <c r="O109" s="5">
        <f>VLOOKUP($F109,DDE!$A:$AJ,O$1,FALSE)</f>
        <v>16329.54</v>
      </c>
      <c r="P109" s="5" t="str">
        <f>VLOOKUP($F109,DDE!$A:$AJ,P$1,FALSE)</f>
        <v xml:space="preserve"> -</v>
      </c>
      <c r="Q109" s="5" t="str">
        <f>VLOOKUP($F109,DDE!$A:$AJ,Q$1,FALSE)</f>
        <v xml:space="preserve"> -</v>
      </c>
      <c r="R109" s="5">
        <f t="shared" si="35"/>
        <v>16443.400000000001</v>
      </c>
      <c r="S109" s="5">
        <f>VLOOKUP(D109,cmoney!$A:$M,12,FALSE)</f>
        <v>9.51</v>
      </c>
      <c r="U109" s="5" t="str">
        <f t="shared" si="28"/>
        <v/>
      </c>
      <c r="V109" s="5" t="str">
        <f t="shared" si="29"/>
        <v>2834</v>
      </c>
      <c r="W109" s="5" t="str">
        <f t="shared" si="30"/>
        <v>臺企銀</v>
      </c>
      <c r="X109" s="5" t="str">
        <f t="shared" si="31"/>
        <v>IAF</v>
      </c>
      <c r="Y109" s="49">
        <f>VLOOKUP($X109,股期名單!$L:$M,2,FALSE)</f>
        <v>2000</v>
      </c>
      <c r="Z109" s="5" t="str">
        <f t="shared" si="32"/>
        <v>IAFC1</v>
      </c>
      <c r="AA109" s="7">
        <f t="shared" si="33"/>
        <v>-1.5478443743427972</v>
      </c>
      <c r="AB109" s="5">
        <f>VLOOKUP($F109,DDE!$A:$AJ,AB$1,FALSE)</f>
        <v>-14.72</v>
      </c>
      <c r="AC109" s="5">
        <f>VLOOKUP($F109,DDE!$A:$AJ,AC$1,FALSE)</f>
        <v>16428.68</v>
      </c>
      <c r="AD109" s="5" t="str">
        <f>VLOOKUP($F109,DDE!$A:$AJ,AD$1,FALSE)</f>
        <v xml:space="preserve"> -</v>
      </c>
      <c r="AE109" s="5" t="str">
        <f>VLOOKUP($F109,DDE!$A:$AJ,AE$1,FALSE)</f>
        <v xml:space="preserve"> -</v>
      </c>
      <c r="AF109" s="5">
        <f>VLOOKUP($F109,DDE!$A:$AJ,AF$1,FALSE)</f>
        <v>4022793</v>
      </c>
      <c r="AG109" s="5">
        <f>VLOOKUP($F109,DDE!$A:$AJ,AG$1,FALSE)</f>
        <v>16329.54</v>
      </c>
      <c r="AH109" s="5">
        <f>VLOOKUP($F109,DDE!$A:$AJ,AH$1,FALSE)</f>
        <v>16456.939999999999</v>
      </c>
      <c r="AI109" s="5">
        <f>VLOOKUP($F109,DDE!$A:$AJ,AI$1,FALSE)</f>
        <v>16329.54</v>
      </c>
      <c r="AJ109" s="5" t="str">
        <f>VLOOKUP($F109,DDE!$A:$AJ,AJ$1,FALSE)</f>
        <v xml:space="preserve"> -</v>
      </c>
      <c r="AK109" s="5" t="str">
        <f>VLOOKUP($F109,DDE!$A:$AJ,AK$1,FALSE)</f>
        <v xml:space="preserve"> -</v>
      </c>
      <c r="AL109" s="5">
        <f t="shared" si="34"/>
        <v>16443.400000000001</v>
      </c>
      <c r="AM109" s="5">
        <f>VLOOKUP(X109,cmoney!$A:$M,12,FALSE)</f>
        <v>9.51</v>
      </c>
    </row>
    <row r="110" spans="1:39" x14ac:dyDescent="0.25">
      <c r="A110" s="5" t="str">
        <f t="shared" si="26"/>
        <v/>
      </c>
      <c r="B110" s="5" t="s">
        <v>644</v>
      </c>
      <c r="C110" s="5" t="s">
        <v>77</v>
      </c>
      <c r="D110" s="5" t="s">
        <v>985</v>
      </c>
      <c r="E110" s="5">
        <f>VLOOKUP($D110,股期名單!$L:$M,2,FALSE)</f>
        <v>2000</v>
      </c>
      <c r="F110" s="5" t="str">
        <f t="shared" si="25"/>
        <v>CJFB1</v>
      </c>
      <c r="G110" s="7">
        <f t="shared" si="27"/>
        <v>-1.1513812154696133</v>
      </c>
      <c r="H110" s="5">
        <f>VLOOKUP($F110,DDE!$A:$AJ,H$1,FALSE)</f>
        <v>-20.84</v>
      </c>
      <c r="I110" s="5">
        <f>VLOOKUP($F110,DDE!$A:$AJ,I$1,FALSE)</f>
        <v>16422.560000000001</v>
      </c>
      <c r="J110" s="5" t="str">
        <f>VLOOKUP($F110,DDE!$A:$AJ,J$1,FALSE)</f>
        <v xml:space="preserve"> -</v>
      </c>
      <c r="K110" s="5" t="str">
        <f>VLOOKUP($F110,DDE!$A:$AJ,K$1,FALSE)</f>
        <v xml:space="preserve"> -</v>
      </c>
      <c r="L110" s="5">
        <f>VLOOKUP($F110,DDE!$A:$AJ,L$1,FALSE)</f>
        <v>4024617</v>
      </c>
      <c r="M110" s="5">
        <f>VLOOKUP($F110,DDE!$A:$AJ,M$1,FALSE)</f>
        <v>16329.54</v>
      </c>
      <c r="N110" s="5">
        <f>VLOOKUP($F110,DDE!$A:$AJ,N$1,FALSE)</f>
        <v>16456.939999999999</v>
      </c>
      <c r="O110" s="5">
        <f>VLOOKUP($F110,DDE!$A:$AJ,O$1,FALSE)</f>
        <v>16329.54</v>
      </c>
      <c r="P110" s="5" t="str">
        <f>VLOOKUP($F110,DDE!$A:$AJ,P$1,FALSE)</f>
        <v xml:space="preserve"> -</v>
      </c>
      <c r="Q110" s="5" t="str">
        <f>VLOOKUP($F110,DDE!$A:$AJ,Q$1,FALSE)</f>
        <v xml:space="preserve"> -</v>
      </c>
      <c r="R110" s="5">
        <f t="shared" si="35"/>
        <v>16443.400000000001</v>
      </c>
      <c r="S110" s="5">
        <f>VLOOKUP(D110,cmoney!$A:$M,12,FALSE)</f>
        <v>18.100000000000001</v>
      </c>
      <c r="U110" s="5" t="str">
        <f t="shared" si="28"/>
        <v/>
      </c>
      <c r="V110" s="5" t="str">
        <f t="shared" si="29"/>
        <v>2880</v>
      </c>
      <c r="W110" s="5" t="str">
        <f t="shared" si="30"/>
        <v>華南金</v>
      </c>
      <c r="X110" s="5" t="str">
        <f t="shared" si="31"/>
        <v>CJF</v>
      </c>
      <c r="Y110" s="49">
        <f>VLOOKUP($X110,股期名單!$L:$M,2,FALSE)</f>
        <v>2000</v>
      </c>
      <c r="Z110" s="5" t="str">
        <f t="shared" si="32"/>
        <v>CJFC1</v>
      </c>
      <c r="AA110" s="7">
        <f t="shared" si="33"/>
        <v>-1.1513812154696133</v>
      </c>
      <c r="AB110" s="5">
        <f>VLOOKUP($F110,DDE!$A:$AJ,AB$1,FALSE)</f>
        <v>-20.84</v>
      </c>
      <c r="AC110" s="5">
        <f>VLOOKUP($F110,DDE!$A:$AJ,AC$1,FALSE)</f>
        <v>16422.560000000001</v>
      </c>
      <c r="AD110" s="5" t="str">
        <f>VLOOKUP($F110,DDE!$A:$AJ,AD$1,FALSE)</f>
        <v xml:space="preserve"> -</v>
      </c>
      <c r="AE110" s="5" t="str">
        <f>VLOOKUP($F110,DDE!$A:$AJ,AE$1,FALSE)</f>
        <v xml:space="preserve"> -</v>
      </c>
      <c r="AF110" s="5">
        <f>VLOOKUP($F110,DDE!$A:$AJ,AF$1,FALSE)</f>
        <v>4024617</v>
      </c>
      <c r="AG110" s="5">
        <f>VLOOKUP($F110,DDE!$A:$AJ,AG$1,FALSE)</f>
        <v>16329.54</v>
      </c>
      <c r="AH110" s="5">
        <f>VLOOKUP($F110,DDE!$A:$AJ,AH$1,FALSE)</f>
        <v>16456.939999999999</v>
      </c>
      <c r="AI110" s="5">
        <f>VLOOKUP($F110,DDE!$A:$AJ,AI$1,FALSE)</f>
        <v>16329.54</v>
      </c>
      <c r="AJ110" s="5" t="str">
        <f>VLOOKUP($F110,DDE!$A:$AJ,AJ$1,FALSE)</f>
        <v xml:space="preserve"> -</v>
      </c>
      <c r="AK110" s="5" t="str">
        <f>VLOOKUP($F110,DDE!$A:$AJ,AK$1,FALSE)</f>
        <v xml:space="preserve"> -</v>
      </c>
      <c r="AL110" s="5">
        <f t="shared" si="34"/>
        <v>16443.400000000001</v>
      </c>
      <c r="AM110" s="5">
        <f>VLOOKUP(X110,cmoney!$A:$M,12,FALSE)</f>
        <v>18.100000000000001</v>
      </c>
    </row>
    <row r="111" spans="1:39" x14ac:dyDescent="0.25">
      <c r="A111" s="5" t="str">
        <f t="shared" si="26"/>
        <v/>
      </c>
      <c r="B111" s="5" t="s">
        <v>640</v>
      </c>
      <c r="C111" s="5" t="s">
        <v>65</v>
      </c>
      <c r="D111" s="5" t="s">
        <v>986</v>
      </c>
      <c r="E111" s="5">
        <f>VLOOKUP($D111,股期名單!$L:$M,2,FALSE)</f>
        <v>2000</v>
      </c>
      <c r="F111" s="5" t="str">
        <f t="shared" si="25"/>
        <v>CEFB1</v>
      </c>
      <c r="G111" s="7">
        <f t="shared" si="27"/>
        <v>-0.28800000000000003</v>
      </c>
      <c r="H111" s="5">
        <f>VLOOKUP($F111,DDE!$A:$AJ,H$1,FALSE)</f>
        <v>-14.4</v>
      </c>
      <c r="I111" s="5">
        <f>VLOOKUP($F111,DDE!$A:$AJ,I$1,FALSE)</f>
        <v>16429</v>
      </c>
      <c r="J111" s="5" t="str">
        <f>VLOOKUP($F111,DDE!$A:$AJ,J$1,FALSE)</f>
        <v xml:space="preserve"> -</v>
      </c>
      <c r="K111" s="5" t="str">
        <f>VLOOKUP($F111,DDE!$A:$AJ,K$1,FALSE)</f>
        <v xml:space="preserve"> -</v>
      </c>
      <c r="L111" s="5">
        <f>VLOOKUP($F111,DDE!$A:$AJ,L$1,FALSE)</f>
        <v>4015112</v>
      </c>
      <c r="M111" s="5">
        <f>VLOOKUP($F111,DDE!$A:$AJ,M$1,FALSE)</f>
        <v>16329.54</v>
      </c>
      <c r="N111" s="5">
        <f>VLOOKUP($F111,DDE!$A:$AJ,N$1,FALSE)</f>
        <v>16456.939999999999</v>
      </c>
      <c r="O111" s="5">
        <f>VLOOKUP($F111,DDE!$A:$AJ,O$1,FALSE)</f>
        <v>16329.54</v>
      </c>
      <c r="P111" s="5" t="str">
        <f>VLOOKUP($F111,DDE!$A:$AJ,P$1,FALSE)</f>
        <v xml:space="preserve"> -</v>
      </c>
      <c r="Q111" s="5" t="str">
        <f>VLOOKUP($F111,DDE!$A:$AJ,Q$1,FALSE)</f>
        <v xml:space="preserve"> -</v>
      </c>
      <c r="R111" s="5">
        <f t="shared" si="35"/>
        <v>16443.400000000001</v>
      </c>
      <c r="S111" s="5">
        <f>VLOOKUP(D111,cmoney!$A:$M,12,FALSE)</f>
        <v>50</v>
      </c>
      <c r="U111" s="5" t="str">
        <f t="shared" si="28"/>
        <v/>
      </c>
      <c r="V111" s="5" t="str">
        <f t="shared" si="29"/>
        <v>2881</v>
      </c>
      <c r="W111" s="5" t="str">
        <f t="shared" si="30"/>
        <v>富邦金</v>
      </c>
      <c r="X111" s="5" t="str">
        <f t="shared" si="31"/>
        <v>CEF</v>
      </c>
      <c r="Y111" s="49">
        <f>VLOOKUP($X111,股期名單!$L:$M,2,FALSE)</f>
        <v>2000</v>
      </c>
      <c r="Z111" s="5" t="str">
        <f t="shared" si="32"/>
        <v>CEFC1</v>
      </c>
      <c r="AA111" s="7">
        <f t="shared" si="33"/>
        <v>-0.28800000000000003</v>
      </c>
      <c r="AB111" s="5">
        <f>VLOOKUP($F111,DDE!$A:$AJ,AB$1,FALSE)</f>
        <v>-14.4</v>
      </c>
      <c r="AC111" s="5">
        <f>VLOOKUP($F111,DDE!$A:$AJ,AC$1,FALSE)</f>
        <v>16429</v>
      </c>
      <c r="AD111" s="5" t="str">
        <f>VLOOKUP($F111,DDE!$A:$AJ,AD$1,FALSE)</f>
        <v xml:space="preserve"> -</v>
      </c>
      <c r="AE111" s="5" t="str">
        <f>VLOOKUP($F111,DDE!$A:$AJ,AE$1,FALSE)</f>
        <v xml:space="preserve"> -</v>
      </c>
      <c r="AF111" s="5">
        <f>VLOOKUP($F111,DDE!$A:$AJ,AF$1,FALSE)</f>
        <v>4015112</v>
      </c>
      <c r="AG111" s="5">
        <f>VLOOKUP($F111,DDE!$A:$AJ,AG$1,FALSE)</f>
        <v>16329.54</v>
      </c>
      <c r="AH111" s="5">
        <f>VLOOKUP($F111,DDE!$A:$AJ,AH$1,FALSE)</f>
        <v>16456.939999999999</v>
      </c>
      <c r="AI111" s="5">
        <f>VLOOKUP($F111,DDE!$A:$AJ,AI$1,FALSE)</f>
        <v>16329.54</v>
      </c>
      <c r="AJ111" s="5" t="str">
        <f>VLOOKUP($F111,DDE!$A:$AJ,AJ$1,FALSE)</f>
        <v xml:space="preserve"> -</v>
      </c>
      <c r="AK111" s="5" t="str">
        <f>VLOOKUP($F111,DDE!$A:$AJ,AK$1,FALSE)</f>
        <v xml:space="preserve"> -</v>
      </c>
      <c r="AL111" s="5">
        <f t="shared" si="34"/>
        <v>16443.400000000001</v>
      </c>
      <c r="AM111" s="5">
        <f>VLOOKUP(X111,cmoney!$A:$M,12,FALSE)</f>
        <v>50</v>
      </c>
    </row>
    <row r="112" spans="1:39" x14ac:dyDescent="0.25">
      <c r="A112" s="5" t="str">
        <f t="shared" si="26"/>
        <v/>
      </c>
      <c r="B112" s="5" t="s">
        <v>645</v>
      </c>
      <c r="C112" s="5" t="s">
        <v>80</v>
      </c>
      <c r="D112" s="5" t="s">
        <v>987</v>
      </c>
      <c r="E112" s="5">
        <f>VLOOKUP($D112,股期名單!$L:$M,2,FALSE)</f>
        <v>2000</v>
      </c>
      <c r="F112" s="5" t="str">
        <f t="shared" si="25"/>
        <v>CKFB1</v>
      </c>
      <c r="G112" s="7">
        <f t="shared" si="27"/>
        <v>-0.4857808857808858</v>
      </c>
      <c r="H112" s="5">
        <f>VLOOKUP($F112,DDE!$A:$AJ,H$1,FALSE)</f>
        <v>-20.84</v>
      </c>
      <c r="I112" s="5">
        <f>VLOOKUP($F112,DDE!$A:$AJ,I$1,FALSE)</f>
        <v>16422.560000000001</v>
      </c>
      <c r="J112" s="5" t="str">
        <f>VLOOKUP($F112,DDE!$A:$AJ,J$1,FALSE)</f>
        <v xml:space="preserve"> -</v>
      </c>
      <c r="K112" s="5" t="str">
        <f>VLOOKUP($F112,DDE!$A:$AJ,K$1,FALSE)</f>
        <v xml:space="preserve"> -</v>
      </c>
      <c r="L112" s="5">
        <f>VLOOKUP($F112,DDE!$A:$AJ,L$1,FALSE)</f>
        <v>4024617</v>
      </c>
      <c r="M112" s="5">
        <f>VLOOKUP($F112,DDE!$A:$AJ,M$1,FALSE)</f>
        <v>16329.54</v>
      </c>
      <c r="N112" s="5">
        <f>VLOOKUP($F112,DDE!$A:$AJ,N$1,FALSE)</f>
        <v>16456.939999999999</v>
      </c>
      <c r="O112" s="5">
        <f>VLOOKUP($F112,DDE!$A:$AJ,O$1,FALSE)</f>
        <v>16329.54</v>
      </c>
      <c r="P112" s="5" t="str">
        <f>VLOOKUP($F112,DDE!$A:$AJ,P$1,FALSE)</f>
        <v xml:space="preserve"> -</v>
      </c>
      <c r="Q112" s="5" t="str">
        <f>VLOOKUP($F112,DDE!$A:$AJ,Q$1,FALSE)</f>
        <v xml:space="preserve"> -</v>
      </c>
      <c r="R112" s="5">
        <f t="shared" si="35"/>
        <v>16443.400000000001</v>
      </c>
      <c r="S112" s="5">
        <f>VLOOKUP(D112,cmoney!$A:$M,12,FALSE)</f>
        <v>42.9</v>
      </c>
      <c r="U112" s="5" t="str">
        <f t="shared" si="28"/>
        <v/>
      </c>
      <c r="V112" s="5" t="str">
        <f t="shared" si="29"/>
        <v>2882</v>
      </c>
      <c r="W112" s="5" t="str">
        <f t="shared" si="30"/>
        <v>國泰金</v>
      </c>
      <c r="X112" s="5" t="str">
        <f t="shared" si="31"/>
        <v>CKF</v>
      </c>
      <c r="Y112" s="49">
        <f>VLOOKUP($X112,股期名單!$L:$M,2,FALSE)</f>
        <v>2000</v>
      </c>
      <c r="Z112" s="5" t="str">
        <f t="shared" si="32"/>
        <v>CKFC1</v>
      </c>
      <c r="AA112" s="7">
        <f t="shared" si="33"/>
        <v>-0.4857808857808858</v>
      </c>
      <c r="AB112" s="5">
        <f>VLOOKUP($F112,DDE!$A:$AJ,AB$1,FALSE)</f>
        <v>-20.84</v>
      </c>
      <c r="AC112" s="5">
        <f>VLOOKUP($F112,DDE!$A:$AJ,AC$1,FALSE)</f>
        <v>16422.560000000001</v>
      </c>
      <c r="AD112" s="5" t="str">
        <f>VLOOKUP($F112,DDE!$A:$AJ,AD$1,FALSE)</f>
        <v xml:space="preserve"> -</v>
      </c>
      <c r="AE112" s="5" t="str">
        <f>VLOOKUP($F112,DDE!$A:$AJ,AE$1,FALSE)</f>
        <v xml:space="preserve"> -</v>
      </c>
      <c r="AF112" s="5">
        <f>VLOOKUP($F112,DDE!$A:$AJ,AF$1,FALSE)</f>
        <v>4024617</v>
      </c>
      <c r="AG112" s="5">
        <f>VLOOKUP($F112,DDE!$A:$AJ,AG$1,FALSE)</f>
        <v>16329.54</v>
      </c>
      <c r="AH112" s="5">
        <f>VLOOKUP($F112,DDE!$A:$AJ,AH$1,FALSE)</f>
        <v>16456.939999999999</v>
      </c>
      <c r="AI112" s="5">
        <f>VLOOKUP($F112,DDE!$A:$AJ,AI$1,FALSE)</f>
        <v>16329.54</v>
      </c>
      <c r="AJ112" s="5" t="str">
        <f>VLOOKUP($F112,DDE!$A:$AJ,AJ$1,FALSE)</f>
        <v xml:space="preserve"> -</v>
      </c>
      <c r="AK112" s="5" t="str">
        <f>VLOOKUP($F112,DDE!$A:$AJ,AK$1,FALSE)</f>
        <v xml:space="preserve"> -</v>
      </c>
      <c r="AL112" s="5">
        <f t="shared" si="34"/>
        <v>16443.400000000001</v>
      </c>
      <c r="AM112" s="5">
        <f>VLOOKUP(X112,cmoney!$A:$M,12,FALSE)</f>
        <v>42.9</v>
      </c>
    </row>
    <row r="113" spans="1:39" x14ac:dyDescent="0.25">
      <c r="A113" s="5" t="str">
        <f t="shared" si="26"/>
        <v/>
      </c>
      <c r="B113" s="5" t="s">
        <v>758</v>
      </c>
      <c r="C113" s="5" t="s">
        <v>419</v>
      </c>
      <c r="D113" s="5" t="s">
        <v>988</v>
      </c>
      <c r="E113" s="5">
        <f>VLOOKUP($D113,股期名單!$L:$M,2,FALSE)</f>
        <v>2000</v>
      </c>
      <c r="F113" s="5" t="str">
        <f t="shared" si="25"/>
        <v>LRFB1</v>
      </c>
      <c r="G113" s="7">
        <f t="shared" si="27"/>
        <v>0.92995689655172431</v>
      </c>
      <c r="H113" s="5">
        <f>VLOOKUP($F113,DDE!$A:$AJ,H$1,FALSE)</f>
        <v>8.6300000000000008</v>
      </c>
      <c r="I113" s="5">
        <f>VLOOKUP($F113,DDE!$A:$AJ,I$1,FALSE)</f>
        <v>13895.21</v>
      </c>
      <c r="J113" s="5" t="str">
        <f>VLOOKUP($F113,DDE!$A:$AJ,J$1,FALSE)</f>
        <v xml:space="preserve"> -</v>
      </c>
      <c r="K113" s="5" t="str">
        <f>VLOOKUP($F113,DDE!$A:$AJ,K$1,FALSE)</f>
        <v xml:space="preserve"> -</v>
      </c>
      <c r="L113" s="5">
        <f>VLOOKUP($F113,DDE!$A:$AJ,L$1,FALSE)</f>
        <v>872940</v>
      </c>
      <c r="M113" s="5">
        <f>VLOOKUP($F113,DDE!$A:$AJ,M$1,FALSE)</f>
        <v>13893.03</v>
      </c>
      <c r="N113" s="5">
        <f>VLOOKUP($F113,DDE!$A:$AJ,N$1,FALSE)</f>
        <v>13945.78</v>
      </c>
      <c r="O113" s="5">
        <f>VLOOKUP($F113,DDE!$A:$AJ,O$1,FALSE)</f>
        <v>13875.82</v>
      </c>
      <c r="P113" s="5" t="str">
        <f>VLOOKUP($F113,DDE!$A:$AJ,P$1,FALSE)</f>
        <v xml:space="preserve"> -</v>
      </c>
      <c r="Q113" s="5" t="str">
        <f>VLOOKUP($F113,DDE!$A:$AJ,Q$1,FALSE)</f>
        <v xml:space="preserve"> -</v>
      </c>
      <c r="R113" s="5">
        <f t="shared" si="35"/>
        <v>13886.58</v>
      </c>
      <c r="S113" s="5">
        <f>VLOOKUP(D113,cmoney!$A:$M,12,FALSE)</f>
        <v>9.2799999999999994</v>
      </c>
      <c r="U113" s="5" t="str">
        <f t="shared" si="28"/>
        <v/>
      </c>
      <c r="V113" s="5" t="str">
        <f t="shared" si="29"/>
        <v>2883</v>
      </c>
      <c r="W113" s="5" t="str">
        <f t="shared" si="30"/>
        <v>開發金</v>
      </c>
      <c r="X113" s="5" t="str">
        <f t="shared" si="31"/>
        <v>LRF</v>
      </c>
      <c r="Y113" s="49">
        <f>VLOOKUP($X113,股期名單!$L:$M,2,FALSE)</f>
        <v>2000</v>
      </c>
      <c r="Z113" s="5" t="str">
        <f t="shared" si="32"/>
        <v>LRFC1</v>
      </c>
      <c r="AA113" s="7">
        <f t="shared" si="33"/>
        <v>0.92995689655172431</v>
      </c>
      <c r="AB113" s="5">
        <f>VLOOKUP($F113,DDE!$A:$AJ,AB$1,FALSE)</f>
        <v>8.6300000000000008</v>
      </c>
      <c r="AC113" s="5">
        <f>VLOOKUP($F113,DDE!$A:$AJ,AC$1,FALSE)</f>
        <v>13895.21</v>
      </c>
      <c r="AD113" s="5" t="str">
        <f>VLOOKUP($F113,DDE!$A:$AJ,AD$1,FALSE)</f>
        <v xml:space="preserve"> -</v>
      </c>
      <c r="AE113" s="5" t="str">
        <f>VLOOKUP($F113,DDE!$A:$AJ,AE$1,FALSE)</f>
        <v xml:space="preserve"> -</v>
      </c>
      <c r="AF113" s="5">
        <f>VLOOKUP($F113,DDE!$A:$AJ,AF$1,FALSE)</f>
        <v>872940</v>
      </c>
      <c r="AG113" s="5">
        <f>VLOOKUP($F113,DDE!$A:$AJ,AG$1,FALSE)</f>
        <v>13893.03</v>
      </c>
      <c r="AH113" s="5">
        <f>VLOOKUP($F113,DDE!$A:$AJ,AH$1,FALSE)</f>
        <v>13945.78</v>
      </c>
      <c r="AI113" s="5">
        <f>VLOOKUP($F113,DDE!$A:$AJ,AI$1,FALSE)</f>
        <v>13875.82</v>
      </c>
      <c r="AJ113" s="5" t="str">
        <f>VLOOKUP($F113,DDE!$A:$AJ,AJ$1,FALSE)</f>
        <v xml:space="preserve"> -</v>
      </c>
      <c r="AK113" s="5" t="str">
        <f>VLOOKUP($F113,DDE!$A:$AJ,AK$1,FALSE)</f>
        <v xml:space="preserve"> -</v>
      </c>
      <c r="AL113" s="5">
        <f t="shared" si="34"/>
        <v>13886.58</v>
      </c>
      <c r="AM113" s="5">
        <f>VLOOKUP(X113,cmoney!$A:$M,12,FALSE)</f>
        <v>9.2799999999999994</v>
      </c>
    </row>
    <row r="114" spans="1:39" x14ac:dyDescent="0.25">
      <c r="A114" s="5" t="str">
        <f t="shared" si="26"/>
        <v/>
      </c>
      <c r="B114" s="5" t="s">
        <v>667</v>
      </c>
      <c r="C114" s="5" t="s">
        <v>146</v>
      </c>
      <c r="D114" s="5" t="s">
        <v>989</v>
      </c>
      <c r="E114" s="5">
        <f>VLOOKUP($D114,股期名單!$L:$M,2,FALSE)</f>
        <v>2000</v>
      </c>
      <c r="F114" s="5" t="str">
        <f t="shared" si="25"/>
        <v>DNFB1</v>
      </c>
      <c r="G114" s="7">
        <f t="shared" si="27"/>
        <v>-0.58528827037773368</v>
      </c>
      <c r="H114" s="5">
        <f>VLOOKUP($F114,DDE!$A:$AJ,H$1,FALSE)</f>
        <v>-14.72</v>
      </c>
      <c r="I114" s="5">
        <f>VLOOKUP($F114,DDE!$A:$AJ,I$1,FALSE)</f>
        <v>16428.68</v>
      </c>
      <c r="J114" s="5" t="str">
        <f>VLOOKUP($F114,DDE!$A:$AJ,J$1,FALSE)</f>
        <v xml:space="preserve"> -</v>
      </c>
      <c r="K114" s="5" t="str">
        <f>VLOOKUP($F114,DDE!$A:$AJ,K$1,FALSE)</f>
        <v xml:space="preserve"> -</v>
      </c>
      <c r="L114" s="5">
        <f>VLOOKUP($F114,DDE!$A:$AJ,L$1,FALSE)</f>
        <v>4022793</v>
      </c>
      <c r="M114" s="5">
        <f>VLOOKUP($F114,DDE!$A:$AJ,M$1,FALSE)</f>
        <v>16329.54</v>
      </c>
      <c r="N114" s="5">
        <f>VLOOKUP($F114,DDE!$A:$AJ,N$1,FALSE)</f>
        <v>16456.939999999999</v>
      </c>
      <c r="O114" s="5">
        <f>VLOOKUP($F114,DDE!$A:$AJ,O$1,FALSE)</f>
        <v>16329.54</v>
      </c>
      <c r="P114" s="5" t="str">
        <f>VLOOKUP($F114,DDE!$A:$AJ,P$1,FALSE)</f>
        <v xml:space="preserve"> -</v>
      </c>
      <c r="Q114" s="5" t="str">
        <f>VLOOKUP($F114,DDE!$A:$AJ,Q$1,FALSE)</f>
        <v xml:space="preserve"> -</v>
      </c>
      <c r="R114" s="5">
        <f t="shared" si="35"/>
        <v>16443.400000000001</v>
      </c>
      <c r="S114" s="5">
        <f>VLOOKUP(D114,cmoney!$A:$M,12,FALSE)</f>
        <v>25.15</v>
      </c>
      <c r="U114" s="5" t="str">
        <f t="shared" si="28"/>
        <v/>
      </c>
      <c r="V114" s="5" t="str">
        <f t="shared" si="29"/>
        <v>2884</v>
      </c>
      <c r="W114" s="5" t="str">
        <f t="shared" si="30"/>
        <v>玉山金</v>
      </c>
      <c r="X114" s="5" t="str">
        <f t="shared" si="31"/>
        <v>DNF</v>
      </c>
      <c r="Y114" s="49">
        <f>VLOOKUP($X114,股期名單!$L:$M,2,FALSE)</f>
        <v>2000</v>
      </c>
      <c r="Z114" s="5" t="str">
        <f t="shared" si="32"/>
        <v>DNFC1</v>
      </c>
      <c r="AA114" s="7">
        <f t="shared" si="33"/>
        <v>-0.58528827037773368</v>
      </c>
      <c r="AB114" s="5">
        <f>VLOOKUP($F114,DDE!$A:$AJ,AB$1,FALSE)</f>
        <v>-14.72</v>
      </c>
      <c r="AC114" s="5">
        <f>VLOOKUP($F114,DDE!$A:$AJ,AC$1,FALSE)</f>
        <v>16428.68</v>
      </c>
      <c r="AD114" s="5" t="str">
        <f>VLOOKUP($F114,DDE!$A:$AJ,AD$1,FALSE)</f>
        <v xml:space="preserve"> -</v>
      </c>
      <c r="AE114" s="5" t="str">
        <f>VLOOKUP($F114,DDE!$A:$AJ,AE$1,FALSE)</f>
        <v xml:space="preserve"> -</v>
      </c>
      <c r="AF114" s="5">
        <f>VLOOKUP($F114,DDE!$A:$AJ,AF$1,FALSE)</f>
        <v>4022793</v>
      </c>
      <c r="AG114" s="5">
        <f>VLOOKUP($F114,DDE!$A:$AJ,AG$1,FALSE)</f>
        <v>16329.54</v>
      </c>
      <c r="AH114" s="5">
        <f>VLOOKUP($F114,DDE!$A:$AJ,AH$1,FALSE)</f>
        <v>16456.939999999999</v>
      </c>
      <c r="AI114" s="5">
        <f>VLOOKUP($F114,DDE!$A:$AJ,AI$1,FALSE)</f>
        <v>16329.54</v>
      </c>
      <c r="AJ114" s="5" t="str">
        <f>VLOOKUP($F114,DDE!$A:$AJ,AJ$1,FALSE)</f>
        <v xml:space="preserve"> -</v>
      </c>
      <c r="AK114" s="5" t="str">
        <f>VLOOKUP($F114,DDE!$A:$AJ,AK$1,FALSE)</f>
        <v xml:space="preserve"> -</v>
      </c>
      <c r="AL114" s="5">
        <f t="shared" si="34"/>
        <v>16443.400000000001</v>
      </c>
      <c r="AM114" s="5">
        <f>VLOOKUP(X114,cmoney!$A:$M,12,FALSE)</f>
        <v>25.15</v>
      </c>
    </row>
    <row r="115" spans="1:39" x14ac:dyDescent="0.25">
      <c r="A115" s="5" t="str">
        <f t="shared" si="26"/>
        <v/>
      </c>
      <c r="B115" s="5" t="s">
        <v>668</v>
      </c>
      <c r="C115" s="5" t="s">
        <v>149</v>
      </c>
      <c r="D115" s="5" t="s">
        <v>990</v>
      </c>
      <c r="E115" s="5">
        <f>VLOOKUP($D115,股期名單!$L:$M,2,FALSE)</f>
        <v>2000</v>
      </c>
      <c r="F115" s="5" t="str">
        <f t="shared" si="25"/>
        <v>DOFB1</v>
      </c>
      <c r="G115" s="7" t="e">
        <f t="shared" si="27"/>
        <v>#VALUE!</v>
      </c>
      <c r="H115" s="5" t="str">
        <f>VLOOKUP($F115,DDE!$A:$AJ,H$1,FALSE)</f>
        <v xml:space="preserve"> </v>
      </c>
      <c r="I115" s="5">
        <f>VLOOKUP($F115,DDE!$A:$AJ,I$1,FALSE)</f>
        <v>20878632</v>
      </c>
      <c r="J115" s="5" t="str">
        <f>VLOOKUP($F115,DDE!$A:$AJ,J$1,FALSE)</f>
        <v xml:space="preserve"> -</v>
      </c>
      <c r="K115" s="5" t="str">
        <f>VLOOKUP($F115,DDE!$A:$AJ,K$1,FALSE)</f>
        <v xml:space="preserve"> -</v>
      </c>
      <c r="L115" s="5">
        <f>VLOOKUP($F115,DDE!$A:$AJ,L$1,FALSE)</f>
        <v>2088371110</v>
      </c>
      <c r="M115" s="5">
        <f>VLOOKUP($F115,DDE!$A:$AJ,M$1,FALSE)</f>
        <v>20803788</v>
      </c>
      <c r="N115" s="5">
        <f>VLOOKUP($F115,DDE!$A:$AJ,N$1,FALSE)</f>
        <v>20804690</v>
      </c>
      <c r="O115" s="5">
        <f>VLOOKUP($F115,DDE!$A:$AJ,O$1,FALSE)</f>
        <v>10989732</v>
      </c>
      <c r="P115" s="5" t="str">
        <f>VLOOKUP($F115,DDE!$A:$AJ,P$1,FALSE)</f>
        <v xml:space="preserve"> -</v>
      </c>
      <c r="Q115" s="5" t="str">
        <f>VLOOKUP($F115,DDE!$A:$AJ,Q$1,FALSE)</f>
        <v xml:space="preserve"> -</v>
      </c>
      <c r="R115" s="5" t="e">
        <f t="shared" si="35"/>
        <v>#VALUE!</v>
      </c>
      <c r="S115" s="5">
        <f>VLOOKUP(D115,cmoney!$A:$M,12,FALSE)</f>
        <v>21.7</v>
      </c>
      <c r="U115" s="5" t="str">
        <f t="shared" si="28"/>
        <v/>
      </c>
      <c r="V115" s="5" t="str">
        <f t="shared" si="29"/>
        <v>2885</v>
      </c>
      <c r="W115" s="5" t="str">
        <f t="shared" si="30"/>
        <v>元大金</v>
      </c>
      <c r="X115" s="5" t="str">
        <f t="shared" si="31"/>
        <v>DOF</v>
      </c>
      <c r="Y115" s="49">
        <f>VLOOKUP($X115,股期名單!$L:$M,2,FALSE)</f>
        <v>2000</v>
      </c>
      <c r="Z115" s="5" t="str">
        <f t="shared" si="32"/>
        <v>DOFC1</v>
      </c>
      <c r="AA115" s="7" t="e">
        <f t="shared" si="33"/>
        <v>#VALUE!</v>
      </c>
      <c r="AB115" s="5" t="str">
        <f>VLOOKUP($F115,DDE!$A:$AJ,AB$1,FALSE)</f>
        <v xml:space="preserve"> </v>
      </c>
      <c r="AC115" s="5">
        <f>VLOOKUP($F115,DDE!$A:$AJ,AC$1,FALSE)</f>
        <v>20878632</v>
      </c>
      <c r="AD115" s="5" t="str">
        <f>VLOOKUP($F115,DDE!$A:$AJ,AD$1,FALSE)</f>
        <v xml:space="preserve"> -</v>
      </c>
      <c r="AE115" s="5" t="str">
        <f>VLOOKUP($F115,DDE!$A:$AJ,AE$1,FALSE)</f>
        <v xml:space="preserve"> -</v>
      </c>
      <c r="AF115" s="5">
        <f>VLOOKUP($F115,DDE!$A:$AJ,AF$1,FALSE)</f>
        <v>2088371110</v>
      </c>
      <c r="AG115" s="5">
        <f>VLOOKUP($F115,DDE!$A:$AJ,AG$1,FALSE)</f>
        <v>20803788</v>
      </c>
      <c r="AH115" s="5">
        <f>VLOOKUP($F115,DDE!$A:$AJ,AH$1,FALSE)</f>
        <v>20804690</v>
      </c>
      <c r="AI115" s="5">
        <f>VLOOKUP($F115,DDE!$A:$AJ,AI$1,FALSE)</f>
        <v>10989732</v>
      </c>
      <c r="AJ115" s="5" t="str">
        <f>VLOOKUP($F115,DDE!$A:$AJ,AJ$1,FALSE)</f>
        <v xml:space="preserve"> -</v>
      </c>
      <c r="AK115" s="5" t="str">
        <f>VLOOKUP($F115,DDE!$A:$AJ,AK$1,FALSE)</f>
        <v xml:space="preserve"> -</v>
      </c>
      <c r="AL115" s="5" t="e">
        <f t="shared" si="34"/>
        <v>#VALUE!</v>
      </c>
      <c r="AM115" s="5">
        <f>VLOOKUP(X115,cmoney!$A:$M,12,FALSE)</f>
        <v>21.7</v>
      </c>
    </row>
    <row r="116" spans="1:39" x14ac:dyDescent="0.25">
      <c r="A116" s="5" t="str">
        <f t="shared" si="26"/>
        <v/>
      </c>
      <c r="B116" s="5" t="s">
        <v>646</v>
      </c>
      <c r="C116" s="5" t="s">
        <v>83</v>
      </c>
      <c r="D116" s="5" t="s">
        <v>991</v>
      </c>
      <c r="E116" s="5">
        <f>VLOOKUP($D116,股期名單!$L:$M,2,FALSE)</f>
        <v>2000</v>
      </c>
      <c r="F116" s="5" t="str">
        <f t="shared" si="25"/>
        <v>CLFB1</v>
      </c>
      <c r="G116" s="7">
        <f t="shared" si="27"/>
        <v>-0.48730964467005078</v>
      </c>
      <c r="H116" s="5">
        <f>VLOOKUP($F116,DDE!$A:$AJ,H$1,FALSE)</f>
        <v>-14.4</v>
      </c>
      <c r="I116" s="5">
        <f>VLOOKUP($F116,DDE!$A:$AJ,I$1,FALSE)</f>
        <v>16429</v>
      </c>
      <c r="J116" s="5" t="str">
        <f>VLOOKUP($F116,DDE!$A:$AJ,J$1,FALSE)</f>
        <v xml:space="preserve"> -</v>
      </c>
      <c r="K116" s="5" t="str">
        <f>VLOOKUP($F116,DDE!$A:$AJ,K$1,FALSE)</f>
        <v xml:space="preserve"> -</v>
      </c>
      <c r="L116" s="5">
        <f>VLOOKUP($F116,DDE!$A:$AJ,L$1,FALSE)</f>
        <v>4015112</v>
      </c>
      <c r="M116" s="5">
        <f>VLOOKUP($F116,DDE!$A:$AJ,M$1,FALSE)</f>
        <v>16329.54</v>
      </c>
      <c r="N116" s="5">
        <f>VLOOKUP($F116,DDE!$A:$AJ,N$1,FALSE)</f>
        <v>16456.939999999999</v>
      </c>
      <c r="O116" s="5">
        <f>VLOOKUP($F116,DDE!$A:$AJ,O$1,FALSE)</f>
        <v>16329.54</v>
      </c>
      <c r="P116" s="5" t="str">
        <f>VLOOKUP($F116,DDE!$A:$AJ,P$1,FALSE)</f>
        <v xml:space="preserve"> -</v>
      </c>
      <c r="Q116" s="5" t="str">
        <f>VLOOKUP($F116,DDE!$A:$AJ,Q$1,FALSE)</f>
        <v xml:space="preserve"> -</v>
      </c>
      <c r="R116" s="5">
        <f t="shared" si="35"/>
        <v>16443.400000000001</v>
      </c>
      <c r="S116" s="5">
        <f>VLOOKUP(D116,cmoney!$A:$M,12,FALSE)</f>
        <v>29.55</v>
      </c>
      <c r="U116" s="5" t="str">
        <f t="shared" si="28"/>
        <v/>
      </c>
      <c r="V116" s="5" t="str">
        <f t="shared" si="29"/>
        <v>2886</v>
      </c>
      <c r="W116" s="5" t="str">
        <f t="shared" si="30"/>
        <v>兆豐金</v>
      </c>
      <c r="X116" s="5" t="str">
        <f t="shared" si="31"/>
        <v>CLF</v>
      </c>
      <c r="Y116" s="49">
        <f>VLOOKUP($X116,股期名單!$L:$M,2,FALSE)</f>
        <v>2000</v>
      </c>
      <c r="Z116" s="5" t="str">
        <f t="shared" si="32"/>
        <v>CLFC1</v>
      </c>
      <c r="AA116" s="7">
        <f t="shared" si="33"/>
        <v>-0.48730964467005078</v>
      </c>
      <c r="AB116" s="5">
        <f>VLOOKUP($F116,DDE!$A:$AJ,AB$1,FALSE)</f>
        <v>-14.4</v>
      </c>
      <c r="AC116" s="5">
        <f>VLOOKUP($F116,DDE!$A:$AJ,AC$1,FALSE)</f>
        <v>16429</v>
      </c>
      <c r="AD116" s="5" t="str">
        <f>VLOOKUP($F116,DDE!$A:$AJ,AD$1,FALSE)</f>
        <v xml:space="preserve"> -</v>
      </c>
      <c r="AE116" s="5" t="str">
        <f>VLOOKUP($F116,DDE!$A:$AJ,AE$1,FALSE)</f>
        <v xml:space="preserve"> -</v>
      </c>
      <c r="AF116" s="5">
        <f>VLOOKUP($F116,DDE!$A:$AJ,AF$1,FALSE)</f>
        <v>4015112</v>
      </c>
      <c r="AG116" s="5">
        <f>VLOOKUP($F116,DDE!$A:$AJ,AG$1,FALSE)</f>
        <v>16329.54</v>
      </c>
      <c r="AH116" s="5">
        <f>VLOOKUP($F116,DDE!$A:$AJ,AH$1,FALSE)</f>
        <v>16456.939999999999</v>
      </c>
      <c r="AI116" s="5">
        <f>VLOOKUP($F116,DDE!$A:$AJ,AI$1,FALSE)</f>
        <v>16329.54</v>
      </c>
      <c r="AJ116" s="5" t="str">
        <f>VLOOKUP($F116,DDE!$A:$AJ,AJ$1,FALSE)</f>
        <v xml:space="preserve"> -</v>
      </c>
      <c r="AK116" s="5" t="str">
        <f>VLOOKUP($F116,DDE!$A:$AJ,AK$1,FALSE)</f>
        <v xml:space="preserve"> -</v>
      </c>
      <c r="AL116" s="5">
        <f t="shared" si="34"/>
        <v>16443.400000000001</v>
      </c>
      <c r="AM116" s="5">
        <f>VLOOKUP(X116,cmoney!$A:$M,12,FALSE)</f>
        <v>29.55</v>
      </c>
    </row>
    <row r="117" spans="1:39" x14ac:dyDescent="0.25">
      <c r="A117" s="5" t="str">
        <f t="shared" si="26"/>
        <v/>
      </c>
      <c r="B117" s="5" t="s">
        <v>647</v>
      </c>
      <c r="C117" s="5" t="s">
        <v>86</v>
      </c>
      <c r="D117" s="5" t="s">
        <v>992</v>
      </c>
      <c r="E117" s="5">
        <f>VLOOKUP($D117,股期名單!$L:$M,2,FALSE)</f>
        <v>2000</v>
      </c>
      <c r="F117" s="5" t="str">
        <f t="shared" si="25"/>
        <v>CMFB1</v>
      </c>
      <c r="G117" s="7">
        <f t="shared" si="27"/>
        <v>-1.1076923076923078</v>
      </c>
      <c r="H117" s="5">
        <f>VLOOKUP($F117,DDE!$A:$AJ,H$1,FALSE)</f>
        <v>-14.4</v>
      </c>
      <c r="I117" s="5">
        <f>VLOOKUP($F117,DDE!$A:$AJ,I$1,FALSE)</f>
        <v>16429</v>
      </c>
      <c r="J117" s="5" t="str">
        <f>VLOOKUP($F117,DDE!$A:$AJ,J$1,FALSE)</f>
        <v xml:space="preserve"> -</v>
      </c>
      <c r="K117" s="5" t="str">
        <f>VLOOKUP($F117,DDE!$A:$AJ,K$1,FALSE)</f>
        <v xml:space="preserve"> -</v>
      </c>
      <c r="L117" s="5">
        <f>VLOOKUP($F117,DDE!$A:$AJ,L$1,FALSE)</f>
        <v>4015112</v>
      </c>
      <c r="M117" s="5">
        <f>VLOOKUP($F117,DDE!$A:$AJ,M$1,FALSE)</f>
        <v>16329.54</v>
      </c>
      <c r="N117" s="5">
        <f>VLOOKUP($F117,DDE!$A:$AJ,N$1,FALSE)</f>
        <v>16456.939999999999</v>
      </c>
      <c r="O117" s="5">
        <f>VLOOKUP($F117,DDE!$A:$AJ,O$1,FALSE)</f>
        <v>16329.54</v>
      </c>
      <c r="P117" s="5" t="str">
        <f>VLOOKUP($F117,DDE!$A:$AJ,P$1,FALSE)</f>
        <v xml:space="preserve"> -</v>
      </c>
      <c r="Q117" s="5" t="str">
        <f>VLOOKUP($F117,DDE!$A:$AJ,Q$1,FALSE)</f>
        <v xml:space="preserve"> -</v>
      </c>
      <c r="R117" s="5">
        <f t="shared" si="35"/>
        <v>16443.400000000001</v>
      </c>
      <c r="S117" s="5">
        <f>VLOOKUP(D117,cmoney!$A:$M,12,FALSE)</f>
        <v>13</v>
      </c>
      <c r="U117" s="5" t="str">
        <f t="shared" si="28"/>
        <v/>
      </c>
      <c r="V117" s="5" t="str">
        <f t="shared" si="29"/>
        <v>2887</v>
      </c>
      <c r="W117" s="5" t="str">
        <f t="shared" si="30"/>
        <v>台新金</v>
      </c>
      <c r="X117" s="5" t="str">
        <f t="shared" si="31"/>
        <v>CMF</v>
      </c>
      <c r="Y117" s="49">
        <f>VLOOKUP($X117,股期名單!$L:$M,2,FALSE)</f>
        <v>2000</v>
      </c>
      <c r="Z117" s="5" t="str">
        <f t="shared" si="32"/>
        <v>CMFC1</v>
      </c>
      <c r="AA117" s="7">
        <f t="shared" si="33"/>
        <v>-1.1076923076923078</v>
      </c>
      <c r="AB117" s="5">
        <f>VLOOKUP($F117,DDE!$A:$AJ,AB$1,FALSE)</f>
        <v>-14.4</v>
      </c>
      <c r="AC117" s="5">
        <f>VLOOKUP($F117,DDE!$A:$AJ,AC$1,FALSE)</f>
        <v>16429</v>
      </c>
      <c r="AD117" s="5" t="str">
        <f>VLOOKUP($F117,DDE!$A:$AJ,AD$1,FALSE)</f>
        <v xml:space="preserve"> -</v>
      </c>
      <c r="AE117" s="5" t="str">
        <f>VLOOKUP($F117,DDE!$A:$AJ,AE$1,FALSE)</f>
        <v xml:space="preserve"> -</v>
      </c>
      <c r="AF117" s="5">
        <f>VLOOKUP($F117,DDE!$A:$AJ,AF$1,FALSE)</f>
        <v>4015112</v>
      </c>
      <c r="AG117" s="5">
        <f>VLOOKUP($F117,DDE!$A:$AJ,AG$1,FALSE)</f>
        <v>16329.54</v>
      </c>
      <c r="AH117" s="5">
        <f>VLOOKUP($F117,DDE!$A:$AJ,AH$1,FALSE)</f>
        <v>16456.939999999999</v>
      </c>
      <c r="AI117" s="5">
        <f>VLOOKUP($F117,DDE!$A:$AJ,AI$1,FALSE)</f>
        <v>16329.54</v>
      </c>
      <c r="AJ117" s="5" t="str">
        <f>VLOOKUP($F117,DDE!$A:$AJ,AJ$1,FALSE)</f>
        <v xml:space="preserve"> -</v>
      </c>
      <c r="AK117" s="5" t="str">
        <f>VLOOKUP($F117,DDE!$A:$AJ,AK$1,FALSE)</f>
        <v xml:space="preserve"> -</v>
      </c>
      <c r="AL117" s="5">
        <f t="shared" si="34"/>
        <v>16443.400000000001</v>
      </c>
      <c r="AM117" s="5">
        <f>VLOOKUP(X117,cmoney!$A:$M,12,FALSE)</f>
        <v>13</v>
      </c>
    </row>
    <row r="118" spans="1:39" x14ac:dyDescent="0.25">
      <c r="A118" s="5" t="str">
        <f t="shared" si="26"/>
        <v/>
      </c>
      <c r="B118" s="5" t="s">
        <v>658</v>
      </c>
      <c r="C118" s="5" t="s">
        <v>119</v>
      </c>
      <c r="D118" s="5" t="s">
        <v>993</v>
      </c>
      <c r="E118" s="5">
        <f>VLOOKUP($D118,股期名單!$L:$M,2,FALSE)</f>
        <v>2000</v>
      </c>
      <c r="F118" s="5" t="str">
        <f t="shared" si="25"/>
        <v>DDFB1</v>
      </c>
      <c r="G118" s="7">
        <f t="shared" si="27"/>
        <v>-2.2413381123058547</v>
      </c>
      <c r="H118" s="5">
        <f>VLOOKUP($F118,DDE!$A:$AJ,H$1,FALSE)</f>
        <v>-18.760000000000002</v>
      </c>
      <c r="I118" s="5">
        <f>VLOOKUP($F118,DDE!$A:$AJ,I$1,FALSE)</f>
        <v>16424.64</v>
      </c>
      <c r="J118" s="5" t="str">
        <f>VLOOKUP($F118,DDE!$A:$AJ,J$1,FALSE)</f>
        <v xml:space="preserve"> -</v>
      </c>
      <c r="K118" s="5" t="str">
        <f>VLOOKUP($F118,DDE!$A:$AJ,K$1,FALSE)</f>
        <v xml:space="preserve"> -</v>
      </c>
      <c r="L118" s="5">
        <f>VLOOKUP($F118,DDE!$A:$AJ,L$1,FALSE)</f>
        <v>4020107</v>
      </c>
      <c r="M118" s="5">
        <f>VLOOKUP($F118,DDE!$A:$AJ,M$1,FALSE)</f>
        <v>16329.54</v>
      </c>
      <c r="N118" s="5">
        <f>VLOOKUP($F118,DDE!$A:$AJ,N$1,FALSE)</f>
        <v>16456.939999999999</v>
      </c>
      <c r="O118" s="5">
        <f>VLOOKUP($F118,DDE!$A:$AJ,O$1,FALSE)</f>
        <v>16329.54</v>
      </c>
      <c r="P118" s="5" t="str">
        <f>VLOOKUP($F118,DDE!$A:$AJ,P$1,FALSE)</f>
        <v xml:space="preserve"> -</v>
      </c>
      <c r="Q118" s="5" t="str">
        <f>VLOOKUP($F118,DDE!$A:$AJ,Q$1,FALSE)</f>
        <v xml:space="preserve"> -</v>
      </c>
      <c r="R118" s="5">
        <f t="shared" si="35"/>
        <v>16443.399999999998</v>
      </c>
      <c r="S118" s="5">
        <f>VLOOKUP(D118,cmoney!$A:$M,12,FALSE)</f>
        <v>8.3699999999999992</v>
      </c>
      <c r="U118" s="5" t="str">
        <f t="shared" si="28"/>
        <v/>
      </c>
      <c r="V118" s="5" t="str">
        <f t="shared" si="29"/>
        <v>2888</v>
      </c>
      <c r="W118" s="5" t="str">
        <f t="shared" si="30"/>
        <v>新光金</v>
      </c>
      <c r="X118" s="5" t="str">
        <f t="shared" si="31"/>
        <v>DDF</v>
      </c>
      <c r="Y118" s="49">
        <f>VLOOKUP($X118,股期名單!$L:$M,2,FALSE)</f>
        <v>2000</v>
      </c>
      <c r="Z118" s="5" t="str">
        <f t="shared" si="32"/>
        <v>DDFC1</v>
      </c>
      <c r="AA118" s="7">
        <f t="shared" si="33"/>
        <v>-2.2413381123058547</v>
      </c>
      <c r="AB118" s="5">
        <f>VLOOKUP($F118,DDE!$A:$AJ,AB$1,FALSE)</f>
        <v>-18.760000000000002</v>
      </c>
      <c r="AC118" s="5">
        <f>VLOOKUP($F118,DDE!$A:$AJ,AC$1,FALSE)</f>
        <v>16424.64</v>
      </c>
      <c r="AD118" s="5" t="str">
        <f>VLOOKUP($F118,DDE!$A:$AJ,AD$1,FALSE)</f>
        <v xml:space="preserve"> -</v>
      </c>
      <c r="AE118" s="5" t="str">
        <f>VLOOKUP($F118,DDE!$A:$AJ,AE$1,FALSE)</f>
        <v xml:space="preserve"> -</v>
      </c>
      <c r="AF118" s="5">
        <f>VLOOKUP($F118,DDE!$A:$AJ,AF$1,FALSE)</f>
        <v>4020107</v>
      </c>
      <c r="AG118" s="5">
        <f>VLOOKUP($F118,DDE!$A:$AJ,AG$1,FALSE)</f>
        <v>16329.54</v>
      </c>
      <c r="AH118" s="5">
        <f>VLOOKUP($F118,DDE!$A:$AJ,AH$1,FALSE)</f>
        <v>16456.939999999999</v>
      </c>
      <c r="AI118" s="5">
        <f>VLOOKUP($F118,DDE!$A:$AJ,AI$1,FALSE)</f>
        <v>16329.54</v>
      </c>
      <c r="AJ118" s="5" t="str">
        <f>VLOOKUP($F118,DDE!$A:$AJ,AJ$1,FALSE)</f>
        <v xml:space="preserve"> -</v>
      </c>
      <c r="AK118" s="5" t="str">
        <f>VLOOKUP($F118,DDE!$A:$AJ,AK$1,FALSE)</f>
        <v xml:space="preserve"> -</v>
      </c>
      <c r="AL118" s="5">
        <f t="shared" si="34"/>
        <v>16443.399999999998</v>
      </c>
      <c r="AM118" s="5">
        <f>VLOOKUP(X118,cmoney!$A:$M,12,FALSE)</f>
        <v>8.3699999999999992</v>
      </c>
    </row>
    <row r="119" spans="1:39" x14ac:dyDescent="0.25">
      <c r="A119" s="5" t="str">
        <f t="shared" si="26"/>
        <v/>
      </c>
      <c r="B119" s="5" t="s">
        <v>659</v>
      </c>
      <c r="C119" s="5" t="s">
        <v>122</v>
      </c>
      <c r="D119" s="5" t="s">
        <v>994</v>
      </c>
      <c r="E119" s="5">
        <f>VLOOKUP($D119,股期名單!$L:$M,2,FALSE)</f>
        <v>2000</v>
      </c>
      <c r="F119" s="5" t="str">
        <f t="shared" si="25"/>
        <v>DEFB1</v>
      </c>
      <c r="G119" s="7">
        <f t="shared" si="27"/>
        <v>0.71729957805907174</v>
      </c>
      <c r="H119" s="5">
        <f>VLOOKUP($F119,DDE!$A:$AJ,H$1,FALSE)</f>
        <v>8.5</v>
      </c>
      <c r="I119" s="5">
        <f>VLOOKUP($F119,DDE!$A:$AJ,I$1,FALSE)</f>
        <v>13895.08</v>
      </c>
      <c r="J119" s="5" t="str">
        <f>VLOOKUP($F119,DDE!$A:$AJ,J$1,FALSE)</f>
        <v xml:space="preserve"> -</v>
      </c>
      <c r="K119" s="5" t="str">
        <f>VLOOKUP($F119,DDE!$A:$AJ,K$1,FALSE)</f>
        <v xml:space="preserve"> -</v>
      </c>
      <c r="L119" s="5">
        <f>VLOOKUP($F119,DDE!$A:$AJ,L$1,FALSE)</f>
        <v>871174</v>
      </c>
      <c r="M119" s="5">
        <f>VLOOKUP($F119,DDE!$A:$AJ,M$1,FALSE)</f>
        <v>13893.03</v>
      </c>
      <c r="N119" s="5">
        <f>VLOOKUP($F119,DDE!$A:$AJ,N$1,FALSE)</f>
        <v>13945.78</v>
      </c>
      <c r="O119" s="5">
        <f>VLOOKUP($F119,DDE!$A:$AJ,O$1,FALSE)</f>
        <v>13875.82</v>
      </c>
      <c r="P119" s="5" t="str">
        <f>VLOOKUP($F119,DDE!$A:$AJ,P$1,FALSE)</f>
        <v xml:space="preserve"> -</v>
      </c>
      <c r="Q119" s="5" t="str">
        <f>VLOOKUP($F119,DDE!$A:$AJ,Q$1,FALSE)</f>
        <v xml:space="preserve"> -</v>
      </c>
      <c r="R119" s="5">
        <f t="shared" si="35"/>
        <v>13886.58</v>
      </c>
      <c r="S119" s="5">
        <f>VLOOKUP(D119,cmoney!$A:$M,12,FALSE)</f>
        <v>11.85</v>
      </c>
      <c r="U119" s="5" t="str">
        <f t="shared" si="28"/>
        <v/>
      </c>
      <c r="V119" s="5" t="str">
        <f t="shared" si="29"/>
        <v>2890</v>
      </c>
      <c r="W119" s="5" t="str">
        <f t="shared" si="30"/>
        <v>永豐金</v>
      </c>
      <c r="X119" s="5" t="str">
        <f t="shared" si="31"/>
        <v>DEF</v>
      </c>
      <c r="Y119" s="49">
        <f>VLOOKUP($X119,股期名單!$L:$M,2,FALSE)</f>
        <v>2000</v>
      </c>
      <c r="Z119" s="5" t="str">
        <f t="shared" si="32"/>
        <v>DEFC1</v>
      </c>
      <c r="AA119" s="7">
        <f t="shared" si="33"/>
        <v>0.71729957805907174</v>
      </c>
      <c r="AB119" s="5">
        <f>VLOOKUP($F119,DDE!$A:$AJ,AB$1,FALSE)</f>
        <v>8.5</v>
      </c>
      <c r="AC119" s="5">
        <f>VLOOKUP($F119,DDE!$A:$AJ,AC$1,FALSE)</f>
        <v>13895.08</v>
      </c>
      <c r="AD119" s="5" t="str">
        <f>VLOOKUP($F119,DDE!$A:$AJ,AD$1,FALSE)</f>
        <v xml:space="preserve"> -</v>
      </c>
      <c r="AE119" s="5" t="str">
        <f>VLOOKUP($F119,DDE!$A:$AJ,AE$1,FALSE)</f>
        <v xml:space="preserve"> -</v>
      </c>
      <c r="AF119" s="5">
        <f>VLOOKUP($F119,DDE!$A:$AJ,AF$1,FALSE)</f>
        <v>871174</v>
      </c>
      <c r="AG119" s="5">
        <f>VLOOKUP($F119,DDE!$A:$AJ,AG$1,FALSE)</f>
        <v>13893.03</v>
      </c>
      <c r="AH119" s="5">
        <f>VLOOKUP($F119,DDE!$A:$AJ,AH$1,FALSE)</f>
        <v>13945.78</v>
      </c>
      <c r="AI119" s="5">
        <f>VLOOKUP($F119,DDE!$A:$AJ,AI$1,FALSE)</f>
        <v>13875.82</v>
      </c>
      <c r="AJ119" s="5" t="str">
        <f>VLOOKUP($F119,DDE!$A:$AJ,AJ$1,FALSE)</f>
        <v xml:space="preserve"> -</v>
      </c>
      <c r="AK119" s="5" t="str">
        <f>VLOOKUP($F119,DDE!$A:$AJ,AK$1,FALSE)</f>
        <v xml:space="preserve"> -</v>
      </c>
      <c r="AL119" s="5">
        <f t="shared" si="34"/>
        <v>13886.58</v>
      </c>
      <c r="AM119" s="5">
        <f>VLOOKUP(X119,cmoney!$A:$M,12,FALSE)</f>
        <v>11.85</v>
      </c>
    </row>
    <row r="120" spans="1:39" x14ac:dyDescent="0.25">
      <c r="A120" s="5" t="str">
        <f t="shared" si="26"/>
        <v/>
      </c>
      <c r="B120" s="5" t="s">
        <v>648</v>
      </c>
      <c r="C120" s="5" t="s">
        <v>89</v>
      </c>
      <c r="D120" s="5" t="s">
        <v>995</v>
      </c>
      <c r="E120" s="5">
        <f>VLOOKUP($D120,股期名單!$L:$M,2,FALSE)</f>
        <v>2000</v>
      </c>
      <c r="F120" s="5" t="str">
        <f t="shared" si="25"/>
        <v>CNFB1</v>
      </c>
      <c r="G120" s="7">
        <f t="shared" si="27"/>
        <v>-0.716301703163017</v>
      </c>
      <c r="H120" s="5">
        <f>VLOOKUP($F120,DDE!$A:$AJ,H$1,FALSE)</f>
        <v>-14.72</v>
      </c>
      <c r="I120" s="5">
        <f>VLOOKUP($F120,DDE!$A:$AJ,I$1,FALSE)</f>
        <v>16428.68</v>
      </c>
      <c r="J120" s="5" t="str">
        <f>VLOOKUP($F120,DDE!$A:$AJ,J$1,FALSE)</f>
        <v xml:space="preserve"> -</v>
      </c>
      <c r="K120" s="5" t="str">
        <f>VLOOKUP($F120,DDE!$A:$AJ,K$1,FALSE)</f>
        <v xml:space="preserve"> -</v>
      </c>
      <c r="L120" s="5">
        <f>VLOOKUP($F120,DDE!$A:$AJ,L$1,FALSE)</f>
        <v>4022793</v>
      </c>
      <c r="M120" s="5">
        <f>VLOOKUP($F120,DDE!$A:$AJ,M$1,FALSE)</f>
        <v>16329.54</v>
      </c>
      <c r="N120" s="5">
        <f>VLOOKUP($F120,DDE!$A:$AJ,N$1,FALSE)</f>
        <v>16456.939999999999</v>
      </c>
      <c r="O120" s="5">
        <f>VLOOKUP($F120,DDE!$A:$AJ,O$1,FALSE)</f>
        <v>16329.54</v>
      </c>
      <c r="P120" s="5" t="str">
        <f>VLOOKUP($F120,DDE!$A:$AJ,P$1,FALSE)</f>
        <v xml:space="preserve"> -</v>
      </c>
      <c r="Q120" s="5" t="str">
        <f>VLOOKUP($F120,DDE!$A:$AJ,Q$1,FALSE)</f>
        <v xml:space="preserve"> -</v>
      </c>
      <c r="R120" s="5">
        <f t="shared" si="35"/>
        <v>16443.400000000001</v>
      </c>
      <c r="S120" s="5">
        <f>VLOOKUP(D120,cmoney!$A:$M,12,FALSE)</f>
        <v>20.55</v>
      </c>
      <c r="U120" s="5" t="str">
        <f t="shared" si="28"/>
        <v/>
      </c>
      <c r="V120" s="5" t="str">
        <f t="shared" si="29"/>
        <v>2891</v>
      </c>
      <c r="W120" s="5" t="str">
        <f t="shared" si="30"/>
        <v>中信金</v>
      </c>
      <c r="X120" s="5" t="str">
        <f t="shared" si="31"/>
        <v>CNF</v>
      </c>
      <c r="Y120" s="49">
        <f>VLOOKUP($X120,股期名單!$L:$M,2,FALSE)</f>
        <v>2000</v>
      </c>
      <c r="Z120" s="5" t="str">
        <f t="shared" si="32"/>
        <v>CNFC1</v>
      </c>
      <c r="AA120" s="7">
        <f t="shared" si="33"/>
        <v>-0.716301703163017</v>
      </c>
      <c r="AB120" s="5">
        <f>VLOOKUP($F120,DDE!$A:$AJ,AB$1,FALSE)</f>
        <v>-14.72</v>
      </c>
      <c r="AC120" s="5">
        <f>VLOOKUP($F120,DDE!$A:$AJ,AC$1,FALSE)</f>
        <v>16428.68</v>
      </c>
      <c r="AD120" s="5" t="str">
        <f>VLOOKUP($F120,DDE!$A:$AJ,AD$1,FALSE)</f>
        <v xml:space="preserve"> -</v>
      </c>
      <c r="AE120" s="5" t="str">
        <f>VLOOKUP($F120,DDE!$A:$AJ,AE$1,FALSE)</f>
        <v xml:space="preserve"> -</v>
      </c>
      <c r="AF120" s="5">
        <f>VLOOKUP($F120,DDE!$A:$AJ,AF$1,FALSE)</f>
        <v>4022793</v>
      </c>
      <c r="AG120" s="5">
        <f>VLOOKUP($F120,DDE!$A:$AJ,AG$1,FALSE)</f>
        <v>16329.54</v>
      </c>
      <c r="AH120" s="5">
        <f>VLOOKUP($F120,DDE!$A:$AJ,AH$1,FALSE)</f>
        <v>16456.939999999999</v>
      </c>
      <c r="AI120" s="5">
        <f>VLOOKUP($F120,DDE!$A:$AJ,AI$1,FALSE)</f>
        <v>16329.54</v>
      </c>
      <c r="AJ120" s="5" t="str">
        <f>VLOOKUP($F120,DDE!$A:$AJ,AJ$1,FALSE)</f>
        <v xml:space="preserve"> -</v>
      </c>
      <c r="AK120" s="5" t="str">
        <f>VLOOKUP($F120,DDE!$A:$AJ,AK$1,FALSE)</f>
        <v xml:space="preserve"> -</v>
      </c>
      <c r="AL120" s="5">
        <f t="shared" si="34"/>
        <v>16443.400000000001</v>
      </c>
      <c r="AM120" s="5">
        <f>VLOOKUP(X120,cmoney!$A:$M,12,FALSE)</f>
        <v>20.55</v>
      </c>
    </row>
    <row r="121" spans="1:39" x14ac:dyDescent="0.25">
      <c r="A121" s="5" t="str">
        <f t="shared" si="26"/>
        <v/>
      </c>
      <c r="B121" s="5" t="s">
        <v>669</v>
      </c>
      <c r="C121" s="5" t="s">
        <v>152</v>
      </c>
      <c r="D121" s="5" t="s">
        <v>996</v>
      </c>
      <c r="E121" s="5">
        <f>VLOOKUP($D121,股期名單!$L:$M,2,FALSE)</f>
        <v>2000</v>
      </c>
      <c r="F121" s="5" t="str">
        <f t="shared" si="25"/>
        <v>DPFB1</v>
      </c>
      <c r="G121" s="7">
        <f t="shared" si="27"/>
        <v>-0.69763033175355449</v>
      </c>
      <c r="H121" s="5">
        <f>VLOOKUP($F121,DDE!$A:$AJ,H$1,FALSE)</f>
        <v>-14.72</v>
      </c>
      <c r="I121" s="5">
        <f>VLOOKUP($F121,DDE!$A:$AJ,I$1,FALSE)</f>
        <v>16428.68</v>
      </c>
      <c r="J121" s="5" t="str">
        <f>VLOOKUP($F121,DDE!$A:$AJ,J$1,FALSE)</f>
        <v xml:space="preserve"> -</v>
      </c>
      <c r="K121" s="5" t="str">
        <f>VLOOKUP($F121,DDE!$A:$AJ,K$1,FALSE)</f>
        <v xml:space="preserve"> -</v>
      </c>
      <c r="L121" s="5">
        <f>VLOOKUP($F121,DDE!$A:$AJ,L$1,FALSE)</f>
        <v>4022793</v>
      </c>
      <c r="M121" s="5">
        <f>VLOOKUP($F121,DDE!$A:$AJ,M$1,FALSE)</f>
        <v>16329.54</v>
      </c>
      <c r="N121" s="5">
        <f>VLOOKUP($F121,DDE!$A:$AJ,N$1,FALSE)</f>
        <v>16456.939999999999</v>
      </c>
      <c r="O121" s="5">
        <f>VLOOKUP($F121,DDE!$A:$AJ,O$1,FALSE)</f>
        <v>16329.54</v>
      </c>
      <c r="P121" s="5" t="str">
        <f>VLOOKUP($F121,DDE!$A:$AJ,P$1,FALSE)</f>
        <v xml:space="preserve"> -</v>
      </c>
      <c r="Q121" s="5" t="str">
        <f>VLOOKUP($F121,DDE!$A:$AJ,Q$1,FALSE)</f>
        <v xml:space="preserve"> -</v>
      </c>
      <c r="R121" s="5">
        <f t="shared" si="35"/>
        <v>16443.400000000001</v>
      </c>
      <c r="S121" s="5">
        <f>VLOOKUP(D121,cmoney!$A:$M,12,FALSE)</f>
        <v>21.1</v>
      </c>
      <c r="U121" s="5" t="str">
        <f t="shared" si="28"/>
        <v/>
      </c>
      <c r="V121" s="5" t="str">
        <f t="shared" si="29"/>
        <v>2892</v>
      </c>
      <c r="W121" s="5" t="str">
        <f t="shared" si="30"/>
        <v>第一金</v>
      </c>
      <c r="X121" s="5" t="str">
        <f t="shared" si="31"/>
        <v>DPF</v>
      </c>
      <c r="Y121" s="49">
        <f>VLOOKUP($X121,股期名單!$L:$M,2,FALSE)</f>
        <v>2000</v>
      </c>
      <c r="Z121" s="5" t="str">
        <f t="shared" si="32"/>
        <v>DPFC1</v>
      </c>
      <c r="AA121" s="7">
        <f t="shared" si="33"/>
        <v>-0.69763033175355449</v>
      </c>
      <c r="AB121" s="5">
        <f>VLOOKUP($F121,DDE!$A:$AJ,AB$1,FALSE)</f>
        <v>-14.72</v>
      </c>
      <c r="AC121" s="5">
        <f>VLOOKUP($F121,DDE!$A:$AJ,AC$1,FALSE)</f>
        <v>16428.68</v>
      </c>
      <c r="AD121" s="5" t="str">
        <f>VLOOKUP($F121,DDE!$A:$AJ,AD$1,FALSE)</f>
        <v xml:space="preserve"> -</v>
      </c>
      <c r="AE121" s="5" t="str">
        <f>VLOOKUP($F121,DDE!$A:$AJ,AE$1,FALSE)</f>
        <v xml:space="preserve"> -</v>
      </c>
      <c r="AF121" s="5">
        <f>VLOOKUP($F121,DDE!$A:$AJ,AF$1,FALSE)</f>
        <v>4022793</v>
      </c>
      <c r="AG121" s="5">
        <f>VLOOKUP($F121,DDE!$A:$AJ,AG$1,FALSE)</f>
        <v>16329.54</v>
      </c>
      <c r="AH121" s="5">
        <f>VLOOKUP($F121,DDE!$A:$AJ,AH$1,FALSE)</f>
        <v>16456.939999999999</v>
      </c>
      <c r="AI121" s="5">
        <f>VLOOKUP($F121,DDE!$A:$AJ,AI$1,FALSE)</f>
        <v>16329.54</v>
      </c>
      <c r="AJ121" s="5" t="str">
        <f>VLOOKUP($F121,DDE!$A:$AJ,AJ$1,FALSE)</f>
        <v xml:space="preserve"> -</v>
      </c>
      <c r="AK121" s="5" t="str">
        <f>VLOOKUP($F121,DDE!$A:$AJ,AK$1,FALSE)</f>
        <v xml:space="preserve"> -</v>
      </c>
      <c r="AL121" s="5">
        <f t="shared" si="34"/>
        <v>16443.400000000001</v>
      </c>
      <c r="AM121" s="5">
        <f>VLOOKUP(X121,cmoney!$A:$M,12,FALSE)</f>
        <v>21.1</v>
      </c>
    </row>
    <row r="122" spans="1:39" x14ac:dyDescent="0.25">
      <c r="A122" s="5" t="str">
        <f t="shared" si="26"/>
        <v/>
      </c>
      <c r="B122" s="5" t="s">
        <v>719</v>
      </c>
      <c r="C122" s="5" t="s">
        <v>302</v>
      </c>
      <c r="D122" s="5" t="s">
        <v>997</v>
      </c>
      <c r="E122" s="5">
        <f>VLOOKUP($D122,股期名單!$L:$M,2,FALSE)</f>
        <v>2000</v>
      </c>
      <c r="F122" s="5" t="str">
        <f t="shared" si="25"/>
        <v>IHFB1</v>
      </c>
      <c r="G122" s="7" t="e">
        <f t="shared" si="27"/>
        <v>#VALUE!</v>
      </c>
      <c r="H122" s="5" t="str">
        <f>VLOOKUP($F122,DDE!$A:$AJ,H$1,FALSE)</f>
        <v xml:space="preserve"> </v>
      </c>
      <c r="I122" s="5">
        <f>VLOOKUP($F122,DDE!$A:$AJ,I$1,FALSE)</f>
        <v>20878632</v>
      </c>
      <c r="J122" s="5" t="str">
        <f>VLOOKUP($F122,DDE!$A:$AJ,J$1,FALSE)</f>
        <v xml:space="preserve"> -</v>
      </c>
      <c r="K122" s="5" t="str">
        <f>VLOOKUP($F122,DDE!$A:$AJ,K$1,FALSE)</f>
        <v xml:space="preserve"> -</v>
      </c>
      <c r="L122" s="5">
        <f>VLOOKUP($F122,DDE!$A:$AJ,L$1,FALSE)</f>
        <v>2088371110</v>
      </c>
      <c r="M122" s="5">
        <f>VLOOKUP($F122,DDE!$A:$AJ,M$1,FALSE)</f>
        <v>20803788</v>
      </c>
      <c r="N122" s="5">
        <f>VLOOKUP($F122,DDE!$A:$AJ,N$1,FALSE)</f>
        <v>20804690</v>
      </c>
      <c r="O122" s="5">
        <f>VLOOKUP($F122,DDE!$A:$AJ,O$1,FALSE)</f>
        <v>10989732</v>
      </c>
      <c r="P122" s="5" t="str">
        <f>VLOOKUP($F122,DDE!$A:$AJ,P$1,FALSE)</f>
        <v xml:space="preserve"> -</v>
      </c>
      <c r="Q122" s="5" t="str">
        <f>VLOOKUP($F122,DDE!$A:$AJ,Q$1,FALSE)</f>
        <v xml:space="preserve"> -</v>
      </c>
      <c r="R122" s="5" t="e">
        <f t="shared" si="35"/>
        <v>#VALUE!</v>
      </c>
      <c r="S122" s="5">
        <f>VLOOKUP(D122,cmoney!$A:$M,12,FALSE)</f>
        <v>16.850000000000001</v>
      </c>
      <c r="U122" s="5" t="str">
        <f t="shared" si="28"/>
        <v/>
      </c>
      <c r="V122" s="5" t="str">
        <f t="shared" si="29"/>
        <v>2913</v>
      </c>
      <c r="W122" s="5" t="str">
        <f t="shared" si="30"/>
        <v>農林</v>
      </c>
      <c r="X122" s="5" t="str">
        <f t="shared" si="31"/>
        <v>IHF</v>
      </c>
      <c r="Y122" s="49">
        <f>VLOOKUP($X122,股期名單!$L:$M,2,FALSE)</f>
        <v>2000</v>
      </c>
      <c r="Z122" s="5" t="str">
        <f t="shared" si="32"/>
        <v>IHFC1</v>
      </c>
      <c r="AA122" s="7" t="e">
        <f t="shared" si="33"/>
        <v>#VALUE!</v>
      </c>
      <c r="AB122" s="5" t="str">
        <f>VLOOKUP($F122,DDE!$A:$AJ,AB$1,FALSE)</f>
        <v xml:space="preserve"> </v>
      </c>
      <c r="AC122" s="5">
        <f>VLOOKUP($F122,DDE!$A:$AJ,AC$1,FALSE)</f>
        <v>20878632</v>
      </c>
      <c r="AD122" s="5" t="str">
        <f>VLOOKUP($F122,DDE!$A:$AJ,AD$1,FALSE)</f>
        <v xml:space="preserve"> -</v>
      </c>
      <c r="AE122" s="5" t="str">
        <f>VLOOKUP($F122,DDE!$A:$AJ,AE$1,FALSE)</f>
        <v xml:space="preserve"> -</v>
      </c>
      <c r="AF122" s="5">
        <f>VLOOKUP($F122,DDE!$A:$AJ,AF$1,FALSE)</f>
        <v>2088371110</v>
      </c>
      <c r="AG122" s="5">
        <f>VLOOKUP($F122,DDE!$A:$AJ,AG$1,FALSE)</f>
        <v>20803788</v>
      </c>
      <c r="AH122" s="5">
        <f>VLOOKUP($F122,DDE!$A:$AJ,AH$1,FALSE)</f>
        <v>20804690</v>
      </c>
      <c r="AI122" s="5">
        <f>VLOOKUP($F122,DDE!$A:$AJ,AI$1,FALSE)</f>
        <v>10989732</v>
      </c>
      <c r="AJ122" s="5" t="str">
        <f>VLOOKUP($F122,DDE!$A:$AJ,AJ$1,FALSE)</f>
        <v xml:space="preserve"> -</v>
      </c>
      <c r="AK122" s="5" t="str">
        <f>VLOOKUP($F122,DDE!$A:$AJ,AK$1,FALSE)</f>
        <v xml:space="preserve"> -</v>
      </c>
      <c r="AL122" s="5" t="e">
        <f t="shared" si="34"/>
        <v>#VALUE!</v>
      </c>
      <c r="AM122" s="5">
        <f>VLOOKUP(X122,cmoney!$A:$M,12,FALSE)</f>
        <v>16.850000000000001</v>
      </c>
    </row>
    <row r="123" spans="1:39" x14ac:dyDescent="0.25">
      <c r="A123" s="5" t="str">
        <f t="shared" si="26"/>
        <v/>
      </c>
      <c r="B123" s="5" t="s">
        <v>673</v>
      </c>
      <c r="C123" s="5" t="s">
        <v>164</v>
      </c>
      <c r="D123" s="5" t="s">
        <v>998</v>
      </c>
      <c r="E123" s="5">
        <f>VLOOKUP($D123,股期名單!$L:$M,2,FALSE)</f>
        <v>2000</v>
      </c>
      <c r="F123" s="5" t="str">
        <f t="shared" si="25"/>
        <v>DWFB1</v>
      </c>
      <c r="G123" s="7">
        <f t="shared" si="27"/>
        <v>-0.19328859060402684</v>
      </c>
      <c r="H123" s="5">
        <f>VLOOKUP($F123,DDE!$A:$AJ,H$1,FALSE)</f>
        <v>-14.4</v>
      </c>
      <c r="I123" s="5">
        <f>VLOOKUP($F123,DDE!$A:$AJ,I$1,FALSE)</f>
        <v>16429</v>
      </c>
      <c r="J123" s="5" t="str">
        <f>VLOOKUP($F123,DDE!$A:$AJ,J$1,FALSE)</f>
        <v xml:space="preserve"> -</v>
      </c>
      <c r="K123" s="5" t="str">
        <f>VLOOKUP($F123,DDE!$A:$AJ,K$1,FALSE)</f>
        <v xml:space="preserve"> -</v>
      </c>
      <c r="L123" s="5">
        <f>VLOOKUP($F123,DDE!$A:$AJ,L$1,FALSE)</f>
        <v>4015112</v>
      </c>
      <c r="M123" s="5">
        <f>VLOOKUP($F123,DDE!$A:$AJ,M$1,FALSE)</f>
        <v>16329.54</v>
      </c>
      <c r="N123" s="5">
        <f>VLOOKUP($F123,DDE!$A:$AJ,N$1,FALSE)</f>
        <v>16456.939999999999</v>
      </c>
      <c r="O123" s="5">
        <f>VLOOKUP($F123,DDE!$A:$AJ,O$1,FALSE)</f>
        <v>16329.54</v>
      </c>
      <c r="P123" s="5" t="str">
        <f>VLOOKUP($F123,DDE!$A:$AJ,P$1,FALSE)</f>
        <v xml:space="preserve"> -</v>
      </c>
      <c r="Q123" s="5" t="str">
        <f>VLOOKUP($F123,DDE!$A:$AJ,Q$1,FALSE)</f>
        <v xml:space="preserve"> -</v>
      </c>
      <c r="R123" s="5">
        <f t="shared" si="35"/>
        <v>16443.400000000001</v>
      </c>
      <c r="S123" s="5">
        <f>VLOOKUP(D123,cmoney!$A:$M,12,FALSE)</f>
        <v>74.5</v>
      </c>
      <c r="U123" s="5" t="str">
        <f t="shared" si="28"/>
        <v/>
      </c>
      <c r="V123" s="5" t="str">
        <f t="shared" si="29"/>
        <v>2915</v>
      </c>
      <c r="W123" s="5" t="str">
        <f t="shared" si="30"/>
        <v>潤泰全</v>
      </c>
      <c r="X123" s="5" t="str">
        <f t="shared" si="31"/>
        <v>DWF</v>
      </c>
      <c r="Y123" s="49">
        <f>VLOOKUP($X123,股期名單!$L:$M,2,FALSE)</f>
        <v>2000</v>
      </c>
      <c r="Z123" s="5" t="str">
        <f t="shared" si="32"/>
        <v>DWFC1</v>
      </c>
      <c r="AA123" s="7">
        <f t="shared" si="33"/>
        <v>-0.19328859060402684</v>
      </c>
      <c r="AB123" s="5">
        <f>VLOOKUP($F123,DDE!$A:$AJ,AB$1,FALSE)</f>
        <v>-14.4</v>
      </c>
      <c r="AC123" s="5">
        <f>VLOOKUP($F123,DDE!$A:$AJ,AC$1,FALSE)</f>
        <v>16429</v>
      </c>
      <c r="AD123" s="5" t="str">
        <f>VLOOKUP($F123,DDE!$A:$AJ,AD$1,FALSE)</f>
        <v xml:space="preserve"> -</v>
      </c>
      <c r="AE123" s="5" t="str">
        <f>VLOOKUP($F123,DDE!$A:$AJ,AE$1,FALSE)</f>
        <v xml:space="preserve"> -</v>
      </c>
      <c r="AF123" s="5">
        <f>VLOOKUP($F123,DDE!$A:$AJ,AF$1,FALSE)</f>
        <v>4015112</v>
      </c>
      <c r="AG123" s="5">
        <f>VLOOKUP($F123,DDE!$A:$AJ,AG$1,FALSE)</f>
        <v>16329.54</v>
      </c>
      <c r="AH123" s="5">
        <f>VLOOKUP($F123,DDE!$A:$AJ,AH$1,FALSE)</f>
        <v>16456.939999999999</v>
      </c>
      <c r="AI123" s="5">
        <f>VLOOKUP($F123,DDE!$A:$AJ,AI$1,FALSE)</f>
        <v>16329.54</v>
      </c>
      <c r="AJ123" s="5" t="str">
        <f>VLOOKUP($F123,DDE!$A:$AJ,AJ$1,FALSE)</f>
        <v xml:space="preserve"> -</v>
      </c>
      <c r="AK123" s="5" t="str">
        <f>VLOOKUP($F123,DDE!$A:$AJ,AK$1,FALSE)</f>
        <v xml:space="preserve"> -</v>
      </c>
      <c r="AL123" s="5">
        <f t="shared" si="34"/>
        <v>16443.400000000001</v>
      </c>
      <c r="AM123" s="5">
        <f>VLOOKUP(X123,cmoney!$A:$M,12,FALSE)</f>
        <v>74.5</v>
      </c>
    </row>
    <row r="124" spans="1:39" x14ac:dyDescent="0.25">
      <c r="A124" s="5" t="str">
        <f t="shared" si="26"/>
        <v/>
      </c>
      <c r="B124" s="5" t="s">
        <v>720</v>
      </c>
      <c r="C124" s="5" t="s">
        <v>305</v>
      </c>
      <c r="D124" s="5" t="s">
        <v>999</v>
      </c>
      <c r="E124" s="5">
        <f>VLOOKUP($D124,股期名單!$L:$M,2,FALSE)</f>
        <v>2000</v>
      </c>
      <c r="F124" s="5" t="str">
        <f t="shared" si="25"/>
        <v>IIFB1</v>
      </c>
      <c r="G124" s="7">
        <f t="shared" si="27"/>
        <v>-0.21662817551963051</v>
      </c>
      <c r="H124" s="5">
        <f>VLOOKUP($F124,DDE!$A:$AJ,H$1,FALSE)</f>
        <v>-18.760000000000002</v>
      </c>
      <c r="I124" s="5">
        <f>VLOOKUP($F124,DDE!$A:$AJ,I$1,FALSE)</f>
        <v>16424.64</v>
      </c>
      <c r="J124" s="5" t="str">
        <f>VLOOKUP($F124,DDE!$A:$AJ,J$1,FALSE)</f>
        <v xml:space="preserve"> -</v>
      </c>
      <c r="K124" s="5" t="str">
        <f>VLOOKUP($F124,DDE!$A:$AJ,K$1,FALSE)</f>
        <v xml:space="preserve"> -</v>
      </c>
      <c r="L124" s="5">
        <f>VLOOKUP($F124,DDE!$A:$AJ,L$1,FALSE)</f>
        <v>4020107</v>
      </c>
      <c r="M124" s="5">
        <f>VLOOKUP($F124,DDE!$A:$AJ,M$1,FALSE)</f>
        <v>16329.54</v>
      </c>
      <c r="N124" s="5">
        <f>VLOOKUP($F124,DDE!$A:$AJ,N$1,FALSE)</f>
        <v>16456.939999999999</v>
      </c>
      <c r="O124" s="5">
        <f>VLOOKUP($F124,DDE!$A:$AJ,O$1,FALSE)</f>
        <v>16329.54</v>
      </c>
      <c r="P124" s="5" t="str">
        <f>VLOOKUP($F124,DDE!$A:$AJ,P$1,FALSE)</f>
        <v xml:space="preserve"> -</v>
      </c>
      <c r="Q124" s="5" t="str">
        <f>VLOOKUP($F124,DDE!$A:$AJ,Q$1,FALSE)</f>
        <v xml:space="preserve"> -</v>
      </c>
      <c r="R124" s="5">
        <f t="shared" si="35"/>
        <v>16443.399999999998</v>
      </c>
      <c r="S124" s="5">
        <f>VLOOKUP(D124,cmoney!$A:$M,12,FALSE)</f>
        <v>86.6</v>
      </c>
      <c r="U124" s="5" t="str">
        <f t="shared" si="28"/>
        <v/>
      </c>
      <c r="V124" s="5" t="str">
        <f t="shared" si="29"/>
        <v>3006</v>
      </c>
      <c r="W124" s="5" t="str">
        <f t="shared" si="30"/>
        <v>晶豪科</v>
      </c>
      <c r="X124" s="5" t="str">
        <f t="shared" si="31"/>
        <v>IIF</v>
      </c>
      <c r="Y124" s="49">
        <f>VLOOKUP($X124,股期名單!$L:$M,2,FALSE)</f>
        <v>2000</v>
      </c>
      <c r="Z124" s="5" t="str">
        <f t="shared" si="32"/>
        <v>IIFC1</v>
      </c>
      <c r="AA124" s="7">
        <f t="shared" si="33"/>
        <v>-0.21662817551963051</v>
      </c>
      <c r="AB124" s="5">
        <f>VLOOKUP($F124,DDE!$A:$AJ,AB$1,FALSE)</f>
        <v>-18.760000000000002</v>
      </c>
      <c r="AC124" s="5">
        <f>VLOOKUP($F124,DDE!$A:$AJ,AC$1,FALSE)</f>
        <v>16424.64</v>
      </c>
      <c r="AD124" s="5" t="str">
        <f>VLOOKUP($F124,DDE!$A:$AJ,AD$1,FALSE)</f>
        <v xml:space="preserve"> -</v>
      </c>
      <c r="AE124" s="5" t="str">
        <f>VLOOKUP($F124,DDE!$A:$AJ,AE$1,FALSE)</f>
        <v xml:space="preserve"> -</v>
      </c>
      <c r="AF124" s="5">
        <f>VLOOKUP($F124,DDE!$A:$AJ,AF$1,FALSE)</f>
        <v>4020107</v>
      </c>
      <c r="AG124" s="5">
        <f>VLOOKUP($F124,DDE!$A:$AJ,AG$1,FALSE)</f>
        <v>16329.54</v>
      </c>
      <c r="AH124" s="5">
        <f>VLOOKUP($F124,DDE!$A:$AJ,AH$1,FALSE)</f>
        <v>16456.939999999999</v>
      </c>
      <c r="AI124" s="5">
        <f>VLOOKUP($F124,DDE!$A:$AJ,AI$1,FALSE)</f>
        <v>16329.54</v>
      </c>
      <c r="AJ124" s="5" t="str">
        <f>VLOOKUP($F124,DDE!$A:$AJ,AJ$1,FALSE)</f>
        <v xml:space="preserve"> -</v>
      </c>
      <c r="AK124" s="5" t="str">
        <f>VLOOKUP($F124,DDE!$A:$AJ,AK$1,FALSE)</f>
        <v xml:space="preserve"> -</v>
      </c>
      <c r="AL124" s="5">
        <f t="shared" si="34"/>
        <v>16443.399999999998</v>
      </c>
      <c r="AM124" s="5">
        <f>VLOOKUP(X124,cmoney!$A:$M,12,FALSE)</f>
        <v>86.6</v>
      </c>
    </row>
    <row r="125" spans="1:39" x14ac:dyDescent="0.25">
      <c r="A125" s="5" t="str">
        <f t="shared" si="26"/>
        <v/>
      </c>
      <c r="B125" s="5" t="s">
        <v>721</v>
      </c>
      <c r="C125" s="5" t="s">
        <v>308</v>
      </c>
      <c r="D125" s="5" t="s">
        <v>1000</v>
      </c>
      <c r="E125" s="5">
        <f>VLOOKUP($D125,股期名單!$L:$M,2,FALSE)</f>
        <v>2000</v>
      </c>
      <c r="F125" s="5" t="str">
        <f t="shared" si="25"/>
        <v>IJFB1</v>
      </c>
      <c r="G125" s="7">
        <f t="shared" si="27"/>
        <v>-6.0141043723554305E-3</v>
      </c>
      <c r="H125" s="5">
        <f>VLOOKUP($F125,DDE!$A:$AJ,H$1,FALSE)</f>
        <v>-21.32</v>
      </c>
      <c r="I125" s="5">
        <f>VLOOKUP($F125,DDE!$A:$AJ,I$1,FALSE)</f>
        <v>16422.080000000002</v>
      </c>
      <c r="J125" s="5" t="str">
        <f>VLOOKUP($F125,DDE!$A:$AJ,J$1,FALSE)</f>
        <v xml:space="preserve"> -</v>
      </c>
      <c r="K125" s="5" t="str">
        <f>VLOOKUP($F125,DDE!$A:$AJ,K$1,FALSE)</f>
        <v xml:space="preserve"> -</v>
      </c>
      <c r="L125" s="5">
        <f>VLOOKUP($F125,DDE!$A:$AJ,L$1,FALSE)</f>
        <v>4018459</v>
      </c>
      <c r="M125" s="5">
        <f>VLOOKUP($F125,DDE!$A:$AJ,M$1,FALSE)</f>
        <v>16329.54</v>
      </c>
      <c r="N125" s="5">
        <f>VLOOKUP($F125,DDE!$A:$AJ,N$1,FALSE)</f>
        <v>16456.939999999999</v>
      </c>
      <c r="O125" s="5">
        <f>VLOOKUP($F125,DDE!$A:$AJ,O$1,FALSE)</f>
        <v>16329.54</v>
      </c>
      <c r="P125" s="5" t="str">
        <f>VLOOKUP($F125,DDE!$A:$AJ,P$1,FALSE)</f>
        <v xml:space="preserve"> -</v>
      </c>
      <c r="Q125" s="5" t="str">
        <f>VLOOKUP($F125,DDE!$A:$AJ,Q$1,FALSE)</f>
        <v xml:space="preserve"> -</v>
      </c>
      <c r="R125" s="5">
        <f t="shared" si="35"/>
        <v>16443.400000000001</v>
      </c>
      <c r="S125" s="5">
        <f>VLOOKUP(D125,cmoney!$A:$M,12,FALSE)</f>
        <v>3545</v>
      </c>
      <c r="U125" s="5" t="str">
        <f t="shared" si="28"/>
        <v/>
      </c>
      <c r="V125" s="5" t="str">
        <f t="shared" si="29"/>
        <v>3008</v>
      </c>
      <c r="W125" s="5" t="str">
        <f t="shared" si="30"/>
        <v>大立光</v>
      </c>
      <c r="X125" s="5" t="str">
        <f t="shared" si="31"/>
        <v>IJF</v>
      </c>
      <c r="Y125" s="49">
        <f>VLOOKUP($X125,股期名單!$L:$M,2,FALSE)</f>
        <v>2000</v>
      </c>
      <c r="Z125" s="5" t="str">
        <f t="shared" si="32"/>
        <v>IJFC1</v>
      </c>
      <c r="AA125" s="7">
        <f t="shared" si="33"/>
        <v>-6.0141043723554305E-3</v>
      </c>
      <c r="AB125" s="5">
        <f>VLOOKUP($F125,DDE!$A:$AJ,AB$1,FALSE)</f>
        <v>-21.32</v>
      </c>
      <c r="AC125" s="5">
        <f>VLOOKUP($F125,DDE!$A:$AJ,AC$1,FALSE)</f>
        <v>16422.080000000002</v>
      </c>
      <c r="AD125" s="5" t="str">
        <f>VLOOKUP($F125,DDE!$A:$AJ,AD$1,FALSE)</f>
        <v xml:space="preserve"> -</v>
      </c>
      <c r="AE125" s="5" t="str">
        <f>VLOOKUP($F125,DDE!$A:$AJ,AE$1,FALSE)</f>
        <v xml:space="preserve"> -</v>
      </c>
      <c r="AF125" s="5">
        <f>VLOOKUP($F125,DDE!$A:$AJ,AF$1,FALSE)</f>
        <v>4018459</v>
      </c>
      <c r="AG125" s="5">
        <f>VLOOKUP($F125,DDE!$A:$AJ,AG$1,FALSE)</f>
        <v>16329.54</v>
      </c>
      <c r="AH125" s="5">
        <f>VLOOKUP($F125,DDE!$A:$AJ,AH$1,FALSE)</f>
        <v>16456.939999999999</v>
      </c>
      <c r="AI125" s="5">
        <f>VLOOKUP($F125,DDE!$A:$AJ,AI$1,FALSE)</f>
        <v>16329.54</v>
      </c>
      <c r="AJ125" s="5" t="str">
        <f>VLOOKUP($F125,DDE!$A:$AJ,AJ$1,FALSE)</f>
        <v xml:space="preserve"> -</v>
      </c>
      <c r="AK125" s="5" t="str">
        <f>VLOOKUP($F125,DDE!$A:$AJ,AK$1,FALSE)</f>
        <v xml:space="preserve"> -</v>
      </c>
      <c r="AL125" s="5">
        <f t="shared" si="34"/>
        <v>16443.400000000001</v>
      </c>
      <c r="AM125" s="5">
        <f>VLOOKUP(X125,cmoney!$A:$M,12,FALSE)</f>
        <v>3545</v>
      </c>
    </row>
    <row r="126" spans="1:39" x14ac:dyDescent="0.25">
      <c r="A126" s="5" t="str">
        <f t="shared" si="26"/>
        <v>小型</v>
      </c>
      <c r="B126" s="5" t="s">
        <v>721</v>
      </c>
      <c r="C126" s="5" t="s">
        <v>308</v>
      </c>
      <c r="D126" s="5" t="s">
        <v>1001</v>
      </c>
      <c r="E126" s="5">
        <f>VLOOKUP($D126,股期名單!$L:$M,2,FALSE)</f>
        <v>100</v>
      </c>
      <c r="F126" s="5" t="str">
        <f t="shared" si="25"/>
        <v>OLFB1</v>
      </c>
      <c r="G126" s="7">
        <f t="shared" si="27"/>
        <v>-5.2919605077574056E-3</v>
      </c>
      <c r="H126" s="5">
        <f>VLOOKUP($F126,DDE!$A:$AJ,H$1,FALSE)</f>
        <v>-18.760000000000002</v>
      </c>
      <c r="I126" s="5">
        <f>VLOOKUP($F126,DDE!$A:$AJ,I$1,FALSE)</f>
        <v>16424.64</v>
      </c>
      <c r="J126" s="5" t="str">
        <f>VLOOKUP($F126,DDE!$A:$AJ,J$1,FALSE)</f>
        <v xml:space="preserve"> -</v>
      </c>
      <c r="K126" s="5" t="str">
        <f>VLOOKUP($F126,DDE!$A:$AJ,K$1,FALSE)</f>
        <v xml:space="preserve"> -</v>
      </c>
      <c r="L126" s="5">
        <f>VLOOKUP($F126,DDE!$A:$AJ,L$1,FALSE)</f>
        <v>4020107</v>
      </c>
      <c r="M126" s="5">
        <f>VLOOKUP($F126,DDE!$A:$AJ,M$1,FALSE)</f>
        <v>16329.54</v>
      </c>
      <c r="N126" s="5">
        <f>VLOOKUP($F126,DDE!$A:$AJ,N$1,FALSE)</f>
        <v>16456.939999999999</v>
      </c>
      <c r="O126" s="5">
        <f>VLOOKUP($F126,DDE!$A:$AJ,O$1,FALSE)</f>
        <v>16329.54</v>
      </c>
      <c r="P126" s="5" t="str">
        <f>VLOOKUP($F126,DDE!$A:$AJ,P$1,FALSE)</f>
        <v xml:space="preserve"> -</v>
      </c>
      <c r="Q126" s="5" t="str">
        <f>VLOOKUP($F126,DDE!$A:$AJ,Q$1,FALSE)</f>
        <v xml:space="preserve"> -</v>
      </c>
      <c r="R126" s="5">
        <f t="shared" si="35"/>
        <v>16443.399999999998</v>
      </c>
      <c r="S126" s="5">
        <f>VLOOKUP(D126,cmoney!$A:$M,12,FALSE)</f>
        <v>3545</v>
      </c>
      <c r="U126" s="5" t="str">
        <f t="shared" si="28"/>
        <v>小型</v>
      </c>
      <c r="V126" s="5" t="str">
        <f t="shared" si="29"/>
        <v>3008</v>
      </c>
      <c r="W126" s="5" t="str">
        <f t="shared" si="30"/>
        <v>大立光</v>
      </c>
      <c r="X126" s="5" t="str">
        <f t="shared" si="31"/>
        <v>OLF</v>
      </c>
      <c r="Y126" s="49">
        <f>VLOOKUP($X126,股期名單!$L:$M,2,FALSE)</f>
        <v>100</v>
      </c>
      <c r="Z126" s="5" t="str">
        <f t="shared" si="32"/>
        <v>OLFC1</v>
      </c>
      <c r="AA126" s="7">
        <f t="shared" si="33"/>
        <v>-5.2919605077574056E-3</v>
      </c>
      <c r="AB126" s="5">
        <f>VLOOKUP($F126,DDE!$A:$AJ,AB$1,FALSE)</f>
        <v>-18.760000000000002</v>
      </c>
      <c r="AC126" s="5">
        <f>VLOOKUP($F126,DDE!$A:$AJ,AC$1,FALSE)</f>
        <v>16424.64</v>
      </c>
      <c r="AD126" s="5" t="str">
        <f>VLOOKUP($F126,DDE!$A:$AJ,AD$1,FALSE)</f>
        <v xml:space="preserve"> -</v>
      </c>
      <c r="AE126" s="5" t="str">
        <f>VLOOKUP($F126,DDE!$A:$AJ,AE$1,FALSE)</f>
        <v xml:space="preserve"> -</v>
      </c>
      <c r="AF126" s="5">
        <f>VLOOKUP($F126,DDE!$A:$AJ,AF$1,FALSE)</f>
        <v>4020107</v>
      </c>
      <c r="AG126" s="5">
        <f>VLOOKUP($F126,DDE!$A:$AJ,AG$1,FALSE)</f>
        <v>16329.54</v>
      </c>
      <c r="AH126" s="5">
        <f>VLOOKUP($F126,DDE!$A:$AJ,AH$1,FALSE)</f>
        <v>16456.939999999999</v>
      </c>
      <c r="AI126" s="5">
        <f>VLOOKUP($F126,DDE!$A:$AJ,AI$1,FALSE)</f>
        <v>16329.54</v>
      </c>
      <c r="AJ126" s="5" t="str">
        <f>VLOOKUP($F126,DDE!$A:$AJ,AJ$1,FALSE)</f>
        <v xml:space="preserve"> -</v>
      </c>
      <c r="AK126" s="5" t="str">
        <f>VLOOKUP($F126,DDE!$A:$AJ,AK$1,FALSE)</f>
        <v xml:space="preserve"> -</v>
      </c>
      <c r="AL126" s="5">
        <f t="shared" si="34"/>
        <v>16443.399999999998</v>
      </c>
      <c r="AM126" s="5">
        <f>VLOOKUP(X126,cmoney!$A:$M,12,FALSE)</f>
        <v>3545</v>
      </c>
    </row>
    <row r="127" spans="1:39" x14ac:dyDescent="0.25">
      <c r="A127" s="5" t="str">
        <f t="shared" si="26"/>
        <v/>
      </c>
      <c r="B127" s="5" t="s">
        <v>722</v>
      </c>
      <c r="C127" s="5" t="s">
        <v>311</v>
      </c>
      <c r="D127" s="5" t="s">
        <v>1002</v>
      </c>
      <c r="E127" s="5">
        <f>VLOOKUP($D127,股期名單!$L:$M,2,FALSE)</f>
        <v>2000</v>
      </c>
      <c r="F127" s="5" t="str">
        <f t="shared" si="25"/>
        <v>IMFB1</v>
      </c>
      <c r="G127" s="7">
        <f t="shared" si="27"/>
        <v>-0.23244397011739595</v>
      </c>
      <c r="H127" s="5">
        <f>VLOOKUP($F127,DDE!$A:$AJ,H$1,FALSE)</f>
        <v>-21.78</v>
      </c>
      <c r="I127" s="5">
        <f>VLOOKUP($F127,DDE!$A:$AJ,I$1,FALSE)</f>
        <v>16421.62</v>
      </c>
      <c r="J127" s="5" t="str">
        <f>VLOOKUP($F127,DDE!$A:$AJ,J$1,FALSE)</f>
        <v xml:space="preserve"> -</v>
      </c>
      <c r="K127" s="5" t="str">
        <f>VLOOKUP($F127,DDE!$A:$AJ,K$1,FALSE)</f>
        <v xml:space="preserve"> -</v>
      </c>
      <c r="L127" s="5">
        <f>VLOOKUP($F127,DDE!$A:$AJ,L$1,FALSE)</f>
        <v>4027056</v>
      </c>
      <c r="M127" s="5">
        <f>VLOOKUP($F127,DDE!$A:$AJ,M$1,FALSE)</f>
        <v>16329.54</v>
      </c>
      <c r="N127" s="5">
        <f>VLOOKUP($F127,DDE!$A:$AJ,N$1,FALSE)</f>
        <v>16456.939999999999</v>
      </c>
      <c r="O127" s="5">
        <f>VLOOKUP($F127,DDE!$A:$AJ,O$1,FALSE)</f>
        <v>16329.54</v>
      </c>
      <c r="P127" s="5" t="str">
        <f>VLOOKUP($F127,DDE!$A:$AJ,P$1,FALSE)</f>
        <v xml:space="preserve"> -</v>
      </c>
      <c r="Q127" s="5" t="str">
        <f>VLOOKUP($F127,DDE!$A:$AJ,Q$1,FALSE)</f>
        <v xml:space="preserve"> -</v>
      </c>
      <c r="R127" s="5">
        <f t="shared" si="35"/>
        <v>16443.399999999998</v>
      </c>
      <c r="S127" s="5">
        <f>VLOOKUP(D127,cmoney!$A:$M,12,FALSE)</f>
        <v>93.7</v>
      </c>
      <c r="U127" s="5" t="str">
        <f t="shared" si="28"/>
        <v/>
      </c>
      <c r="V127" s="5" t="str">
        <f t="shared" si="29"/>
        <v>3019</v>
      </c>
      <c r="W127" s="5" t="str">
        <f t="shared" si="30"/>
        <v>亞光</v>
      </c>
      <c r="X127" s="5" t="str">
        <f t="shared" si="31"/>
        <v>IMF</v>
      </c>
      <c r="Y127" s="49">
        <f>VLOOKUP($X127,股期名單!$L:$M,2,FALSE)</f>
        <v>2000</v>
      </c>
      <c r="Z127" s="5" t="str">
        <f t="shared" si="32"/>
        <v>IMFC1</v>
      </c>
      <c r="AA127" s="7">
        <f t="shared" si="33"/>
        <v>-0.23244397011739595</v>
      </c>
      <c r="AB127" s="5">
        <f>VLOOKUP($F127,DDE!$A:$AJ,AB$1,FALSE)</f>
        <v>-21.78</v>
      </c>
      <c r="AC127" s="5">
        <f>VLOOKUP($F127,DDE!$A:$AJ,AC$1,FALSE)</f>
        <v>16421.62</v>
      </c>
      <c r="AD127" s="5" t="str">
        <f>VLOOKUP($F127,DDE!$A:$AJ,AD$1,FALSE)</f>
        <v xml:space="preserve"> -</v>
      </c>
      <c r="AE127" s="5" t="str">
        <f>VLOOKUP($F127,DDE!$A:$AJ,AE$1,FALSE)</f>
        <v xml:space="preserve"> -</v>
      </c>
      <c r="AF127" s="5">
        <f>VLOOKUP($F127,DDE!$A:$AJ,AF$1,FALSE)</f>
        <v>4027056</v>
      </c>
      <c r="AG127" s="5">
        <f>VLOOKUP($F127,DDE!$A:$AJ,AG$1,FALSE)</f>
        <v>16329.54</v>
      </c>
      <c r="AH127" s="5">
        <f>VLOOKUP($F127,DDE!$A:$AJ,AH$1,FALSE)</f>
        <v>16456.939999999999</v>
      </c>
      <c r="AI127" s="5">
        <f>VLOOKUP($F127,DDE!$A:$AJ,AI$1,FALSE)</f>
        <v>16329.54</v>
      </c>
      <c r="AJ127" s="5" t="str">
        <f>VLOOKUP($F127,DDE!$A:$AJ,AJ$1,FALSE)</f>
        <v xml:space="preserve"> -</v>
      </c>
      <c r="AK127" s="5" t="str">
        <f>VLOOKUP($F127,DDE!$A:$AJ,AK$1,FALSE)</f>
        <v xml:space="preserve"> -</v>
      </c>
      <c r="AL127" s="5">
        <f t="shared" si="34"/>
        <v>16443.399999999998</v>
      </c>
      <c r="AM127" s="5">
        <f>VLOOKUP(X127,cmoney!$A:$M,12,FALSE)</f>
        <v>93.7</v>
      </c>
    </row>
    <row r="128" spans="1:39" x14ac:dyDescent="0.25">
      <c r="A128" s="5" t="str">
        <f t="shared" si="26"/>
        <v/>
      </c>
      <c r="B128" s="5" t="s">
        <v>723</v>
      </c>
      <c r="C128" s="5" t="s">
        <v>314</v>
      </c>
      <c r="D128" s="5" t="s">
        <v>1003</v>
      </c>
      <c r="E128" s="5">
        <f>VLOOKUP($D128,股期名單!$L:$M,2,FALSE)</f>
        <v>2000</v>
      </c>
      <c r="F128" s="5" t="str">
        <f t="shared" si="25"/>
        <v>IOFB1</v>
      </c>
      <c r="G128" s="7" t="e">
        <f t="shared" si="27"/>
        <v>#VALUE!</v>
      </c>
      <c r="H128" s="5" t="str">
        <f>VLOOKUP($F128,DDE!$A:$AJ,H$1,FALSE)</f>
        <v xml:space="preserve"> </v>
      </c>
      <c r="I128" s="5">
        <f>VLOOKUP($F128,DDE!$A:$AJ,I$1,FALSE)</f>
        <v>20878632</v>
      </c>
      <c r="J128" s="5" t="str">
        <f>VLOOKUP($F128,DDE!$A:$AJ,J$1,FALSE)</f>
        <v xml:space="preserve"> -</v>
      </c>
      <c r="K128" s="5" t="str">
        <f>VLOOKUP($F128,DDE!$A:$AJ,K$1,FALSE)</f>
        <v xml:space="preserve"> -</v>
      </c>
      <c r="L128" s="5">
        <f>VLOOKUP($F128,DDE!$A:$AJ,L$1,FALSE)</f>
        <v>2088371110</v>
      </c>
      <c r="M128" s="5">
        <f>VLOOKUP($F128,DDE!$A:$AJ,M$1,FALSE)</f>
        <v>20803788</v>
      </c>
      <c r="N128" s="5">
        <f>VLOOKUP($F128,DDE!$A:$AJ,N$1,FALSE)</f>
        <v>20804690</v>
      </c>
      <c r="O128" s="5">
        <f>VLOOKUP($F128,DDE!$A:$AJ,O$1,FALSE)</f>
        <v>10989732</v>
      </c>
      <c r="P128" s="5" t="str">
        <f>VLOOKUP($F128,DDE!$A:$AJ,P$1,FALSE)</f>
        <v xml:space="preserve"> -</v>
      </c>
      <c r="Q128" s="5" t="str">
        <f>VLOOKUP($F128,DDE!$A:$AJ,Q$1,FALSE)</f>
        <v xml:space="preserve"> -</v>
      </c>
      <c r="R128" s="5" t="e">
        <f t="shared" si="35"/>
        <v>#VALUE!</v>
      </c>
      <c r="S128" s="5">
        <f>VLOOKUP(D128,cmoney!$A:$M,12,FALSE)</f>
        <v>514</v>
      </c>
      <c r="U128" s="5" t="str">
        <f t="shared" si="28"/>
        <v/>
      </c>
      <c r="V128" s="5" t="str">
        <f t="shared" si="29"/>
        <v>3034</v>
      </c>
      <c r="W128" s="5" t="str">
        <f t="shared" si="30"/>
        <v>聯詠</v>
      </c>
      <c r="X128" s="5" t="str">
        <f t="shared" si="31"/>
        <v>IOF</v>
      </c>
      <c r="Y128" s="49">
        <f>VLOOKUP($X128,股期名單!$L:$M,2,FALSE)</f>
        <v>2000</v>
      </c>
      <c r="Z128" s="5" t="str">
        <f t="shared" si="32"/>
        <v>IOFC1</v>
      </c>
      <c r="AA128" s="7" t="e">
        <f t="shared" si="33"/>
        <v>#VALUE!</v>
      </c>
      <c r="AB128" s="5" t="str">
        <f>VLOOKUP($F128,DDE!$A:$AJ,AB$1,FALSE)</f>
        <v xml:space="preserve"> </v>
      </c>
      <c r="AC128" s="5">
        <f>VLOOKUP($F128,DDE!$A:$AJ,AC$1,FALSE)</f>
        <v>20878632</v>
      </c>
      <c r="AD128" s="5" t="str">
        <f>VLOOKUP($F128,DDE!$A:$AJ,AD$1,FALSE)</f>
        <v xml:space="preserve"> -</v>
      </c>
      <c r="AE128" s="5" t="str">
        <f>VLOOKUP($F128,DDE!$A:$AJ,AE$1,FALSE)</f>
        <v xml:space="preserve"> -</v>
      </c>
      <c r="AF128" s="5">
        <f>VLOOKUP($F128,DDE!$A:$AJ,AF$1,FALSE)</f>
        <v>2088371110</v>
      </c>
      <c r="AG128" s="5">
        <f>VLOOKUP($F128,DDE!$A:$AJ,AG$1,FALSE)</f>
        <v>20803788</v>
      </c>
      <c r="AH128" s="5">
        <f>VLOOKUP($F128,DDE!$A:$AJ,AH$1,FALSE)</f>
        <v>20804690</v>
      </c>
      <c r="AI128" s="5">
        <f>VLOOKUP($F128,DDE!$A:$AJ,AI$1,FALSE)</f>
        <v>10989732</v>
      </c>
      <c r="AJ128" s="5" t="str">
        <f>VLOOKUP($F128,DDE!$A:$AJ,AJ$1,FALSE)</f>
        <v xml:space="preserve"> -</v>
      </c>
      <c r="AK128" s="5" t="str">
        <f>VLOOKUP($F128,DDE!$A:$AJ,AK$1,FALSE)</f>
        <v xml:space="preserve"> -</v>
      </c>
      <c r="AL128" s="5" t="e">
        <f t="shared" si="34"/>
        <v>#VALUE!</v>
      </c>
      <c r="AM128" s="5">
        <f>VLOOKUP(X128,cmoney!$A:$M,12,FALSE)</f>
        <v>514</v>
      </c>
    </row>
    <row r="129" spans="1:39" x14ac:dyDescent="0.25">
      <c r="A129" s="5" t="str">
        <f t="shared" si="26"/>
        <v>小型</v>
      </c>
      <c r="B129" s="5" t="s">
        <v>723</v>
      </c>
      <c r="C129" s="5" t="s">
        <v>314</v>
      </c>
      <c r="D129" s="5" t="s">
        <v>1004</v>
      </c>
      <c r="E129" s="5">
        <f>VLOOKUP($D129,股期名單!$L:$M,2,FALSE)</f>
        <v>100</v>
      </c>
      <c r="F129" s="5" t="str">
        <f t="shared" si="25"/>
        <v>QHFB1</v>
      </c>
      <c r="G129" s="7" t="e">
        <f t="shared" si="27"/>
        <v>#VALUE!</v>
      </c>
      <c r="H129" s="5" t="str">
        <f>VLOOKUP($F129,DDE!$A:$AJ,H$1,FALSE)</f>
        <v xml:space="preserve"> </v>
      </c>
      <c r="I129" s="5">
        <f>VLOOKUP($F129,DDE!$A:$AJ,I$1,FALSE)</f>
        <v>20878632</v>
      </c>
      <c r="J129" s="5" t="str">
        <f>VLOOKUP($F129,DDE!$A:$AJ,J$1,FALSE)</f>
        <v xml:space="preserve"> -</v>
      </c>
      <c r="K129" s="5" t="str">
        <f>VLOOKUP($F129,DDE!$A:$AJ,K$1,FALSE)</f>
        <v xml:space="preserve"> -</v>
      </c>
      <c r="L129" s="5">
        <f>VLOOKUP($F129,DDE!$A:$AJ,L$1,FALSE)</f>
        <v>2088371110</v>
      </c>
      <c r="M129" s="5">
        <f>VLOOKUP($F129,DDE!$A:$AJ,M$1,FALSE)</f>
        <v>20803788</v>
      </c>
      <c r="N129" s="5">
        <f>VLOOKUP($F129,DDE!$A:$AJ,N$1,FALSE)</f>
        <v>20804690</v>
      </c>
      <c r="O129" s="5">
        <f>VLOOKUP($F129,DDE!$A:$AJ,O$1,FALSE)</f>
        <v>10989732</v>
      </c>
      <c r="P129" s="5" t="str">
        <f>VLOOKUP($F129,DDE!$A:$AJ,P$1,FALSE)</f>
        <v xml:space="preserve"> -</v>
      </c>
      <c r="Q129" s="5" t="str">
        <f>VLOOKUP($F129,DDE!$A:$AJ,Q$1,FALSE)</f>
        <v xml:space="preserve"> -</v>
      </c>
      <c r="R129" s="5" t="e">
        <f t="shared" si="35"/>
        <v>#VALUE!</v>
      </c>
      <c r="S129" s="5">
        <f>VLOOKUP(D129,cmoney!$A:$M,12,FALSE)</f>
        <v>514</v>
      </c>
      <c r="U129" s="5" t="str">
        <f t="shared" si="28"/>
        <v>小型</v>
      </c>
      <c r="V129" s="5" t="str">
        <f t="shared" si="29"/>
        <v>3034</v>
      </c>
      <c r="W129" s="5" t="str">
        <f t="shared" si="30"/>
        <v>聯詠</v>
      </c>
      <c r="X129" s="5" t="str">
        <f t="shared" si="31"/>
        <v>QHF</v>
      </c>
      <c r="Y129" s="49">
        <f>VLOOKUP($X129,股期名單!$L:$M,2,FALSE)</f>
        <v>100</v>
      </c>
      <c r="Z129" s="5" t="str">
        <f t="shared" si="32"/>
        <v>QHFC1</v>
      </c>
      <c r="AA129" s="7" t="e">
        <f t="shared" si="33"/>
        <v>#VALUE!</v>
      </c>
      <c r="AB129" s="5" t="str">
        <f>VLOOKUP($F129,DDE!$A:$AJ,AB$1,FALSE)</f>
        <v xml:space="preserve"> </v>
      </c>
      <c r="AC129" s="5">
        <f>VLOOKUP($F129,DDE!$A:$AJ,AC$1,FALSE)</f>
        <v>20878632</v>
      </c>
      <c r="AD129" s="5" t="str">
        <f>VLOOKUP($F129,DDE!$A:$AJ,AD$1,FALSE)</f>
        <v xml:space="preserve"> -</v>
      </c>
      <c r="AE129" s="5" t="str">
        <f>VLOOKUP($F129,DDE!$A:$AJ,AE$1,FALSE)</f>
        <v xml:space="preserve"> -</v>
      </c>
      <c r="AF129" s="5">
        <f>VLOOKUP($F129,DDE!$A:$AJ,AF$1,FALSE)</f>
        <v>2088371110</v>
      </c>
      <c r="AG129" s="5">
        <f>VLOOKUP($F129,DDE!$A:$AJ,AG$1,FALSE)</f>
        <v>20803788</v>
      </c>
      <c r="AH129" s="5">
        <f>VLOOKUP($F129,DDE!$A:$AJ,AH$1,FALSE)</f>
        <v>20804690</v>
      </c>
      <c r="AI129" s="5">
        <f>VLOOKUP($F129,DDE!$A:$AJ,AI$1,FALSE)</f>
        <v>10989732</v>
      </c>
      <c r="AJ129" s="5" t="str">
        <f>VLOOKUP($F129,DDE!$A:$AJ,AJ$1,FALSE)</f>
        <v xml:space="preserve"> -</v>
      </c>
      <c r="AK129" s="5" t="str">
        <f>VLOOKUP($F129,DDE!$A:$AJ,AK$1,FALSE)</f>
        <v xml:space="preserve"> -</v>
      </c>
      <c r="AL129" s="5" t="e">
        <f t="shared" si="34"/>
        <v>#VALUE!</v>
      </c>
      <c r="AM129" s="5">
        <f>VLOOKUP(X129,cmoney!$A:$M,12,FALSE)</f>
        <v>514</v>
      </c>
    </row>
    <row r="130" spans="1:39" x14ac:dyDescent="0.25">
      <c r="A130" s="5" t="str">
        <f t="shared" si="26"/>
        <v/>
      </c>
      <c r="B130" s="5" t="s">
        <v>724</v>
      </c>
      <c r="C130" s="5" t="s">
        <v>317</v>
      </c>
      <c r="D130" s="5" t="s">
        <v>1005</v>
      </c>
      <c r="E130" s="5">
        <f>VLOOKUP($D130,股期名單!$L:$M,2,FALSE)</f>
        <v>2000</v>
      </c>
      <c r="F130" s="5" t="str">
        <f t="shared" si="25"/>
        <v>IPFB1</v>
      </c>
      <c r="G130" s="7">
        <f t="shared" si="27"/>
        <v>0.15577617328519858</v>
      </c>
      <c r="H130" s="5">
        <f>VLOOKUP($F130,DDE!$A:$AJ,H$1,FALSE)</f>
        <v>8.6300000000000008</v>
      </c>
      <c r="I130" s="5">
        <f>VLOOKUP($F130,DDE!$A:$AJ,I$1,FALSE)</f>
        <v>13895.21</v>
      </c>
      <c r="J130" s="5" t="str">
        <f>VLOOKUP($F130,DDE!$A:$AJ,J$1,FALSE)</f>
        <v xml:space="preserve"> -</v>
      </c>
      <c r="K130" s="5" t="str">
        <f>VLOOKUP($F130,DDE!$A:$AJ,K$1,FALSE)</f>
        <v xml:space="preserve"> -</v>
      </c>
      <c r="L130" s="5">
        <f>VLOOKUP($F130,DDE!$A:$AJ,L$1,FALSE)</f>
        <v>872940</v>
      </c>
      <c r="M130" s="5">
        <f>VLOOKUP($F130,DDE!$A:$AJ,M$1,FALSE)</f>
        <v>13893.03</v>
      </c>
      <c r="N130" s="5">
        <f>VLOOKUP($F130,DDE!$A:$AJ,N$1,FALSE)</f>
        <v>13945.78</v>
      </c>
      <c r="O130" s="5">
        <f>VLOOKUP($F130,DDE!$A:$AJ,O$1,FALSE)</f>
        <v>13875.82</v>
      </c>
      <c r="P130" s="5" t="str">
        <f>VLOOKUP($F130,DDE!$A:$AJ,P$1,FALSE)</f>
        <v xml:space="preserve"> -</v>
      </c>
      <c r="Q130" s="5" t="str">
        <f>VLOOKUP($F130,DDE!$A:$AJ,Q$1,FALSE)</f>
        <v xml:space="preserve"> -</v>
      </c>
      <c r="R130" s="5">
        <f t="shared" si="35"/>
        <v>13886.58</v>
      </c>
      <c r="S130" s="5">
        <f>VLOOKUP(D130,cmoney!$A:$M,12,FALSE)</f>
        <v>55.4</v>
      </c>
      <c r="U130" s="5" t="str">
        <f t="shared" si="28"/>
        <v/>
      </c>
      <c r="V130" s="5" t="str">
        <f t="shared" si="29"/>
        <v>3035</v>
      </c>
      <c r="W130" s="5" t="str">
        <f t="shared" si="30"/>
        <v>智原</v>
      </c>
      <c r="X130" s="5" t="str">
        <f t="shared" si="31"/>
        <v>IPF</v>
      </c>
      <c r="Y130" s="49">
        <f>VLOOKUP($X130,股期名單!$L:$M,2,FALSE)</f>
        <v>2000</v>
      </c>
      <c r="Z130" s="5" t="str">
        <f t="shared" si="32"/>
        <v>IPFC1</v>
      </c>
      <c r="AA130" s="7">
        <f t="shared" si="33"/>
        <v>0.15577617328519858</v>
      </c>
      <c r="AB130" s="5">
        <f>VLOOKUP($F130,DDE!$A:$AJ,AB$1,FALSE)</f>
        <v>8.6300000000000008</v>
      </c>
      <c r="AC130" s="5">
        <f>VLOOKUP($F130,DDE!$A:$AJ,AC$1,FALSE)</f>
        <v>13895.21</v>
      </c>
      <c r="AD130" s="5" t="str">
        <f>VLOOKUP($F130,DDE!$A:$AJ,AD$1,FALSE)</f>
        <v xml:space="preserve"> -</v>
      </c>
      <c r="AE130" s="5" t="str">
        <f>VLOOKUP($F130,DDE!$A:$AJ,AE$1,FALSE)</f>
        <v xml:space="preserve"> -</v>
      </c>
      <c r="AF130" s="5">
        <f>VLOOKUP($F130,DDE!$A:$AJ,AF$1,FALSE)</f>
        <v>872940</v>
      </c>
      <c r="AG130" s="5">
        <f>VLOOKUP($F130,DDE!$A:$AJ,AG$1,FALSE)</f>
        <v>13893.03</v>
      </c>
      <c r="AH130" s="5">
        <f>VLOOKUP($F130,DDE!$A:$AJ,AH$1,FALSE)</f>
        <v>13945.78</v>
      </c>
      <c r="AI130" s="5">
        <f>VLOOKUP($F130,DDE!$A:$AJ,AI$1,FALSE)</f>
        <v>13875.82</v>
      </c>
      <c r="AJ130" s="5" t="str">
        <f>VLOOKUP($F130,DDE!$A:$AJ,AJ$1,FALSE)</f>
        <v xml:space="preserve"> -</v>
      </c>
      <c r="AK130" s="5" t="str">
        <f>VLOOKUP($F130,DDE!$A:$AJ,AK$1,FALSE)</f>
        <v xml:space="preserve"> -</v>
      </c>
      <c r="AL130" s="5">
        <f t="shared" si="34"/>
        <v>13886.58</v>
      </c>
      <c r="AM130" s="5">
        <f>VLOOKUP(X130,cmoney!$A:$M,12,FALSE)</f>
        <v>55.4</v>
      </c>
    </row>
    <row r="131" spans="1:39" x14ac:dyDescent="0.25">
      <c r="A131" s="5" t="str">
        <f t="shared" si="26"/>
        <v/>
      </c>
      <c r="B131" s="5" t="s">
        <v>725</v>
      </c>
      <c r="C131" s="5" t="s">
        <v>320</v>
      </c>
      <c r="D131" s="5" t="s">
        <v>1006</v>
      </c>
      <c r="E131" s="5">
        <f>VLOOKUP($D131,股期名單!$L:$M,2,FALSE)</f>
        <v>2000</v>
      </c>
      <c r="F131" s="5" t="str">
        <f t="shared" si="25"/>
        <v>IQFB1</v>
      </c>
      <c r="G131" s="7">
        <f t="shared" si="27"/>
        <v>-0.47042889390519188</v>
      </c>
      <c r="H131" s="5">
        <f>VLOOKUP($F131,DDE!$A:$AJ,H$1,FALSE)</f>
        <v>-20.84</v>
      </c>
      <c r="I131" s="5">
        <f>VLOOKUP($F131,DDE!$A:$AJ,I$1,FALSE)</f>
        <v>16422.560000000001</v>
      </c>
      <c r="J131" s="5" t="str">
        <f>VLOOKUP($F131,DDE!$A:$AJ,J$1,FALSE)</f>
        <v xml:space="preserve"> -</v>
      </c>
      <c r="K131" s="5" t="str">
        <f>VLOOKUP($F131,DDE!$A:$AJ,K$1,FALSE)</f>
        <v xml:space="preserve"> -</v>
      </c>
      <c r="L131" s="5">
        <f>VLOOKUP($F131,DDE!$A:$AJ,L$1,FALSE)</f>
        <v>4024617</v>
      </c>
      <c r="M131" s="5">
        <f>VLOOKUP($F131,DDE!$A:$AJ,M$1,FALSE)</f>
        <v>16329.54</v>
      </c>
      <c r="N131" s="5">
        <f>VLOOKUP($F131,DDE!$A:$AJ,N$1,FALSE)</f>
        <v>16456.939999999999</v>
      </c>
      <c r="O131" s="5">
        <f>VLOOKUP($F131,DDE!$A:$AJ,O$1,FALSE)</f>
        <v>16329.54</v>
      </c>
      <c r="P131" s="5" t="str">
        <f>VLOOKUP($F131,DDE!$A:$AJ,P$1,FALSE)</f>
        <v xml:space="preserve"> -</v>
      </c>
      <c r="Q131" s="5" t="str">
        <f>VLOOKUP($F131,DDE!$A:$AJ,Q$1,FALSE)</f>
        <v xml:space="preserve"> -</v>
      </c>
      <c r="R131" s="5">
        <f t="shared" si="35"/>
        <v>16443.400000000001</v>
      </c>
      <c r="S131" s="5">
        <f>VLOOKUP(D131,cmoney!$A:$M,12,FALSE)</f>
        <v>44.3</v>
      </c>
      <c r="U131" s="5" t="str">
        <f t="shared" si="28"/>
        <v/>
      </c>
      <c r="V131" s="5" t="str">
        <f t="shared" si="29"/>
        <v>3036</v>
      </c>
      <c r="W131" s="5" t="str">
        <f t="shared" si="30"/>
        <v>文曄</v>
      </c>
      <c r="X131" s="5" t="str">
        <f t="shared" si="31"/>
        <v>IQF</v>
      </c>
      <c r="Y131" s="49">
        <f>VLOOKUP($X131,股期名單!$L:$M,2,FALSE)</f>
        <v>2000</v>
      </c>
      <c r="Z131" s="5" t="str">
        <f t="shared" si="32"/>
        <v>IQFC1</v>
      </c>
      <c r="AA131" s="7">
        <f t="shared" si="33"/>
        <v>-0.47042889390519188</v>
      </c>
      <c r="AB131" s="5">
        <f>VLOOKUP($F131,DDE!$A:$AJ,AB$1,FALSE)</f>
        <v>-20.84</v>
      </c>
      <c r="AC131" s="5">
        <f>VLOOKUP($F131,DDE!$A:$AJ,AC$1,FALSE)</f>
        <v>16422.560000000001</v>
      </c>
      <c r="AD131" s="5" t="str">
        <f>VLOOKUP($F131,DDE!$A:$AJ,AD$1,FALSE)</f>
        <v xml:space="preserve"> -</v>
      </c>
      <c r="AE131" s="5" t="str">
        <f>VLOOKUP($F131,DDE!$A:$AJ,AE$1,FALSE)</f>
        <v xml:space="preserve"> -</v>
      </c>
      <c r="AF131" s="5">
        <f>VLOOKUP($F131,DDE!$A:$AJ,AF$1,FALSE)</f>
        <v>4024617</v>
      </c>
      <c r="AG131" s="5">
        <f>VLOOKUP($F131,DDE!$A:$AJ,AG$1,FALSE)</f>
        <v>16329.54</v>
      </c>
      <c r="AH131" s="5">
        <f>VLOOKUP($F131,DDE!$A:$AJ,AH$1,FALSE)</f>
        <v>16456.939999999999</v>
      </c>
      <c r="AI131" s="5">
        <f>VLOOKUP($F131,DDE!$A:$AJ,AI$1,FALSE)</f>
        <v>16329.54</v>
      </c>
      <c r="AJ131" s="5" t="str">
        <f>VLOOKUP($F131,DDE!$A:$AJ,AJ$1,FALSE)</f>
        <v xml:space="preserve"> -</v>
      </c>
      <c r="AK131" s="5" t="str">
        <f>VLOOKUP($F131,DDE!$A:$AJ,AK$1,FALSE)</f>
        <v xml:space="preserve"> -</v>
      </c>
      <c r="AL131" s="5">
        <f t="shared" si="34"/>
        <v>16443.400000000001</v>
      </c>
      <c r="AM131" s="5">
        <f>VLOOKUP(X131,cmoney!$A:$M,12,FALSE)</f>
        <v>44.3</v>
      </c>
    </row>
    <row r="132" spans="1:39" x14ac:dyDescent="0.25">
      <c r="A132" s="5" t="str">
        <f t="shared" si="26"/>
        <v/>
      </c>
      <c r="B132" s="5" t="s">
        <v>726</v>
      </c>
      <c r="C132" s="5" t="s">
        <v>323</v>
      </c>
      <c r="D132" s="5" t="s">
        <v>1007</v>
      </c>
      <c r="E132" s="5">
        <f>VLOOKUP($D132,股期名單!$L:$M,2,FALSE)</f>
        <v>2000</v>
      </c>
      <c r="F132" s="5" t="str">
        <f t="shared" si="25"/>
        <v>IRFB1</v>
      </c>
      <c r="G132" s="7">
        <f t="shared" si="27"/>
        <v>6.5671641791044774E-2</v>
      </c>
      <c r="H132" s="5">
        <f>VLOOKUP($F132,DDE!$A:$AJ,H$1,FALSE)</f>
        <v>6.6</v>
      </c>
      <c r="I132" s="5">
        <f>VLOOKUP($F132,DDE!$A:$AJ,I$1,FALSE)</f>
        <v>13893.18</v>
      </c>
      <c r="J132" s="5" t="str">
        <f>VLOOKUP($F132,DDE!$A:$AJ,J$1,FALSE)</f>
        <v xml:space="preserve"> -</v>
      </c>
      <c r="K132" s="5" t="str">
        <f>VLOOKUP($F132,DDE!$A:$AJ,K$1,FALSE)</f>
        <v xml:space="preserve"> -</v>
      </c>
      <c r="L132" s="5">
        <f>VLOOKUP($F132,DDE!$A:$AJ,L$1,FALSE)</f>
        <v>872505</v>
      </c>
      <c r="M132" s="5">
        <f>VLOOKUP($F132,DDE!$A:$AJ,M$1,FALSE)</f>
        <v>13893.03</v>
      </c>
      <c r="N132" s="5">
        <f>VLOOKUP($F132,DDE!$A:$AJ,N$1,FALSE)</f>
        <v>13945.78</v>
      </c>
      <c r="O132" s="5">
        <f>VLOOKUP($F132,DDE!$A:$AJ,O$1,FALSE)</f>
        <v>13875.82</v>
      </c>
      <c r="P132" s="5" t="str">
        <f>VLOOKUP($F132,DDE!$A:$AJ,P$1,FALSE)</f>
        <v xml:space="preserve"> -</v>
      </c>
      <c r="Q132" s="5" t="str">
        <f>VLOOKUP($F132,DDE!$A:$AJ,Q$1,FALSE)</f>
        <v xml:space="preserve"> -</v>
      </c>
      <c r="R132" s="5">
        <f t="shared" si="35"/>
        <v>13886.58</v>
      </c>
      <c r="S132" s="5">
        <f>VLOOKUP(D132,cmoney!$A:$M,12,FALSE)</f>
        <v>100.5</v>
      </c>
      <c r="U132" s="5" t="str">
        <f t="shared" si="28"/>
        <v/>
      </c>
      <c r="V132" s="5" t="str">
        <f t="shared" si="29"/>
        <v>3037</v>
      </c>
      <c r="W132" s="5" t="str">
        <f t="shared" si="30"/>
        <v>欣興</v>
      </c>
      <c r="X132" s="5" t="str">
        <f t="shared" si="31"/>
        <v>IRF</v>
      </c>
      <c r="Y132" s="49">
        <f>VLOOKUP($X132,股期名單!$L:$M,2,FALSE)</f>
        <v>2000</v>
      </c>
      <c r="Z132" s="5" t="str">
        <f t="shared" si="32"/>
        <v>IRFC1</v>
      </c>
      <c r="AA132" s="7">
        <f t="shared" si="33"/>
        <v>6.5671641791044774E-2</v>
      </c>
      <c r="AB132" s="5">
        <f>VLOOKUP($F132,DDE!$A:$AJ,AB$1,FALSE)</f>
        <v>6.6</v>
      </c>
      <c r="AC132" s="5">
        <f>VLOOKUP($F132,DDE!$A:$AJ,AC$1,FALSE)</f>
        <v>13893.18</v>
      </c>
      <c r="AD132" s="5" t="str">
        <f>VLOOKUP($F132,DDE!$A:$AJ,AD$1,FALSE)</f>
        <v xml:space="preserve"> -</v>
      </c>
      <c r="AE132" s="5" t="str">
        <f>VLOOKUP($F132,DDE!$A:$AJ,AE$1,FALSE)</f>
        <v xml:space="preserve"> -</v>
      </c>
      <c r="AF132" s="5">
        <f>VLOOKUP($F132,DDE!$A:$AJ,AF$1,FALSE)</f>
        <v>872505</v>
      </c>
      <c r="AG132" s="5">
        <f>VLOOKUP($F132,DDE!$A:$AJ,AG$1,FALSE)</f>
        <v>13893.03</v>
      </c>
      <c r="AH132" s="5">
        <f>VLOOKUP($F132,DDE!$A:$AJ,AH$1,FALSE)</f>
        <v>13945.78</v>
      </c>
      <c r="AI132" s="5">
        <f>VLOOKUP($F132,DDE!$A:$AJ,AI$1,FALSE)</f>
        <v>13875.82</v>
      </c>
      <c r="AJ132" s="5" t="str">
        <f>VLOOKUP($F132,DDE!$A:$AJ,AJ$1,FALSE)</f>
        <v xml:space="preserve"> -</v>
      </c>
      <c r="AK132" s="5" t="str">
        <f>VLOOKUP($F132,DDE!$A:$AJ,AK$1,FALSE)</f>
        <v xml:space="preserve"> -</v>
      </c>
      <c r="AL132" s="5">
        <f t="shared" si="34"/>
        <v>13886.58</v>
      </c>
      <c r="AM132" s="5">
        <f>VLOOKUP(X132,cmoney!$A:$M,12,FALSE)</f>
        <v>100.5</v>
      </c>
    </row>
    <row r="133" spans="1:39" x14ac:dyDescent="0.25">
      <c r="A133" s="5" t="str">
        <f t="shared" si="26"/>
        <v/>
      </c>
      <c r="B133" s="5" t="s">
        <v>727</v>
      </c>
      <c r="C133" s="5" t="s">
        <v>326</v>
      </c>
      <c r="D133" s="5" t="s">
        <v>1008</v>
      </c>
      <c r="E133" s="5">
        <f>VLOOKUP($D133,股期名單!$L:$M,2,FALSE)</f>
        <v>2000</v>
      </c>
      <c r="F133" s="5" t="str">
        <f t="shared" si="25"/>
        <v>ITFB1</v>
      </c>
      <c r="G133" s="7">
        <f t="shared" si="27"/>
        <v>-0.14086124401913877</v>
      </c>
      <c r="H133" s="5">
        <f>VLOOKUP($F133,DDE!$A:$AJ,H$1,FALSE)</f>
        <v>-14.72</v>
      </c>
      <c r="I133" s="5">
        <f>VLOOKUP($F133,DDE!$A:$AJ,I$1,FALSE)</f>
        <v>16428.68</v>
      </c>
      <c r="J133" s="5" t="str">
        <f>VLOOKUP($F133,DDE!$A:$AJ,J$1,FALSE)</f>
        <v xml:space="preserve"> -</v>
      </c>
      <c r="K133" s="5" t="str">
        <f>VLOOKUP($F133,DDE!$A:$AJ,K$1,FALSE)</f>
        <v xml:space="preserve"> -</v>
      </c>
      <c r="L133" s="5">
        <f>VLOOKUP($F133,DDE!$A:$AJ,L$1,FALSE)</f>
        <v>4022793</v>
      </c>
      <c r="M133" s="5">
        <f>VLOOKUP($F133,DDE!$A:$AJ,M$1,FALSE)</f>
        <v>16329.54</v>
      </c>
      <c r="N133" s="5">
        <f>VLOOKUP($F133,DDE!$A:$AJ,N$1,FALSE)</f>
        <v>16456.939999999999</v>
      </c>
      <c r="O133" s="5">
        <f>VLOOKUP($F133,DDE!$A:$AJ,O$1,FALSE)</f>
        <v>16329.54</v>
      </c>
      <c r="P133" s="5" t="str">
        <f>VLOOKUP($F133,DDE!$A:$AJ,P$1,FALSE)</f>
        <v xml:space="preserve"> -</v>
      </c>
      <c r="Q133" s="5" t="str">
        <f>VLOOKUP($F133,DDE!$A:$AJ,Q$1,FALSE)</f>
        <v xml:space="preserve"> -</v>
      </c>
      <c r="R133" s="5">
        <f t="shared" si="35"/>
        <v>16443.400000000001</v>
      </c>
      <c r="S133" s="5">
        <f>VLOOKUP(D133,cmoney!$A:$M,12,FALSE)</f>
        <v>104.5</v>
      </c>
      <c r="U133" s="5" t="str">
        <f t="shared" si="28"/>
        <v/>
      </c>
      <c r="V133" s="5" t="str">
        <f t="shared" si="29"/>
        <v>3042</v>
      </c>
      <c r="W133" s="5" t="str">
        <f t="shared" si="30"/>
        <v>晶技</v>
      </c>
      <c r="X133" s="5" t="str">
        <f t="shared" si="31"/>
        <v>ITF</v>
      </c>
      <c r="Y133" s="49">
        <f>VLOOKUP($X133,股期名單!$L:$M,2,FALSE)</f>
        <v>2000</v>
      </c>
      <c r="Z133" s="5" t="str">
        <f t="shared" si="32"/>
        <v>ITFC1</v>
      </c>
      <c r="AA133" s="7">
        <f t="shared" si="33"/>
        <v>-0.14086124401913877</v>
      </c>
      <c r="AB133" s="5">
        <f>VLOOKUP($F133,DDE!$A:$AJ,AB$1,FALSE)</f>
        <v>-14.72</v>
      </c>
      <c r="AC133" s="5">
        <f>VLOOKUP($F133,DDE!$A:$AJ,AC$1,FALSE)</f>
        <v>16428.68</v>
      </c>
      <c r="AD133" s="5" t="str">
        <f>VLOOKUP($F133,DDE!$A:$AJ,AD$1,FALSE)</f>
        <v xml:space="preserve"> -</v>
      </c>
      <c r="AE133" s="5" t="str">
        <f>VLOOKUP($F133,DDE!$A:$AJ,AE$1,FALSE)</f>
        <v xml:space="preserve"> -</v>
      </c>
      <c r="AF133" s="5">
        <f>VLOOKUP($F133,DDE!$A:$AJ,AF$1,FALSE)</f>
        <v>4022793</v>
      </c>
      <c r="AG133" s="5">
        <f>VLOOKUP($F133,DDE!$A:$AJ,AG$1,FALSE)</f>
        <v>16329.54</v>
      </c>
      <c r="AH133" s="5">
        <f>VLOOKUP($F133,DDE!$A:$AJ,AH$1,FALSE)</f>
        <v>16456.939999999999</v>
      </c>
      <c r="AI133" s="5">
        <f>VLOOKUP($F133,DDE!$A:$AJ,AI$1,FALSE)</f>
        <v>16329.54</v>
      </c>
      <c r="AJ133" s="5" t="str">
        <f>VLOOKUP($F133,DDE!$A:$AJ,AJ$1,FALSE)</f>
        <v xml:space="preserve"> -</v>
      </c>
      <c r="AK133" s="5" t="str">
        <f>VLOOKUP($F133,DDE!$A:$AJ,AK$1,FALSE)</f>
        <v xml:space="preserve"> -</v>
      </c>
      <c r="AL133" s="5">
        <f t="shared" si="34"/>
        <v>16443.400000000001</v>
      </c>
      <c r="AM133" s="5">
        <f>VLOOKUP(X133,cmoney!$A:$M,12,FALSE)</f>
        <v>104.5</v>
      </c>
    </row>
    <row r="134" spans="1:39" x14ac:dyDescent="0.25">
      <c r="A134" s="5" t="str">
        <f t="shared" si="26"/>
        <v/>
      </c>
      <c r="B134" s="5" t="s">
        <v>751</v>
      </c>
      <c r="C134" s="5" t="s">
        <v>398</v>
      </c>
      <c r="D134" s="5" t="s">
        <v>1009</v>
      </c>
      <c r="E134" s="5">
        <f>VLOOKUP($D134,股期名單!$L:$M,2,FALSE)</f>
        <v>2000</v>
      </c>
      <c r="F134" s="5" t="str">
        <f t="shared" si="25"/>
        <v>LBFB1</v>
      </c>
      <c r="G134" s="7" t="e">
        <f t="shared" si="27"/>
        <v>#VALUE!</v>
      </c>
      <c r="H134" s="5" t="str">
        <f>VLOOKUP($F134,DDE!$A:$AJ,H$1,FALSE)</f>
        <v xml:space="preserve"> </v>
      </c>
      <c r="I134" s="5">
        <f>VLOOKUP($F134,DDE!$A:$AJ,I$1,FALSE)</f>
        <v>20878632</v>
      </c>
      <c r="J134" s="5" t="str">
        <f>VLOOKUP($F134,DDE!$A:$AJ,J$1,FALSE)</f>
        <v xml:space="preserve"> -</v>
      </c>
      <c r="K134" s="5" t="str">
        <f>VLOOKUP($F134,DDE!$A:$AJ,K$1,FALSE)</f>
        <v xml:space="preserve"> -</v>
      </c>
      <c r="L134" s="5">
        <f>VLOOKUP($F134,DDE!$A:$AJ,L$1,FALSE)</f>
        <v>2088371110</v>
      </c>
      <c r="M134" s="5">
        <f>VLOOKUP($F134,DDE!$A:$AJ,M$1,FALSE)</f>
        <v>20803788</v>
      </c>
      <c r="N134" s="5">
        <f>VLOOKUP($F134,DDE!$A:$AJ,N$1,FALSE)</f>
        <v>20804690</v>
      </c>
      <c r="O134" s="5">
        <f>VLOOKUP($F134,DDE!$A:$AJ,O$1,FALSE)</f>
        <v>10989732</v>
      </c>
      <c r="P134" s="5" t="str">
        <f>VLOOKUP($F134,DDE!$A:$AJ,P$1,FALSE)</f>
        <v xml:space="preserve"> -</v>
      </c>
      <c r="Q134" s="5" t="str">
        <f>VLOOKUP($F134,DDE!$A:$AJ,Q$1,FALSE)</f>
        <v xml:space="preserve"> -</v>
      </c>
      <c r="R134" s="5" t="e">
        <f t="shared" si="35"/>
        <v>#VALUE!</v>
      </c>
      <c r="S134" s="5">
        <f>VLOOKUP(D134,cmoney!$A:$M,12,FALSE)</f>
        <v>133.5</v>
      </c>
      <c r="U134" s="5" t="str">
        <f t="shared" si="28"/>
        <v/>
      </c>
      <c r="V134" s="5" t="str">
        <f t="shared" si="29"/>
        <v>3044</v>
      </c>
      <c r="W134" s="5" t="str">
        <f t="shared" si="30"/>
        <v>健鼎</v>
      </c>
      <c r="X134" s="5" t="str">
        <f t="shared" si="31"/>
        <v>LBF</v>
      </c>
      <c r="Y134" s="49">
        <f>VLOOKUP($X134,股期名單!$L:$M,2,FALSE)</f>
        <v>2000</v>
      </c>
      <c r="Z134" s="5" t="str">
        <f t="shared" si="32"/>
        <v>LBFC1</v>
      </c>
      <c r="AA134" s="7" t="e">
        <f t="shared" si="33"/>
        <v>#VALUE!</v>
      </c>
      <c r="AB134" s="5" t="str">
        <f>VLOOKUP($F134,DDE!$A:$AJ,AB$1,FALSE)</f>
        <v xml:space="preserve"> </v>
      </c>
      <c r="AC134" s="5">
        <f>VLOOKUP($F134,DDE!$A:$AJ,AC$1,FALSE)</f>
        <v>20878632</v>
      </c>
      <c r="AD134" s="5" t="str">
        <f>VLOOKUP($F134,DDE!$A:$AJ,AD$1,FALSE)</f>
        <v xml:space="preserve"> -</v>
      </c>
      <c r="AE134" s="5" t="str">
        <f>VLOOKUP($F134,DDE!$A:$AJ,AE$1,FALSE)</f>
        <v xml:space="preserve"> -</v>
      </c>
      <c r="AF134" s="5">
        <f>VLOOKUP($F134,DDE!$A:$AJ,AF$1,FALSE)</f>
        <v>2088371110</v>
      </c>
      <c r="AG134" s="5">
        <f>VLOOKUP($F134,DDE!$A:$AJ,AG$1,FALSE)</f>
        <v>20803788</v>
      </c>
      <c r="AH134" s="5">
        <f>VLOOKUP($F134,DDE!$A:$AJ,AH$1,FALSE)</f>
        <v>20804690</v>
      </c>
      <c r="AI134" s="5">
        <f>VLOOKUP($F134,DDE!$A:$AJ,AI$1,FALSE)</f>
        <v>10989732</v>
      </c>
      <c r="AJ134" s="5" t="str">
        <f>VLOOKUP($F134,DDE!$A:$AJ,AJ$1,FALSE)</f>
        <v xml:space="preserve"> -</v>
      </c>
      <c r="AK134" s="5" t="str">
        <f>VLOOKUP($F134,DDE!$A:$AJ,AK$1,FALSE)</f>
        <v xml:space="preserve"> -</v>
      </c>
      <c r="AL134" s="5" t="e">
        <f t="shared" si="34"/>
        <v>#VALUE!</v>
      </c>
      <c r="AM134" s="5">
        <f>VLOOKUP(X134,cmoney!$A:$M,12,FALSE)</f>
        <v>133.5</v>
      </c>
    </row>
    <row r="135" spans="1:39" x14ac:dyDescent="0.25">
      <c r="A135" s="5" t="str">
        <f t="shared" si="26"/>
        <v/>
      </c>
      <c r="B135" s="5" t="s">
        <v>752</v>
      </c>
      <c r="C135" s="5" t="s">
        <v>401</v>
      </c>
      <c r="D135" s="5" t="s">
        <v>1010</v>
      </c>
      <c r="E135" s="5">
        <f>VLOOKUP($D135,股期名單!$L:$M,2,FALSE)</f>
        <v>2000</v>
      </c>
      <c r="F135" s="5" t="str">
        <f t="shared" si="25"/>
        <v>LCFB1</v>
      </c>
      <c r="G135" s="7">
        <f t="shared" si="27"/>
        <v>-0.21374358974358973</v>
      </c>
      <c r="H135" s="5">
        <f>VLOOKUP($F135,DDE!$A:$AJ,H$1,FALSE)</f>
        <v>-20.84</v>
      </c>
      <c r="I135" s="5">
        <f>VLOOKUP($F135,DDE!$A:$AJ,I$1,FALSE)</f>
        <v>16422.560000000001</v>
      </c>
      <c r="J135" s="5" t="str">
        <f>VLOOKUP($F135,DDE!$A:$AJ,J$1,FALSE)</f>
        <v xml:space="preserve"> -</v>
      </c>
      <c r="K135" s="5" t="str">
        <f>VLOOKUP($F135,DDE!$A:$AJ,K$1,FALSE)</f>
        <v xml:space="preserve"> -</v>
      </c>
      <c r="L135" s="5">
        <f>VLOOKUP($F135,DDE!$A:$AJ,L$1,FALSE)</f>
        <v>4024617</v>
      </c>
      <c r="M135" s="5">
        <f>VLOOKUP($F135,DDE!$A:$AJ,M$1,FALSE)</f>
        <v>16329.54</v>
      </c>
      <c r="N135" s="5">
        <f>VLOOKUP($F135,DDE!$A:$AJ,N$1,FALSE)</f>
        <v>16456.939999999999</v>
      </c>
      <c r="O135" s="5">
        <f>VLOOKUP($F135,DDE!$A:$AJ,O$1,FALSE)</f>
        <v>16329.54</v>
      </c>
      <c r="P135" s="5" t="str">
        <f>VLOOKUP($F135,DDE!$A:$AJ,P$1,FALSE)</f>
        <v xml:space="preserve"> -</v>
      </c>
      <c r="Q135" s="5" t="str">
        <f>VLOOKUP($F135,DDE!$A:$AJ,Q$1,FALSE)</f>
        <v xml:space="preserve"> -</v>
      </c>
      <c r="R135" s="5">
        <f t="shared" si="35"/>
        <v>16443.400000000001</v>
      </c>
      <c r="S135" s="5">
        <f>VLOOKUP(D135,cmoney!$A:$M,12,FALSE)</f>
        <v>97.5</v>
      </c>
      <c r="U135" s="5" t="str">
        <f t="shared" si="28"/>
        <v/>
      </c>
      <c r="V135" s="5" t="str">
        <f t="shared" si="29"/>
        <v>3045</v>
      </c>
      <c r="W135" s="5" t="str">
        <f t="shared" si="30"/>
        <v>台灣大</v>
      </c>
      <c r="X135" s="5" t="str">
        <f t="shared" si="31"/>
        <v>LCF</v>
      </c>
      <c r="Y135" s="49">
        <f>VLOOKUP($X135,股期名單!$L:$M,2,FALSE)</f>
        <v>2000</v>
      </c>
      <c r="Z135" s="5" t="str">
        <f t="shared" si="32"/>
        <v>LCFC1</v>
      </c>
      <c r="AA135" s="7">
        <f t="shared" si="33"/>
        <v>-0.21374358974358973</v>
      </c>
      <c r="AB135" s="5">
        <f>VLOOKUP($F135,DDE!$A:$AJ,AB$1,FALSE)</f>
        <v>-20.84</v>
      </c>
      <c r="AC135" s="5">
        <f>VLOOKUP($F135,DDE!$A:$AJ,AC$1,FALSE)</f>
        <v>16422.560000000001</v>
      </c>
      <c r="AD135" s="5" t="str">
        <f>VLOOKUP($F135,DDE!$A:$AJ,AD$1,FALSE)</f>
        <v xml:space="preserve"> -</v>
      </c>
      <c r="AE135" s="5" t="str">
        <f>VLOOKUP($F135,DDE!$A:$AJ,AE$1,FALSE)</f>
        <v xml:space="preserve"> -</v>
      </c>
      <c r="AF135" s="5">
        <f>VLOOKUP($F135,DDE!$A:$AJ,AF$1,FALSE)</f>
        <v>4024617</v>
      </c>
      <c r="AG135" s="5">
        <f>VLOOKUP($F135,DDE!$A:$AJ,AG$1,FALSE)</f>
        <v>16329.54</v>
      </c>
      <c r="AH135" s="5">
        <f>VLOOKUP($F135,DDE!$A:$AJ,AH$1,FALSE)</f>
        <v>16456.939999999999</v>
      </c>
      <c r="AI135" s="5">
        <f>VLOOKUP($F135,DDE!$A:$AJ,AI$1,FALSE)</f>
        <v>16329.54</v>
      </c>
      <c r="AJ135" s="5" t="str">
        <f>VLOOKUP($F135,DDE!$A:$AJ,AJ$1,FALSE)</f>
        <v xml:space="preserve"> -</v>
      </c>
      <c r="AK135" s="5" t="str">
        <f>VLOOKUP($F135,DDE!$A:$AJ,AK$1,FALSE)</f>
        <v xml:space="preserve"> -</v>
      </c>
      <c r="AL135" s="5">
        <f t="shared" si="34"/>
        <v>16443.400000000001</v>
      </c>
      <c r="AM135" s="5">
        <f>VLOOKUP(X135,cmoney!$A:$M,12,FALSE)</f>
        <v>97.5</v>
      </c>
    </row>
    <row r="136" spans="1:39" x14ac:dyDescent="0.25">
      <c r="A136" s="5" t="str">
        <f t="shared" si="26"/>
        <v/>
      </c>
      <c r="B136" s="5" t="s">
        <v>797</v>
      </c>
      <c r="C136" s="5" t="s">
        <v>570</v>
      </c>
      <c r="D136" s="5" t="s">
        <v>1011</v>
      </c>
      <c r="E136" s="5">
        <f>VLOOKUP($D136,股期名單!$L:$M,2,FALSE)</f>
        <v>2000</v>
      </c>
      <c r="F136" s="5" t="str">
        <f t="shared" si="25"/>
        <v>OTFB1</v>
      </c>
      <c r="G136" s="7">
        <f t="shared" si="27"/>
        <v>2.9303904923599324E-2</v>
      </c>
      <c r="H136" s="5">
        <f>VLOOKUP($F136,DDE!$A:$AJ,H$1,FALSE)</f>
        <v>8.6300000000000008</v>
      </c>
      <c r="I136" s="5">
        <f>VLOOKUP($F136,DDE!$A:$AJ,I$1,FALSE)</f>
        <v>13895.21</v>
      </c>
      <c r="J136" s="5" t="str">
        <f>VLOOKUP($F136,DDE!$A:$AJ,J$1,FALSE)</f>
        <v xml:space="preserve"> -</v>
      </c>
      <c r="K136" s="5" t="str">
        <f>VLOOKUP($F136,DDE!$A:$AJ,K$1,FALSE)</f>
        <v xml:space="preserve"> -</v>
      </c>
      <c r="L136" s="5">
        <f>VLOOKUP($F136,DDE!$A:$AJ,L$1,FALSE)</f>
        <v>872940</v>
      </c>
      <c r="M136" s="5">
        <f>VLOOKUP($F136,DDE!$A:$AJ,M$1,FALSE)</f>
        <v>13893.03</v>
      </c>
      <c r="N136" s="5">
        <f>VLOOKUP($F136,DDE!$A:$AJ,N$1,FALSE)</f>
        <v>13945.78</v>
      </c>
      <c r="O136" s="5">
        <f>VLOOKUP($F136,DDE!$A:$AJ,O$1,FALSE)</f>
        <v>13875.82</v>
      </c>
      <c r="P136" s="5" t="str">
        <f>VLOOKUP($F136,DDE!$A:$AJ,P$1,FALSE)</f>
        <v xml:space="preserve"> -</v>
      </c>
      <c r="Q136" s="5" t="str">
        <f>VLOOKUP($F136,DDE!$A:$AJ,Q$1,FALSE)</f>
        <v xml:space="preserve"> -</v>
      </c>
      <c r="R136" s="5">
        <f t="shared" si="35"/>
        <v>13886.58</v>
      </c>
      <c r="S136" s="5">
        <f>VLOOKUP(D136,cmoney!$A:$M,12,FALSE)</f>
        <v>294.5</v>
      </c>
      <c r="U136" s="5" t="str">
        <f t="shared" si="28"/>
        <v/>
      </c>
      <c r="V136" s="5" t="str">
        <f t="shared" si="29"/>
        <v>3081</v>
      </c>
      <c r="W136" s="5" t="str">
        <f t="shared" si="30"/>
        <v>聯亞</v>
      </c>
      <c r="X136" s="5" t="str">
        <f t="shared" si="31"/>
        <v>OTF</v>
      </c>
      <c r="Y136" s="49">
        <f>VLOOKUP($X136,股期名單!$L:$M,2,FALSE)</f>
        <v>2000</v>
      </c>
      <c r="Z136" s="5" t="str">
        <f t="shared" si="32"/>
        <v>OTFC1</v>
      </c>
      <c r="AA136" s="7">
        <f t="shared" si="33"/>
        <v>2.9303904923599324E-2</v>
      </c>
      <c r="AB136" s="5">
        <f>VLOOKUP($F136,DDE!$A:$AJ,AB$1,FALSE)</f>
        <v>8.6300000000000008</v>
      </c>
      <c r="AC136" s="5">
        <f>VLOOKUP($F136,DDE!$A:$AJ,AC$1,FALSE)</f>
        <v>13895.21</v>
      </c>
      <c r="AD136" s="5" t="str">
        <f>VLOOKUP($F136,DDE!$A:$AJ,AD$1,FALSE)</f>
        <v xml:space="preserve"> -</v>
      </c>
      <c r="AE136" s="5" t="str">
        <f>VLOOKUP($F136,DDE!$A:$AJ,AE$1,FALSE)</f>
        <v xml:space="preserve"> -</v>
      </c>
      <c r="AF136" s="5">
        <f>VLOOKUP($F136,DDE!$A:$AJ,AF$1,FALSE)</f>
        <v>872940</v>
      </c>
      <c r="AG136" s="5">
        <f>VLOOKUP($F136,DDE!$A:$AJ,AG$1,FALSE)</f>
        <v>13893.03</v>
      </c>
      <c r="AH136" s="5">
        <f>VLOOKUP($F136,DDE!$A:$AJ,AH$1,FALSE)</f>
        <v>13945.78</v>
      </c>
      <c r="AI136" s="5">
        <f>VLOOKUP($F136,DDE!$A:$AJ,AI$1,FALSE)</f>
        <v>13875.82</v>
      </c>
      <c r="AJ136" s="5" t="str">
        <f>VLOOKUP($F136,DDE!$A:$AJ,AJ$1,FALSE)</f>
        <v xml:space="preserve"> -</v>
      </c>
      <c r="AK136" s="5" t="str">
        <f>VLOOKUP($F136,DDE!$A:$AJ,AK$1,FALSE)</f>
        <v xml:space="preserve"> -</v>
      </c>
      <c r="AL136" s="5">
        <f t="shared" si="34"/>
        <v>13886.58</v>
      </c>
      <c r="AM136" s="5">
        <f>VLOOKUP(X136,cmoney!$A:$M,12,FALSE)</f>
        <v>294.5</v>
      </c>
    </row>
    <row r="137" spans="1:39" x14ac:dyDescent="0.25">
      <c r="A137" s="5" t="str">
        <f t="shared" si="26"/>
        <v/>
      </c>
      <c r="B137" s="5" t="s">
        <v>773</v>
      </c>
      <c r="C137" s="5" t="s">
        <v>464</v>
      </c>
      <c r="D137" s="5" t="s">
        <v>1012</v>
      </c>
      <c r="E137" s="5">
        <f>VLOOKUP($D137,股期名單!$L:$M,2,FALSE)</f>
        <v>2000</v>
      </c>
      <c r="F137" s="5" t="str">
        <f t="shared" si="25"/>
        <v>NAFB1</v>
      </c>
      <c r="G137" s="7">
        <f t="shared" si="27"/>
        <v>3.4572127139364306E-2</v>
      </c>
      <c r="H137" s="5">
        <f>VLOOKUP($F137,DDE!$A:$AJ,H$1,FALSE)</f>
        <v>14.14</v>
      </c>
      <c r="I137" s="5">
        <f>VLOOKUP($F137,DDE!$A:$AJ,I$1,FALSE)</f>
        <v>13900.72</v>
      </c>
      <c r="J137" s="5" t="str">
        <f>VLOOKUP($F137,DDE!$A:$AJ,J$1,FALSE)</f>
        <v xml:space="preserve"> -</v>
      </c>
      <c r="K137" s="5" t="str">
        <f>VLOOKUP($F137,DDE!$A:$AJ,K$1,FALSE)</f>
        <v xml:space="preserve"> -</v>
      </c>
      <c r="L137" s="5">
        <f>VLOOKUP($F137,DDE!$A:$AJ,L$1,FALSE)</f>
        <v>873827</v>
      </c>
      <c r="M137" s="5">
        <f>VLOOKUP($F137,DDE!$A:$AJ,M$1,FALSE)</f>
        <v>13893.03</v>
      </c>
      <c r="N137" s="5">
        <f>VLOOKUP($F137,DDE!$A:$AJ,N$1,FALSE)</f>
        <v>13945.78</v>
      </c>
      <c r="O137" s="5">
        <f>VLOOKUP($F137,DDE!$A:$AJ,O$1,FALSE)</f>
        <v>13875.82</v>
      </c>
      <c r="P137" s="5" t="str">
        <f>VLOOKUP($F137,DDE!$A:$AJ,P$1,FALSE)</f>
        <v xml:space="preserve"> -</v>
      </c>
      <c r="Q137" s="5" t="str">
        <f>VLOOKUP($F137,DDE!$A:$AJ,Q$1,FALSE)</f>
        <v xml:space="preserve"> -</v>
      </c>
      <c r="R137" s="5">
        <f t="shared" si="35"/>
        <v>13886.58</v>
      </c>
      <c r="S137" s="5">
        <f>VLOOKUP(D137,cmoney!$A:$M,12,FALSE)</f>
        <v>409</v>
      </c>
      <c r="U137" s="5" t="str">
        <f t="shared" si="28"/>
        <v/>
      </c>
      <c r="V137" s="5" t="str">
        <f t="shared" si="29"/>
        <v>3105</v>
      </c>
      <c r="W137" s="5" t="str">
        <f t="shared" si="30"/>
        <v>穩懋</v>
      </c>
      <c r="X137" s="5" t="str">
        <f t="shared" si="31"/>
        <v>NAF</v>
      </c>
      <c r="Y137" s="49">
        <f>VLOOKUP($X137,股期名單!$L:$M,2,FALSE)</f>
        <v>2000</v>
      </c>
      <c r="Z137" s="5" t="str">
        <f t="shared" si="32"/>
        <v>NAFC1</v>
      </c>
      <c r="AA137" s="7">
        <f t="shared" si="33"/>
        <v>3.4572127139364306E-2</v>
      </c>
      <c r="AB137" s="5">
        <f>VLOOKUP($F137,DDE!$A:$AJ,AB$1,FALSE)</f>
        <v>14.14</v>
      </c>
      <c r="AC137" s="5">
        <f>VLOOKUP($F137,DDE!$A:$AJ,AC$1,FALSE)</f>
        <v>13900.72</v>
      </c>
      <c r="AD137" s="5" t="str">
        <f>VLOOKUP($F137,DDE!$A:$AJ,AD$1,FALSE)</f>
        <v xml:space="preserve"> -</v>
      </c>
      <c r="AE137" s="5" t="str">
        <f>VLOOKUP($F137,DDE!$A:$AJ,AE$1,FALSE)</f>
        <v xml:space="preserve"> -</v>
      </c>
      <c r="AF137" s="5">
        <f>VLOOKUP($F137,DDE!$A:$AJ,AF$1,FALSE)</f>
        <v>873827</v>
      </c>
      <c r="AG137" s="5">
        <f>VLOOKUP($F137,DDE!$A:$AJ,AG$1,FALSE)</f>
        <v>13893.03</v>
      </c>
      <c r="AH137" s="5">
        <f>VLOOKUP($F137,DDE!$A:$AJ,AH$1,FALSE)</f>
        <v>13945.78</v>
      </c>
      <c r="AI137" s="5">
        <f>VLOOKUP($F137,DDE!$A:$AJ,AI$1,FALSE)</f>
        <v>13875.82</v>
      </c>
      <c r="AJ137" s="5" t="str">
        <f>VLOOKUP($F137,DDE!$A:$AJ,AJ$1,FALSE)</f>
        <v xml:space="preserve"> -</v>
      </c>
      <c r="AK137" s="5" t="str">
        <f>VLOOKUP($F137,DDE!$A:$AJ,AK$1,FALSE)</f>
        <v xml:space="preserve"> -</v>
      </c>
      <c r="AL137" s="5">
        <f t="shared" si="34"/>
        <v>13886.58</v>
      </c>
      <c r="AM137" s="5">
        <f>VLOOKUP(X137,cmoney!$A:$M,12,FALSE)</f>
        <v>409</v>
      </c>
    </row>
    <row r="138" spans="1:39" x14ac:dyDescent="0.25">
      <c r="A138" s="5" t="str">
        <f t="shared" si="26"/>
        <v>小型</v>
      </c>
      <c r="B138" s="5" t="s">
        <v>773</v>
      </c>
      <c r="C138" s="5" t="s">
        <v>464</v>
      </c>
      <c r="D138" s="5" t="s">
        <v>1013</v>
      </c>
      <c r="E138" s="5">
        <f>VLOOKUP($D138,股期名單!$L:$M,2,FALSE)</f>
        <v>100</v>
      </c>
      <c r="F138" s="5" t="str">
        <f t="shared" si="25"/>
        <v>QIFB1</v>
      </c>
      <c r="G138" s="7" t="e">
        <f t="shared" si="27"/>
        <v>#VALUE!</v>
      </c>
      <c r="H138" s="5" t="str">
        <f>VLOOKUP($F138,DDE!$A:$AJ,H$1,FALSE)</f>
        <v xml:space="preserve"> </v>
      </c>
      <c r="I138" s="5">
        <f>VLOOKUP($F138,DDE!$A:$AJ,I$1,FALSE)</f>
        <v>20878632</v>
      </c>
      <c r="J138" s="5" t="str">
        <f>VLOOKUP($F138,DDE!$A:$AJ,J$1,FALSE)</f>
        <v xml:space="preserve"> -</v>
      </c>
      <c r="K138" s="5" t="str">
        <f>VLOOKUP($F138,DDE!$A:$AJ,K$1,FALSE)</f>
        <v xml:space="preserve"> -</v>
      </c>
      <c r="L138" s="5">
        <f>VLOOKUP($F138,DDE!$A:$AJ,L$1,FALSE)</f>
        <v>2088371110</v>
      </c>
      <c r="M138" s="5">
        <f>VLOOKUP($F138,DDE!$A:$AJ,M$1,FALSE)</f>
        <v>20803788</v>
      </c>
      <c r="N138" s="5">
        <f>VLOOKUP($F138,DDE!$A:$AJ,N$1,FALSE)</f>
        <v>20804690</v>
      </c>
      <c r="O138" s="5">
        <f>VLOOKUP($F138,DDE!$A:$AJ,O$1,FALSE)</f>
        <v>10989732</v>
      </c>
      <c r="P138" s="5" t="str">
        <f>VLOOKUP($F138,DDE!$A:$AJ,P$1,FALSE)</f>
        <v xml:space="preserve"> -</v>
      </c>
      <c r="Q138" s="5" t="str">
        <f>VLOOKUP($F138,DDE!$A:$AJ,Q$1,FALSE)</f>
        <v xml:space="preserve"> -</v>
      </c>
      <c r="R138" s="5" t="e">
        <f t="shared" si="35"/>
        <v>#VALUE!</v>
      </c>
      <c r="S138" s="5">
        <f>VLOOKUP(D138,cmoney!$A:$M,12,FALSE)</f>
        <v>409</v>
      </c>
      <c r="U138" s="5" t="str">
        <f t="shared" si="28"/>
        <v>小型</v>
      </c>
      <c r="V138" s="5" t="str">
        <f t="shared" si="29"/>
        <v>3105</v>
      </c>
      <c r="W138" s="5" t="str">
        <f t="shared" si="30"/>
        <v>穩懋</v>
      </c>
      <c r="X138" s="5" t="str">
        <f t="shared" si="31"/>
        <v>QIF</v>
      </c>
      <c r="Y138" s="49">
        <f>VLOOKUP($X138,股期名單!$L:$M,2,FALSE)</f>
        <v>100</v>
      </c>
      <c r="Z138" s="5" t="str">
        <f t="shared" si="32"/>
        <v>QIFC1</v>
      </c>
      <c r="AA138" s="7" t="e">
        <f t="shared" si="33"/>
        <v>#VALUE!</v>
      </c>
      <c r="AB138" s="5" t="str">
        <f>VLOOKUP($F138,DDE!$A:$AJ,AB$1,FALSE)</f>
        <v xml:space="preserve"> </v>
      </c>
      <c r="AC138" s="5">
        <f>VLOOKUP($F138,DDE!$A:$AJ,AC$1,FALSE)</f>
        <v>20878632</v>
      </c>
      <c r="AD138" s="5" t="str">
        <f>VLOOKUP($F138,DDE!$A:$AJ,AD$1,FALSE)</f>
        <v xml:space="preserve"> -</v>
      </c>
      <c r="AE138" s="5" t="str">
        <f>VLOOKUP($F138,DDE!$A:$AJ,AE$1,FALSE)</f>
        <v xml:space="preserve"> -</v>
      </c>
      <c r="AF138" s="5">
        <f>VLOOKUP($F138,DDE!$A:$AJ,AF$1,FALSE)</f>
        <v>2088371110</v>
      </c>
      <c r="AG138" s="5">
        <f>VLOOKUP($F138,DDE!$A:$AJ,AG$1,FALSE)</f>
        <v>20803788</v>
      </c>
      <c r="AH138" s="5">
        <f>VLOOKUP($F138,DDE!$A:$AJ,AH$1,FALSE)</f>
        <v>20804690</v>
      </c>
      <c r="AI138" s="5">
        <f>VLOOKUP($F138,DDE!$A:$AJ,AI$1,FALSE)</f>
        <v>10989732</v>
      </c>
      <c r="AJ138" s="5" t="str">
        <f>VLOOKUP($F138,DDE!$A:$AJ,AJ$1,FALSE)</f>
        <v xml:space="preserve"> -</v>
      </c>
      <c r="AK138" s="5" t="str">
        <f>VLOOKUP($F138,DDE!$A:$AJ,AK$1,FALSE)</f>
        <v xml:space="preserve"> -</v>
      </c>
      <c r="AL138" s="5" t="e">
        <f t="shared" si="34"/>
        <v>#VALUE!</v>
      </c>
      <c r="AM138" s="5">
        <f>VLOOKUP(X138,cmoney!$A:$M,12,FALSE)</f>
        <v>409</v>
      </c>
    </row>
    <row r="139" spans="1:39" x14ac:dyDescent="0.25">
      <c r="A139" s="5" t="str">
        <f t="shared" si="26"/>
        <v/>
      </c>
      <c r="B139" s="5" t="s">
        <v>774</v>
      </c>
      <c r="C139" s="5" t="s">
        <v>467</v>
      </c>
      <c r="D139" s="5" t="s">
        <v>1014</v>
      </c>
      <c r="E139" s="5">
        <f>VLOOKUP($D139,股期名單!$L:$M,2,FALSE)</f>
        <v>2000</v>
      </c>
      <c r="F139" s="5" t="str">
        <f t="shared" si="25"/>
        <v>NBFB1</v>
      </c>
      <c r="G139" s="7">
        <f t="shared" si="27"/>
        <v>-4.5233644859813085E-2</v>
      </c>
      <c r="H139" s="5">
        <f>VLOOKUP($F139,DDE!$A:$AJ,H$1,FALSE)</f>
        <v>-21.78</v>
      </c>
      <c r="I139" s="5">
        <f>VLOOKUP($F139,DDE!$A:$AJ,I$1,FALSE)</f>
        <v>16421.62</v>
      </c>
      <c r="J139" s="5" t="str">
        <f>VLOOKUP($F139,DDE!$A:$AJ,J$1,FALSE)</f>
        <v xml:space="preserve"> -</v>
      </c>
      <c r="K139" s="5" t="str">
        <f>VLOOKUP($F139,DDE!$A:$AJ,K$1,FALSE)</f>
        <v xml:space="preserve"> -</v>
      </c>
      <c r="L139" s="5">
        <f>VLOOKUP($F139,DDE!$A:$AJ,L$1,FALSE)</f>
        <v>4027056</v>
      </c>
      <c r="M139" s="5">
        <f>VLOOKUP($F139,DDE!$A:$AJ,M$1,FALSE)</f>
        <v>16329.54</v>
      </c>
      <c r="N139" s="5">
        <f>VLOOKUP($F139,DDE!$A:$AJ,N$1,FALSE)</f>
        <v>16456.939999999999</v>
      </c>
      <c r="O139" s="5">
        <f>VLOOKUP($F139,DDE!$A:$AJ,O$1,FALSE)</f>
        <v>16329.54</v>
      </c>
      <c r="P139" s="5" t="str">
        <f>VLOOKUP($F139,DDE!$A:$AJ,P$1,FALSE)</f>
        <v xml:space="preserve"> -</v>
      </c>
      <c r="Q139" s="5" t="str">
        <f>VLOOKUP($F139,DDE!$A:$AJ,Q$1,FALSE)</f>
        <v xml:space="preserve"> -</v>
      </c>
      <c r="R139" s="5">
        <f t="shared" ref="R139:R170" si="36">IF(L139&gt;0,I139-H139,"")</f>
        <v>16443.399999999998</v>
      </c>
      <c r="S139" s="5">
        <f>VLOOKUP(D139,cmoney!$A:$M,12,FALSE)</f>
        <v>481.5</v>
      </c>
      <c r="U139" s="5" t="str">
        <f t="shared" si="28"/>
        <v/>
      </c>
      <c r="V139" s="5" t="str">
        <f t="shared" si="29"/>
        <v>3152</v>
      </c>
      <c r="W139" s="5" t="str">
        <f t="shared" si="30"/>
        <v>璟德</v>
      </c>
      <c r="X139" s="5" t="str">
        <f t="shared" si="31"/>
        <v>NBF</v>
      </c>
      <c r="Y139" s="49">
        <f>VLOOKUP($X139,股期名單!$L:$M,2,FALSE)</f>
        <v>2000</v>
      </c>
      <c r="Z139" s="5" t="str">
        <f t="shared" si="32"/>
        <v>NBFC1</v>
      </c>
      <c r="AA139" s="7">
        <f t="shared" si="33"/>
        <v>-4.5233644859813085E-2</v>
      </c>
      <c r="AB139" s="5">
        <f>VLOOKUP($F139,DDE!$A:$AJ,AB$1,FALSE)</f>
        <v>-21.78</v>
      </c>
      <c r="AC139" s="5">
        <f>VLOOKUP($F139,DDE!$A:$AJ,AC$1,FALSE)</f>
        <v>16421.62</v>
      </c>
      <c r="AD139" s="5" t="str">
        <f>VLOOKUP($F139,DDE!$A:$AJ,AD$1,FALSE)</f>
        <v xml:space="preserve"> -</v>
      </c>
      <c r="AE139" s="5" t="str">
        <f>VLOOKUP($F139,DDE!$A:$AJ,AE$1,FALSE)</f>
        <v xml:space="preserve"> -</v>
      </c>
      <c r="AF139" s="5">
        <f>VLOOKUP($F139,DDE!$A:$AJ,AF$1,FALSE)</f>
        <v>4027056</v>
      </c>
      <c r="AG139" s="5">
        <f>VLOOKUP($F139,DDE!$A:$AJ,AG$1,FALSE)</f>
        <v>16329.54</v>
      </c>
      <c r="AH139" s="5">
        <f>VLOOKUP($F139,DDE!$A:$AJ,AH$1,FALSE)</f>
        <v>16456.939999999999</v>
      </c>
      <c r="AI139" s="5">
        <f>VLOOKUP($F139,DDE!$A:$AJ,AI$1,FALSE)</f>
        <v>16329.54</v>
      </c>
      <c r="AJ139" s="5" t="str">
        <f>VLOOKUP($F139,DDE!$A:$AJ,AJ$1,FALSE)</f>
        <v xml:space="preserve"> -</v>
      </c>
      <c r="AK139" s="5" t="str">
        <f>VLOOKUP($F139,DDE!$A:$AJ,AK$1,FALSE)</f>
        <v xml:space="preserve"> -</v>
      </c>
      <c r="AL139" s="5">
        <f t="shared" si="34"/>
        <v>16443.399999999998</v>
      </c>
      <c r="AM139" s="5">
        <f>VLOOKUP(X139,cmoney!$A:$M,12,FALSE)</f>
        <v>481.5</v>
      </c>
    </row>
    <row r="140" spans="1:39" x14ac:dyDescent="0.25">
      <c r="A140" s="5" t="str">
        <f t="shared" si="26"/>
        <v/>
      </c>
      <c r="B140" s="5" t="s">
        <v>728</v>
      </c>
      <c r="C140" s="5" t="s">
        <v>329</v>
      </c>
      <c r="D140" s="5" t="s">
        <v>1015</v>
      </c>
      <c r="E140" s="5">
        <f>VLOOKUP($D140,股期名單!$L:$M,2,FALSE)</f>
        <v>2000</v>
      </c>
      <c r="F140" s="5" t="str">
        <f t="shared" ref="F140:F203" si="37">$D140&amp;$E$1&amp;$F$1</f>
        <v>IXFB1</v>
      </c>
      <c r="G140" s="7" t="e">
        <f t="shared" si="27"/>
        <v>#VALUE!</v>
      </c>
      <c r="H140" s="5" t="str">
        <f>VLOOKUP($F140,DDE!$A:$AJ,H$1,FALSE)</f>
        <v xml:space="preserve"> </v>
      </c>
      <c r="I140" s="5">
        <f>VLOOKUP($F140,DDE!$A:$AJ,I$1,FALSE)</f>
        <v>20878632</v>
      </c>
      <c r="J140" s="5" t="str">
        <f>VLOOKUP($F140,DDE!$A:$AJ,J$1,FALSE)</f>
        <v xml:space="preserve"> -</v>
      </c>
      <c r="K140" s="5" t="str">
        <f>VLOOKUP($F140,DDE!$A:$AJ,K$1,FALSE)</f>
        <v xml:space="preserve"> -</v>
      </c>
      <c r="L140" s="5">
        <f>VLOOKUP($F140,DDE!$A:$AJ,L$1,FALSE)</f>
        <v>2088371110</v>
      </c>
      <c r="M140" s="5">
        <f>VLOOKUP($F140,DDE!$A:$AJ,M$1,FALSE)</f>
        <v>20803788</v>
      </c>
      <c r="N140" s="5">
        <f>VLOOKUP($F140,DDE!$A:$AJ,N$1,FALSE)</f>
        <v>20804690</v>
      </c>
      <c r="O140" s="5">
        <f>VLOOKUP($F140,DDE!$A:$AJ,O$1,FALSE)</f>
        <v>10989732</v>
      </c>
      <c r="P140" s="5" t="str">
        <f>VLOOKUP($F140,DDE!$A:$AJ,P$1,FALSE)</f>
        <v xml:space="preserve"> -</v>
      </c>
      <c r="Q140" s="5" t="str">
        <f>VLOOKUP($F140,DDE!$A:$AJ,Q$1,FALSE)</f>
        <v xml:space="preserve"> -</v>
      </c>
      <c r="R140" s="5" t="e">
        <f t="shared" si="36"/>
        <v>#VALUE!</v>
      </c>
      <c r="S140" s="5">
        <f>VLOOKUP(D140,cmoney!$A:$M,12,FALSE)</f>
        <v>96.1</v>
      </c>
      <c r="U140" s="5" t="str">
        <f t="shared" si="28"/>
        <v/>
      </c>
      <c r="V140" s="5" t="str">
        <f t="shared" si="29"/>
        <v>3189</v>
      </c>
      <c r="W140" s="5" t="str">
        <f t="shared" si="30"/>
        <v>景碩</v>
      </c>
      <c r="X140" s="5" t="str">
        <f t="shared" si="31"/>
        <v>IXF</v>
      </c>
      <c r="Y140" s="49">
        <f>VLOOKUP($X140,股期名單!$L:$M,2,FALSE)</f>
        <v>2000</v>
      </c>
      <c r="Z140" s="5" t="str">
        <f t="shared" si="32"/>
        <v>IXFC1</v>
      </c>
      <c r="AA140" s="7" t="e">
        <f t="shared" si="33"/>
        <v>#VALUE!</v>
      </c>
      <c r="AB140" s="5" t="str">
        <f>VLOOKUP($F140,DDE!$A:$AJ,AB$1,FALSE)</f>
        <v xml:space="preserve"> </v>
      </c>
      <c r="AC140" s="5">
        <f>VLOOKUP($F140,DDE!$A:$AJ,AC$1,FALSE)</f>
        <v>20878632</v>
      </c>
      <c r="AD140" s="5" t="str">
        <f>VLOOKUP($F140,DDE!$A:$AJ,AD$1,FALSE)</f>
        <v xml:space="preserve"> -</v>
      </c>
      <c r="AE140" s="5" t="str">
        <f>VLOOKUP($F140,DDE!$A:$AJ,AE$1,FALSE)</f>
        <v xml:space="preserve"> -</v>
      </c>
      <c r="AF140" s="5">
        <f>VLOOKUP($F140,DDE!$A:$AJ,AF$1,FALSE)</f>
        <v>2088371110</v>
      </c>
      <c r="AG140" s="5">
        <f>VLOOKUP($F140,DDE!$A:$AJ,AG$1,FALSE)</f>
        <v>20803788</v>
      </c>
      <c r="AH140" s="5">
        <f>VLOOKUP($F140,DDE!$A:$AJ,AH$1,FALSE)</f>
        <v>20804690</v>
      </c>
      <c r="AI140" s="5">
        <f>VLOOKUP($F140,DDE!$A:$AJ,AI$1,FALSE)</f>
        <v>10989732</v>
      </c>
      <c r="AJ140" s="5" t="str">
        <f>VLOOKUP($F140,DDE!$A:$AJ,AJ$1,FALSE)</f>
        <v xml:space="preserve"> -</v>
      </c>
      <c r="AK140" s="5" t="str">
        <f>VLOOKUP($F140,DDE!$A:$AJ,AK$1,FALSE)</f>
        <v xml:space="preserve"> -</v>
      </c>
      <c r="AL140" s="5" t="e">
        <f t="shared" si="34"/>
        <v>#VALUE!</v>
      </c>
      <c r="AM140" s="5">
        <f>VLOOKUP(X140,cmoney!$A:$M,12,FALSE)</f>
        <v>96.1</v>
      </c>
    </row>
    <row r="141" spans="1:39" x14ac:dyDescent="0.25">
      <c r="A141" s="5" t="str">
        <f t="shared" si="26"/>
        <v/>
      </c>
      <c r="B141" s="5" t="s">
        <v>775</v>
      </c>
      <c r="C141" s="5" t="s">
        <v>470</v>
      </c>
      <c r="D141" s="5" t="s">
        <v>1016</v>
      </c>
      <c r="E141" s="5">
        <f>VLOOKUP($D141,股期名單!$L:$M,2,FALSE)</f>
        <v>2000</v>
      </c>
      <c r="F141" s="5" t="str">
        <f t="shared" si="37"/>
        <v>NCFB1</v>
      </c>
      <c r="G141" s="7">
        <f t="shared" si="27"/>
        <v>-0.19847619047619047</v>
      </c>
      <c r="H141" s="5">
        <f>VLOOKUP($F141,DDE!$A:$AJ,H$1,FALSE)</f>
        <v>-20.84</v>
      </c>
      <c r="I141" s="5">
        <f>VLOOKUP($F141,DDE!$A:$AJ,I$1,FALSE)</f>
        <v>16422.560000000001</v>
      </c>
      <c r="J141" s="5" t="str">
        <f>VLOOKUP($F141,DDE!$A:$AJ,J$1,FALSE)</f>
        <v xml:space="preserve"> -</v>
      </c>
      <c r="K141" s="5" t="str">
        <f>VLOOKUP($F141,DDE!$A:$AJ,K$1,FALSE)</f>
        <v xml:space="preserve"> -</v>
      </c>
      <c r="L141" s="5">
        <f>VLOOKUP($F141,DDE!$A:$AJ,L$1,FALSE)</f>
        <v>4024617</v>
      </c>
      <c r="M141" s="5">
        <f>VLOOKUP($F141,DDE!$A:$AJ,M$1,FALSE)</f>
        <v>16329.54</v>
      </c>
      <c r="N141" s="5">
        <f>VLOOKUP($F141,DDE!$A:$AJ,N$1,FALSE)</f>
        <v>16456.939999999999</v>
      </c>
      <c r="O141" s="5">
        <f>VLOOKUP($F141,DDE!$A:$AJ,O$1,FALSE)</f>
        <v>16329.54</v>
      </c>
      <c r="P141" s="5" t="str">
        <f>VLOOKUP($F141,DDE!$A:$AJ,P$1,FALSE)</f>
        <v xml:space="preserve"> -</v>
      </c>
      <c r="Q141" s="5" t="str">
        <f>VLOOKUP($F141,DDE!$A:$AJ,Q$1,FALSE)</f>
        <v xml:space="preserve"> -</v>
      </c>
      <c r="R141" s="5">
        <f t="shared" si="36"/>
        <v>16443.400000000001</v>
      </c>
      <c r="S141" s="5">
        <f>VLOOKUP(D141,cmoney!$A:$M,12,FALSE)</f>
        <v>105</v>
      </c>
      <c r="U141" s="5" t="str">
        <f t="shared" si="28"/>
        <v/>
      </c>
      <c r="V141" s="5" t="str">
        <f t="shared" si="29"/>
        <v>3211</v>
      </c>
      <c r="W141" s="5" t="str">
        <f t="shared" si="30"/>
        <v>順達</v>
      </c>
      <c r="X141" s="5" t="str">
        <f t="shared" si="31"/>
        <v>NCF</v>
      </c>
      <c r="Y141" s="49">
        <f>VLOOKUP($X141,股期名單!$L:$M,2,FALSE)</f>
        <v>2000</v>
      </c>
      <c r="Z141" s="5" t="str">
        <f t="shared" si="32"/>
        <v>NCFC1</v>
      </c>
      <c r="AA141" s="7">
        <f t="shared" si="33"/>
        <v>-0.19847619047619047</v>
      </c>
      <c r="AB141" s="5">
        <f>VLOOKUP($F141,DDE!$A:$AJ,AB$1,FALSE)</f>
        <v>-20.84</v>
      </c>
      <c r="AC141" s="5">
        <f>VLOOKUP($F141,DDE!$A:$AJ,AC$1,FALSE)</f>
        <v>16422.560000000001</v>
      </c>
      <c r="AD141" s="5" t="str">
        <f>VLOOKUP($F141,DDE!$A:$AJ,AD$1,FALSE)</f>
        <v xml:space="preserve"> -</v>
      </c>
      <c r="AE141" s="5" t="str">
        <f>VLOOKUP($F141,DDE!$A:$AJ,AE$1,FALSE)</f>
        <v xml:space="preserve"> -</v>
      </c>
      <c r="AF141" s="5">
        <f>VLOOKUP($F141,DDE!$A:$AJ,AF$1,FALSE)</f>
        <v>4024617</v>
      </c>
      <c r="AG141" s="5">
        <f>VLOOKUP($F141,DDE!$A:$AJ,AG$1,FALSE)</f>
        <v>16329.54</v>
      </c>
      <c r="AH141" s="5">
        <f>VLOOKUP($F141,DDE!$A:$AJ,AH$1,FALSE)</f>
        <v>16456.939999999999</v>
      </c>
      <c r="AI141" s="5">
        <f>VLOOKUP($F141,DDE!$A:$AJ,AI$1,FALSE)</f>
        <v>16329.54</v>
      </c>
      <c r="AJ141" s="5" t="str">
        <f>VLOOKUP($F141,DDE!$A:$AJ,AJ$1,FALSE)</f>
        <v xml:space="preserve"> -</v>
      </c>
      <c r="AK141" s="5" t="str">
        <f>VLOOKUP($F141,DDE!$A:$AJ,AK$1,FALSE)</f>
        <v xml:space="preserve"> -</v>
      </c>
      <c r="AL141" s="5">
        <f t="shared" si="34"/>
        <v>16443.400000000001</v>
      </c>
      <c r="AM141" s="5">
        <f>VLOOKUP(X141,cmoney!$A:$M,12,FALSE)</f>
        <v>105</v>
      </c>
    </row>
    <row r="142" spans="1:39" x14ac:dyDescent="0.25">
      <c r="A142" s="5" t="str">
        <f t="shared" si="26"/>
        <v/>
      </c>
      <c r="B142" s="5" t="s">
        <v>803</v>
      </c>
      <c r="C142" s="5" t="s">
        <v>589</v>
      </c>
      <c r="D142" s="5" t="s">
        <v>1017</v>
      </c>
      <c r="E142" s="5">
        <f>VLOOKUP($D142,股期名單!$L:$M,2,FALSE)</f>
        <v>2000</v>
      </c>
      <c r="F142" s="5" t="str">
        <f t="shared" si="37"/>
        <v>PAFB1</v>
      </c>
      <c r="G142" s="7">
        <f t="shared" si="27"/>
        <v>-0.11524324324324324</v>
      </c>
      <c r="H142" s="5">
        <f>VLOOKUP($F142,DDE!$A:$AJ,H$1,FALSE)</f>
        <v>-21.32</v>
      </c>
      <c r="I142" s="5">
        <f>VLOOKUP($F142,DDE!$A:$AJ,I$1,FALSE)</f>
        <v>16422.080000000002</v>
      </c>
      <c r="J142" s="5" t="str">
        <f>VLOOKUP($F142,DDE!$A:$AJ,J$1,FALSE)</f>
        <v xml:space="preserve"> -</v>
      </c>
      <c r="K142" s="5" t="str">
        <f>VLOOKUP($F142,DDE!$A:$AJ,K$1,FALSE)</f>
        <v xml:space="preserve"> -</v>
      </c>
      <c r="L142" s="5">
        <f>VLOOKUP($F142,DDE!$A:$AJ,L$1,FALSE)</f>
        <v>4018459</v>
      </c>
      <c r="M142" s="5">
        <f>VLOOKUP($F142,DDE!$A:$AJ,M$1,FALSE)</f>
        <v>16329.54</v>
      </c>
      <c r="N142" s="5">
        <f>VLOOKUP($F142,DDE!$A:$AJ,N$1,FALSE)</f>
        <v>16456.939999999999</v>
      </c>
      <c r="O142" s="5">
        <f>VLOOKUP($F142,DDE!$A:$AJ,O$1,FALSE)</f>
        <v>16329.54</v>
      </c>
      <c r="P142" s="5" t="str">
        <f>VLOOKUP($F142,DDE!$A:$AJ,P$1,FALSE)</f>
        <v xml:space="preserve"> -</v>
      </c>
      <c r="Q142" s="5" t="str">
        <f>VLOOKUP($F142,DDE!$A:$AJ,Q$1,FALSE)</f>
        <v xml:space="preserve"> -</v>
      </c>
      <c r="R142" s="5">
        <f t="shared" si="36"/>
        <v>16443.400000000001</v>
      </c>
      <c r="S142" s="5">
        <f>VLOOKUP(D142,cmoney!$A:$M,12,FALSE)</f>
        <v>185</v>
      </c>
      <c r="U142" s="5" t="str">
        <f t="shared" si="28"/>
        <v/>
      </c>
      <c r="V142" s="5" t="str">
        <f t="shared" si="29"/>
        <v>3227</v>
      </c>
      <c r="W142" s="5" t="str">
        <f t="shared" si="30"/>
        <v>原相</v>
      </c>
      <c r="X142" s="5" t="str">
        <f t="shared" si="31"/>
        <v>PAF</v>
      </c>
      <c r="Y142" s="49">
        <f>VLOOKUP($X142,股期名單!$L:$M,2,FALSE)</f>
        <v>2000</v>
      </c>
      <c r="Z142" s="5" t="str">
        <f t="shared" si="32"/>
        <v>PAFC1</v>
      </c>
      <c r="AA142" s="7">
        <f t="shared" si="33"/>
        <v>-0.11524324324324324</v>
      </c>
      <c r="AB142" s="5">
        <f>VLOOKUP($F142,DDE!$A:$AJ,AB$1,FALSE)</f>
        <v>-21.32</v>
      </c>
      <c r="AC142" s="5">
        <f>VLOOKUP($F142,DDE!$A:$AJ,AC$1,FALSE)</f>
        <v>16422.080000000002</v>
      </c>
      <c r="AD142" s="5" t="str">
        <f>VLOOKUP($F142,DDE!$A:$AJ,AD$1,FALSE)</f>
        <v xml:space="preserve"> -</v>
      </c>
      <c r="AE142" s="5" t="str">
        <f>VLOOKUP($F142,DDE!$A:$AJ,AE$1,FALSE)</f>
        <v xml:space="preserve"> -</v>
      </c>
      <c r="AF142" s="5">
        <f>VLOOKUP($F142,DDE!$A:$AJ,AF$1,FALSE)</f>
        <v>4018459</v>
      </c>
      <c r="AG142" s="5">
        <f>VLOOKUP($F142,DDE!$A:$AJ,AG$1,FALSE)</f>
        <v>16329.54</v>
      </c>
      <c r="AH142" s="5">
        <f>VLOOKUP($F142,DDE!$A:$AJ,AH$1,FALSE)</f>
        <v>16456.939999999999</v>
      </c>
      <c r="AI142" s="5">
        <f>VLOOKUP($F142,DDE!$A:$AJ,AI$1,FALSE)</f>
        <v>16329.54</v>
      </c>
      <c r="AJ142" s="5" t="str">
        <f>VLOOKUP($F142,DDE!$A:$AJ,AJ$1,FALSE)</f>
        <v xml:space="preserve"> -</v>
      </c>
      <c r="AK142" s="5" t="str">
        <f>VLOOKUP($F142,DDE!$A:$AJ,AK$1,FALSE)</f>
        <v xml:space="preserve"> -</v>
      </c>
      <c r="AL142" s="5">
        <f t="shared" si="34"/>
        <v>16443.400000000001</v>
      </c>
      <c r="AM142" s="5">
        <f>VLOOKUP(X142,cmoney!$A:$M,12,FALSE)</f>
        <v>185</v>
      </c>
    </row>
    <row r="143" spans="1:39" x14ac:dyDescent="0.25">
      <c r="A143" s="5" t="str">
        <f t="shared" si="26"/>
        <v/>
      </c>
      <c r="B143" s="5" t="s">
        <v>674</v>
      </c>
      <c r="C143" s="5" t="s">
        <v>167</v>
      </c>
      <c r="D143" s="5" t="s">
        <v>1018</v>
      </c>
      <c r="E143" s="5">
        <f>VLOOKUP($D143,股期名單!$L:$M,2,FALSE)</f>
        <v>2000</v>
      </c>
      <c r="F143" s="5" t="str">
        <f t="shared" si="37"/>
        <v>DXFB1</v>
      </c>
      <c r="G143" s="7">
        <f t="shared" si="27"/>
        <v>-0.68062500000000004</v>
      </c>
      <c r="H143" s="5">
        <f>VLOOKUP($F143,DDE!$A:$AJ,H$1,FALSE)</f>
        <v>-21.78</v>
      </c>
      <c r="I143" s="5">
        <f>VLOOKUP($F143,DDE!$A:$AJ,I$1,FALSE)</f>
        <v>16421.62</v>
      </c>
      <c r="J143" s="5" t="str">
        <f>VLOOKUP($F143,DDE!$A:$AJ,J$1,FALSE)</f>
        <v xml:space="preserve"> -</v>
      </c>
      <c r="K143" s="5" t="str">
        <f>VLOOKUP($F143,DDE!$A:$AJ,K$1,FALSE)</f>
        <v xml:space="preserve"> -</v>
      </c>
      <c r="L143" s="5">
        <f>VLOOKUP($F143,DDE!$A:$AJ,L$1,FALSE)</f>
        <v>4027056</v>
      </c>
      <c r="M143" s="5">
        <f>VLOOKUP($F143,DDE!$A:$AJ,M$1,FALSE)</f>
        <v>16329.54</v>
      </c>
      <c r="N143" s="5">
        <f>VLOOKUP($F143,DDE!$A:$AJ,N$1,FALSE)</f>
        <v>16456.939999999999</v>
      </c>
      <c r="O143" s="5">
        <f>VLOOKUP($F143,DDE!$A:$AJ,O$1,FALSE)</f>
        <v>16329.54</v>
      </c>
      <c r="P143" s="5" t="str">
        <f>VLOOKUP($F143,DDE!$A:$AJ,P$1,FALSE)</f>
        <v xml:space="preserve"> -</v>
      </c>
      <c r="Q143" s="5" t="str">
        <f>VLOOKUP($F143,DDE!$A:$AJ,Q$1,FALSE)</f>
        <v xml:space="preserve"> -</v>
      </c>
      <c r="R143" s="5">
        <f t="shared" si="36"/>
        <v>16443.399999999998</v>
      </c>
      <c r="S143" s="5">
        <f>VLOOKUP(D143,cmoney!$A:$M,12,FALSE)</f>
        <v>32</v>
      </c>
      <c r="U143" s="5" t="str">
        <f t="shared" si="28"/>
        <v/>
      </c>
      <c r="V143" s="5" t="str">
        <f t="shared" si="29"/>
        <v>3231</v>
      </c>
      <c r="W143" s="5" t="str">
        <f t="shared" si="30"/>
        <v>緯創</v>
      </c>
      <c r="X143" s="5" t="str">
        <f t="shared" si="31"/>
        <v>DXF</v>
      </c>
      <c r="Y143" s="49">
        <f>VLOOKUP($X143,股期名單!$L:$M,2,FALSE)</f>
        <v>2000</v>
      </c>
      <c r="Z143" s="5" t="str">
        <f t="shared" si="32"/>
        <v>DXFC1</v>
      </c>
      <c r="AA143" s="7">
        <f t="shared" si="33"/>
        <v>-0.68062500000000004</v>
      </c>
      <c r="AB143" s="5">
        <f>VLOOKUP($F143,DDE!$A:$AJ,AB$1,FALSE)</f>
        <v>-21.78</v>
      </c>
      <c r="AC143" s="5">
        <f>VLOOKUP($F143,DDE!$A:$AJ,AC$1,FALSE)</f>
        <v>16421.62</v>
      </c>
      <c r="AD143" s="5" t="str">
        <f>VLOOKUP($F143,DDE!$A:$AJ,AD$1,FALSE)</f>
        <v xml:space="preserve"> -</v>
      </c>
      <c r="AE143" s="5" t="str">
        <f>VLOOKUP($F143,DDE!$A:$AJ,AE$1,FALSE)</f>
        <v xml:space="preserve"> -</v>
      </c>
      <c r="AF143" s="5">
        <f>VLOOKUP($F143,DDE!$A:$AJ,AF$1,FALSE)</f>
        <v>4027056</v>
      </c>
      <c r="AG143" s="5">
        <f>VLOOKUP($F143,DDE!$A:$AJ,AG$1,FALSE)</f>
        <v>16329.54</v>
      </c>
      <c r="AH143" s="5">
        <f>VLOOKUP($F143,DDE!$A:$AJ,AH$1,FALSE)</f>
        <v>16456.939999999999</v>
      </c>
      <c r="AI143" s="5">
        <f>VLOOKUP($F143,DDE!$A:$AJ,AI$1,FALSE)</f>
        <v>16329.54</v>
      </c>
      <c r="AJ143" s="5" t="str">
        <f>VLOOKUP($F143,DDE!$A:$AJ,AJ$1,FALSE)</f>
        <v xml:space="preserve"> -</v>
      </c>
      <c r="AK143" s="5" t="str">
        <f>VLOOKUP($F143,DDE!$A:$AJ,AK$1,FALSE)</f>
        <v xml:space="preserve"> -</v>
      </c>
      <c r="AL143" s="5">
        <f t="shared" si="34"/>
        <v>16443.399999999998</v>
      </c>
      <c r="AM143" s="5">
        <f>VLOOKUP(X143,cmoney!$A:$M,12,FALSE)</f>
        <v>32</v>
      </c>
    </row>
    <row r="144" spans="1:39" x14ac:dyDescent="0.25">
      <c r="A144" s="5" t="str">
        <f t="shared" si="26"/>
        <v/>
      </c>
      <c r="B144" s="5" t="s">
        <v>776</v>
      </c>
      <c r="C144" s="5" t="s">
        <v>473</v>
      </c>
      <c r="D144" s="5" t="s">
        <v>1019</v>
      </c>
      <c r="E144" s="5">
        <f>VLOOKUP($D144,股期名單!$L:$M,2,FALSE)</f>
        <v>2000</v>
      </c>
      <c r="F144" s="5" t="str">
        <f t="shared" si="37"/>
        <v>NDFB1</v>
      </c>
      <c r="G144" s="7">
        <f t="shared" si="27"/>
        <v>-0.23844393592677343</v>
      </c>
      <c r="H144" s="5">
        <f>VLOOKUP($F144,DDE!$A:$AJ,H$1,FALSE)</f>
        <v>-20.84</v>
      </c>
      <c r="I144" s="5">
        <f>VLOOKUP($F144,DDE!$A:$AJ,I$1,FALSE)</f>
        <v>16422.560000000001</v>
      </c>
      <c r="J144" s="5" t="str">
        <f>VLOOKUP($F144,DDE!$A:$AJ,J$1,FALSE)</f>
        <v xml:space="preserve"> -</v>
      </c>
      <c r="K144" s="5" t="str">
        <f>VLOOKUP($F144,DDE!$A:$AJ,K$1,FALSE)</f>
        <v xml:space="preserve"> -</v>
      </c>
      <c r="L144" s="5">
        <f>VLOOKUP($F144,DDE!$A:$AJ,L$1,FALSE)</f>
        <v>4024617</v>
      </c>
      <c r="M144" s="5">
        <f>VLOOKUP($F144,DDE!$A:$AJ,M$1,FALSE)</f>
        <v>16329.54</v>
      </c>
      <c r="N144" s="5">
        <f>VLOOKUP($F144,DDE!$A:$AJ,N$1,FALSE)</f>
        <v>16456.939999999999</v>
      </c>
      <c r="O144" s="5">
        <f>VLOOKUP($F144,DDE!$A:$AJ,O$1,FALSE)</f>
        <v>16329.54</v>
      </c>
      <c r="P144" s="5" t="str">
        <f>VLOOKUP($F144,DDE!$A:$AJ,P$1,FALSE)</f>
        <v xml:space="preserve"> -</v>
      </c>
      <c r="Q144" s="5" t="str">
        <f>VLOOKUP($F144,DDE!$A:$AJ,Q$1,FALSE)</f>
        <v xml:space="preserve"> -</v>
      </c>
      <c r="R144" s="5">
        <f t="shared" si="36"/>
        <v>16443.400000000001</v>
      </c>
      <c r="S144" s="5">
        <f>VLOOKUP(D144,cmoney!$A:$M,12,FALSE)</f>
        <v>87.4</v>
      </c>
      <c r="U144" s="5" t="str">
        <f t="shared" si="28"/>
        <v/>
      </c>
      <c r="V144" s="5" t="str">
        <f t="shared" si="29"/>
        <v>3260</v>
      </c>
      <c r="W144" s="5" t="str">
        <f t="shared" si="30"/>
        <v>威剛</v>
      </c>
      <c r="X144" s="5" t="str">
        <f t="shared" si="31"/>
        <v>NDF</v>
      </c>
      <c r="Y144" s="49">
        <f>VLOOKUP($X144,股期名單!$L:$M,2,FALSE)</f>
        <v>2000</v>
      </c>
      <c r="Z144" s="5" t="str">
        <f t="shared" si="32"/>
        <v>NDFC1</v>
      </c>
      <c r="AA144" s="7">
        <f t="shared" si="33"/>
        <v>-0.23844393592677343</v>
      </c>
      <c r="AB144" s="5">
        <f>VLOOKUP($F144,DDE!$A:$AJ,AB$1,FALSE)</f>
        <v>-20.84</v>
      </c>
      <c r="AC144" s="5">
        <f>VLOOKUP($F144,DDE!$A:$AJ,AC$1,FALSE)</f>
        <v>16422.560000000001</v>
      </c>
      <c r="AD144" s="5" t="str">
        <f>VLOOKUP($F144,DDE!$A:$AJ,AD$1,FALSE)</f>
        <v xml:space="preserve"> -</v>
      </c>
      <c r="AE144" s="5" t="str">
        <f>VLOOKUP($F144,DDE!$A:$AJ,AE$1,FALSE)</f>
        <v xml:space="preserve"> -</v>
      </c>
      <c r="AF144" s="5">
        <f>VLOOKUP($F144,DDE!$A:$AJ,AF$1,FALSE)</f>
        <v>4024617</v>
      </c>
      <c r="AG144" s="5">
        <f>VLOOKUP($F144,DDE!$A:$AJ,AG$1,FALSE)</f>
        <v>16329.54</v>
      </c>
      <c r="AH144" s="5">
        <f>VLOOKUP($F144,DDE!$A:$AJ,AH$1,FALSE)</f>
        <v>16456.939999999999</v>
      </c>
      <c r="AI144" s="5">
        <f>VLOOKUP($F144,DDE!$A:$AJ,AI$1,FALSE)</f>
        <v>16329.54</v>
      </c>
      <c r="AJ144" s="5" t="str">
        <f>VLOOKUP($F144,DDE!$A:$AJ,AJ$1,FALSE)</f>
        <v xml:space="preserve"> -</v>
      </c>
      <c r="AK144" s="5" t="str">
        <f>VLOOKUP($F144,DDE!$A:$AJ,AK$1,FALSE)</f>
        <v xml:space="preserve"> -</v>
      </c>
      <c r="AL144" s="5">
        <f t="shared" si="34"/>
        <v>16443.400000000001</v>
      </c>
      <c r="AM144" s="5">
        <f>VLOOKUP(X144,cmoney!$A:$M,12,FALSE)</f>
        <v>87.4</v>
      </c>
    </row>
    <row r="145" spans="1:39" x14ac:dyDescent="0.25">
      <c r="A145" s="5" t="str">
        <f t="shared" si="26"/>
        <v/>
      </c>
      <c r="B145" s="5" t="s">
        <v>777</v>
      </c>
      <c r="C145" s="5" t="s">
        <v>476</v>
      </c>
      <c r="D145" s="5" t="s">
        <v>1020</v>
      </c>
      <c r="E145" s="5">
        <f>VLOOKUP($D145,股期名單!$L:$M,2,FALSE)</f>
        <v>2000</v>
      </c>
      <c r="F145" s="5" t="str">
        <f t="shared" si="37"/>
        <v>NEFB1</v>
      </c>
      <c r="G145" s="7">
        <f t="shared" si="27"/>
        <v>0.18639308855291581</v>
      </c>
      <c r="H145" s="5">
        <f>VLOOKUP($F145,DDE!$A:$AJ,H$1,FALSE)</f>
        <v>8.6300000000000008</v>
      </c>
      <c r="I145" s="5">
        <f>VLOOKUP($F145,DDE!$A:$AJ,I$1,FALSE)</f>
        <v>13895.21</v>
      </c>
      <c r="J145" s="5" t="str">
        <f>VLOOKUP($F145,DDE!$A:$AJ,J$1,FALSE)</f>
        <v xml:space="preserve"> -</v>
      </c>
      <c r="K145" s="5" t="str">
        <f>VLOOKUP($F145,DDE!$A:$AJ,K$1,FALSE)</f>
        <v xml:space="preserve"> -</v>
      </c>
      <c r="L145" s="5">
        <f>VLOOKUP($F145,DDE!$A:$AJ,L$1,FALSE)</f>
        <v>872940</v>
      </c>
      <c r="M145" s="5">
        <f>VLOOKUP($F145,DDE!$A:$AJ,M$1,FALSE)</f>
        <v>13893.03</v>
      </c>
      <c r="N145" s="5">
        <f>VLOOKUP($F145,DDE!$A:$AJ,N$1,FALSE)</f>
        <v>13945.78</v>
      </c>
      <c r="O145" s="5">
        <f>VLOOKUP($F145,DDE!$A:$AJ,O$1,FALSE)</f>
        <v>13875.82</v>
      </c>
      <c r="P145" s="5" t="str">
        <f>VLOOKUP($F145,DDE!$A:$AJ,P$1,FALSE)</f>
        <v xml:space="preserve"> -</v>
      </c>
      <c r="Q145" s="5" t="str">
        <f>VLOOKUP($F145,DDE!$A:$AJ,Q$1,FALSE)</f>
        <v xml:space="preserve"> -</v>
      </c>
      <c r="R145" s="5">
        <f t="shared" si="36"/>
        <v>13886.58</v>
      </c>
      <c r="S145" s="5">
        <f>VLOOKUP(D145,cmoney!$A:$M,12,FALSE)</f>
        <v>46.3</v>
      </c>
      <c r="U145" s="5" t="str">
        <f t="shared" si="28"/>
        <v/>
      </c>
      <c r="V145" s="5" t="str">
        <f t="shared" si="29"/>
        <v>3264</v>
      </c>
      <c r="W145" s="5" t="str">
        <f t="shared" si="30"/>
        <v>欣銓</v>
      </c>
      <c r="X145" s="5" t="str">
        <f t="shared" si="31"/>
        <v>NEF</v>
      </c>
      <c r="Y145" s="49">
        <f>VLOOKUP($X145,股期名單!$L:$M,2,FALSE)</f>
        <v>2000</v>
      </c>
      <c r="Z145" s="5" t="str">
        <f t="shared" si="32"/>
        <v>NEFC1</v>
      </c>
      <c r="AA145" s="7">
        <f t="shared" si="33"/>
        <v>0.18639308855291581</v>
      </c>
      <c r="AB145" s="5">
        <f>VLOOKUP($F145,DDE!$A:$AJ,AB$1,FALSE)</f>
        <v>8.6300000000000008</v>
      </c>
      <c r="AC145" s="5">
        <f>VLOOKUP($F145,DDE!$A:$AJ,AC$1,FALSE)</f>
        <v>13895.21</v>
      </c>
      <c r="AD145" s="5" t="str">
        <f>VLOOKUP($F145,DDE!$A:$AJ,AD$1,FALSE)</f>
        <v xml:space="preserve"> -</v>
      </c>
      <c r="AE145" s="5" t="str">
        <f>VLOOKUP($F145,DDE!$A:$AJ,AE$1,FALSE)</f>
        <v xml:space="preserve"> -</v>
      </c>
      <c r="AF145" s="5">
        <f>VLOOKUP($F145,DDE!$A:$AJ,AF$1,FALSE)</f>
        <v>872940</v>
      </c>
      <c r="AG145" s="5">
        <f>VLOOKUP($F145,DDE!$A:$AJ,AG$1,FALSE)</f>
        <v>13893.03</v>
      </c>
      <c r="AH145" s="5">
        <f>VLOOKUP($F145,DDE!$A:$AJ,AH$1,FALSE)</f>
        <v>13945.78</v>
      </c>
      <c r="AI145" s="5">
        <f>VLOOKUP($F145,DDE!$A:$AJ,AI$1,FALSE)</f>
        <v>13875.82</v>
      </c>
      <c r="AJ145" s="5" t="str">
        <f>VLOOKUP($F145,DDE!$A:$AJ,AJ$1,FALSE)</f>
        <v xml:space="preserve"> -</v>
      </c>
      <c r="AK145" s="5" t="str">
        <f>VLOOKUP($F145,DDE!$A:$AJ,AK$1,FALSE)</f>
        <v xml:space="preserve"> -</v>
      </c>
      <c r="AL145" s="5">
        <f t="shared" si="34"/>
        <v>13886.58</v>
      </c>
      <c r="AM145" s="5">
        <f>VLOOKUP(X145,cmoney!$A:$M,12,FALSE)</f>
        <v>46.3</v>
      </c>
    </row>
    <row r="146" spans="1:39" x14ac:dyDescent="0.25">
      <c r="A146" s="5" t="str">
        <f t="shared" ref="A146:A209" si="38">IF(E146=10000,"ETF",IF(E146&lt;&gt;2000,"小型",""))</f>
        <v/>
      </c>
      <c r="B146" s="5" t="s">
        <v>1021</v>
      </c>
      <c r="C146" s="5" t="s">
        <v>856</v>
      </c>
      <c r="D146" s="5" t="s">
        <v>1022</v>
      </c>
      <c r="E146" s="5">
        <f>VLOOKUP($D146,股期名單!$L:$M,2,FALSE)</f>
        <v>2000</v>
      </c>
      <c r="F146" s="5" t="str">
        <f t="shared" si="37"/>
        <v>PXFB1</v>
      </c>
      <c r="G146" s="7">
        <f t="shared" ref="G146:G209" si="39">IF(S146&lt;&gt;"",H146/S146,"")</f>
        <v>7.7647058823529409E-3</v>
      </c>
      <c r="H146" s="5">
        <f>VLOOKUP($F146,DDE!$A:$AJ,H$1,FALSE)</f>
        <v>6.6</v>
      </c>
      <c r="I146" s="5">
        <f>VLOOKUP($F146,DDE!$A:$AJ,I$1,FALSE)</f>
        <v>13893.18</v>
      </c>
      <c r="J146" s="5" t="str">
        <f>VLOOKUP($F146,DDE!$A:$AJ,J$1,FALSE)</f>
        <v xml:space="preserve"> -</v>
      </c>
      <c r="K146" s="5" t="str">
        <f>VLOOKUP($F146,DDE!$A:$AJ,K$1,FALSE)</f>
        <v xml:space="preserve"> -</v>
      </c>
      <c r="L146" s="5">
        <f>VLOOKUP($F146,DDE!$A:$AJ,L$1,FALSE)</f>
        <v>872505</v>
      </c>
      <c r="M146" s="5">
        <f>VLOOKUP($F146,DDE!$A:$AJ,M$1,FALSE)</f>
        <v>13893.03</v>
      </c>
      <c r="N146" s="5">
        <f>VLOOKUP($F146,DDE!$A:$AJ,N$1,FALSE)</f>
        <v>13945.78</v>
      </c>
      <c r="O146" s="5">
        <f>VLOOKUP($F146,DDE!$A:$AJ,O$1,FALSE)</f>
        <v>13875.82</v>
      </c>
      <c r="P146" s="5" t="str">
        <f>VLOOKUP($F146,DDE!$A:$AJ,P$1,FALSE)</f>
        <v xml:space="preserve"> -</v>
      </c>
      <c r="Q146" s="5" t="str">
        <f>VLOOKUP($F146,DDE!$A:$AJ,Q$1,FALSE)</f>
        <v xml:space="preserve"> -</v>
      </c>
      <c r="R146" s="5">
        <f t="shared" si="36"/>
        <v>13886.58</v>
      </c>
      <c r="S146" s="5">
        <f>VLOOKUP(D146,cmoney!$A:$M,12,FALSE)</f>
        <v>850</v>
      </c>
      <c r="U146" s="5" t="str">
        <f t="shared" ref="U146:U209" si="40">A146</f>
        <v/>
      </c>
      <c r="V146" s="5" t="str">
        <f t="shared" ref="V146:V209" si="41">B146</f>
        <v>3293</v>
      </c>
      <c r="W146" s="5" t="str">
        <f t="shared" ref="W146:W209" si="42">C146</f>
        <v>鈊象</v>
      </c>
      <c r="X146" s="5" t="str">
        <f t="shared" ref="X146:X209" si="43">D146</f>
        <v>PXF</v>
      </c>
      <c r="Y146" s="49">
        <f>VLOOKUP($X146,股期名單!$L:$M,2,FALSE)</f>
        <v>2000</v>
      </c>
      <c r="Z146" s="5" t="str">
        <f t="shared" ref="Z146:Z209" si="44">$X146&amp;$Y$1&amp;$Z$1</f>
        <v>PXFC1</v>
      </c>
      <c r="AA146" s="7">
        <f t="shared" ref="AA146:AA209" si="45">IF(AM146&lt;&gt;"",AB146/AM146,"")</f>
        <v>7.7647058823529409E-3</v>
      </c>
      <c r="AB146" s="5">
        <f>VLOOKUP($F146,DDE!$A:$AJ,AB$1,FALSE)</f>
        <v>6.6</v>
      </c>
      <c r="AC146" s="5">
        <f>VLOOKUP($F146,DDE!$A:$AJ,AC$1,FALSE)</f>
        <v>13893.18</v>
      </c>
      <c r="AD146" s="5" t="str">
        <f>VLOOKUP($F146,DDE!$A:$AJ,AD$1,FALSE)</f>
        <v xml:space="preserve"> -</v>
      </c>
      <c r="AE146" s="5" t="str">
        <f>VLOOKUP($F146,DDE!$A:$AJ,AE$1,FALSE)</f>
        <v xml:space="preserve"> -</v>
      </c>
      <c r="AF146" s="5">
        <f>VLOOKUP($F146,DDE!$A:$AJ,AF$1,FALSE)</f>
        <v>872505</v>
      </c>
      <c r="AG146" s="5">
        <f>VLOOKUP($F146,DDE!$A:$AJ,AG$1,FALSE)</f>
        <v>13893.03</v>
      </c>
      <c r="AH146" s="5">
        <f>VLOOKUP($F146,DDE!$A:$AJ,AH$1,FALSE)</f>
        <v>13945.78</v>
      </c>
      <c r="AI146" s="5">
        <f>VLOOKUP($F146,DDE!$A:$AJ,AI$1,FALSE)</f>
        <v>13875.82</v>
      </c>
      <c r="AJ146" s="5" t="str">
        <f>VLOOKUP($F146,DDE!$A:$AJ,AJ$1,FALSE)</f>
        <v xml:space="preserve"> -</v>
      </c>
      <c r="AK146" s="5" t="str">
        <f>VLOOKUP($F146,DDE!$A:$AJ,AK$1,FALSE)</f>
        <v xml:space="preserve"> -</v>
      </c>
      <c r="AL146" s="5">
        <f t="shared" ref="AL146:AL209" si="46">IF(AF146&gt;0,AC146-AB146,"")</f>
        <v>13886.58</v>
      </c>
      <c r="AM146" s="5">
        <f>VLOOKUP(X146,cmoney!$A:$M,12,FALSE)</f>
        <v>850</v>
      </c>
    </row>
    <row r="147" spans="1:39" x14ac:dyDescent="0.25">
      <c r="A147" s="5" t="str">
        <f t="shared" si="38"/>
        <v>小型</v>
      </c>
      <c r="B147" s="5" t="s">
        <v>1021</v>
      </c>
      <c r="C147" s="5" t="s">
        <v>856</v>
      </c>
      <c r="D147" s="5" t="s">
        <v>1023</v>
      </c>
      <c r="E147" s="5">
        <f>VLOOKUP($D147,股期名單!$L:$M,2,FALSE)</f>
        <v>100</v>
      </c>
      <c r="F147" s="5" t="str">
        <f t="shared" si="37"/>
        <v>PYFB1</v>
      </c>
      <c r="G147" s="7">
        <f t="shared" si="39"/>
        <v>-1.7317647058823531E-2</v>
      </c>
      <c r="H147" s="5">
        <f>VLOOKUP($F147,DDE!$A:$AJ,H$1,FALSE)</f>
        <v>-14.72</v>
      </c>
      <c r="I147" s="5">
        <f>VLOOKUP($F147,DDE!$A:$AJ,I$1,FALSE)</f>
        <v>16428.68</v>
      </c>
      <c r="J147" s="5" t="str">
        <f>VLOOKUP($F147,DDE!$A:$AJ,J$1,FALSE)</f>
        <v xml:space="preserve"> -</v>
      </c>
      <c r="K147" s="5" t="str">
        <f>VLOOKUP($F147,DDE!$A:$AJ,K$1,FALSE)</f>
        <v xml:space="preserve"> -</v>
      </c>
      <c r="L147" s="5">
        <f>VLOOKUP($F147,DDE!$A:$AJ,L$1,FALSE)</f>
        <v>4022793</v>
      </c>
      <c r="M147" s="5">
        <f>VLOOKUP($F147,DDE!$A:$AJ,M$1,FALSE)</f>
        <v>16329.54</v>
      </c>
      <c r="N147" s="5">
        <f>VLOOKUP($F147,DDE!$A:$AJ,N$1,FALSE)</f>
        <v>16456.939999999999</v>
      </c>
      <c r="O147" s="5">
        <f>VLOOKUP($F147,DDE!$A:$AJ,O$1,FALSE)</f>
        <v>16329.54</v>
      </c>
      <c r="P147" s="5" t="str">
        <f>VLOOKUP($F147,DDE!$A:$AJ,P$1,FALSE)</f>
        <v xml:space="preserve"> -</v>
      </c>
      <c r="Q147" s="5" t="str">
        <f>VLOOKUP($F147,DDE!$A:$AJ,Q$1,FALSE)</f>
        <v xml:space="preserve"> -</v>
      </c>
      <c r="R147" s="5">
        <f t="shared" si="36"/>
        <v>16443.400000000001</v>
      </c>
      <c r="S147" s="5">
        <f>VLOOKUP(D147,cmoney!$A:$M,12,FALSE)</f>
        <v>850</v>
      </c>
      <c r="U147" s="5" t="str">
        <f t="shared" si="40"/>
        <v>小型</v>
      </c>
      <c r="V147" s="5" t="str">
        <f t="shared" si="41"/>
        <v>3293</v>
      </c>
      <c r="W147" s="5" t="str">
        <f t="shared" si="42"/>
        <v>鈊象</v>
      </c>
      <c r="X147" s="5" t="str">
        <f t="shared" si="43"/>
        <v>PYF</v>
      </c>
      <c r="Y147" s="49">
        <f>VLOOKUP($X147,股期名單!$L:$M,2,FALSE)</f>
        <v>100</v>
      </c>
      <c r="Z147" s="5" t="str">
        <f t="shared" si="44"/>
        <v>PYFC1</v>
      </c>
      <c r="AA147" s="7">
        <f t="shared" si="45"/>
        <v>-1.7317647058823531E-2</v>
      </c>
      <c r="AB147" s="5">
        <f>VLOOKUP($F147,DDE!$A:$AJ,AB$1,FALSE)</f>
        <v>-14.72</v>
      </c>
      <c r="AC147" s="5">
        <f>VLOOKUP($F147,DDE!$A:$AJ,AC$1,FALSE)</f>
        <v>16428.68</v>
      </c>
      <c r="AD147" s="5" t="str">
        <f>VLOOKUP($F147,DDE!$A:$AJ,AD$1,FALSE)</f>
        <v xml:space="preserve"> -</v>
      </c>
      <c r="AE147" s="5" t="str">
        <f>VLOOKUP($F147,DDE!$A:$AJ,AE$1,FALSE)</f>
        <v xml:space="preserve"> -</v>
      </c>
      <c r="AF147" s="5">
        <f>VLOOKUP($F147,DDE!$A:$AJ,AF$1,FALSE)</f>
        <v>4022793</v>
      </c>
      <c r="AG147" s="5">
        <f>VLOOKUP($F147,DDE!$A:$AJ,AG$1,FALSE)</f>
        <v>16329.54</v>
      </c>
      <c r="AH147" s="5">
        <f>VLOOKUP($F147,DDE!$A:$AJ,AH$1,FALSE)</f>
        <v>16456.939999999999</v>
      </c>
      <c r="AI147" s="5">
        <f>VLOOKUP($F147,DDE!$A:$AJ,AI$1,FALSE)</f>
        <v>16329.54</v>
      </c>
      <c r="AJ147" s="5" t="str">
        <f>VLOOKUP($F147,DDE!$A:$AJ,AJ$1,FALSE)</f>
        <v xml:space="preserve"> -</v>
      </c>
      <c r="AK147" s="5" t="str">
        <f>VLOOKUP($F147,DDE!$A:$AJ,AK$1,FALSE)</f>
        <v xml:space="preserve"> -</v>
      </c>
      <c r="AL147" s="5">
        <f t="shared" si="46"/>
        <v>16443.400000000001</v>
      </c>
      <c r="AM147" s="5">
        <f>VLOOKUP(X147,cmoney!$A:$M,12,FALSE)</f>
        <v>850</v>
      </c>
    </row>
    <row r="148" spans="1:39" x14ac:dyDescent="0.25">
      <c r="A148" s="5" t="str">
        <f t="shared" si="38"/>
        <v/>
      </c>
      <c r="B148" s="5" t="s">
        <v>1024</v>
      </c>
      <c r="C148" s="5" t="s">
        <v>848</v>
      </c>
      <c r="D148" s="5" t="s">
        <v>1025</v>
      </c>
      <c r="E148" s="5">
        <f>VLOOKUP($D148,股期名單!$L:$M,2,FALSE)</f>
        <v>2000</v>
      </c>
      <c r="F148" s="5" t="str">
        <f t="shared" si="37"/>
        <v>PTFB1</v>
      </c>
      <c r="G148" s="7">
        <f t="shared" si="39"/>
        <v>6.4272727272727273E-2</v>
      </c>
      <c r="H148" s="5">
        <f>VLOOKUP($F148,DDE!$A:$AJ,H$1,FALSE)</f>
        <v>14.14</v>
      </c>
      <c r="I148" s="5">
        <f>VLOOKUP($F148,DDE!$A:$AJ,I$1,FALSE)</f>
        <v>13900.72</v>
      </c>
      <c r="J148" s="5" t="str">
        <f>VLOOKUP($F148,DDE!$A:$AJ,J$1,FALSE)</f>
        <v xml:space="preserve"> -</v>
      </c>
      <c r="K148" s="5" t="str">
        <f>VLOOKUP($F148,DDE!$A:$AJ,K$1,FALSE)</f>
        <v xml:space="preserve"> -</v>
      </c>
      <c r="L148" s="5">
        <f>VLOOKUP($F148,DDE!$A:$AJ,L$1,FALSE)</f>
        <v>873827</v>
      </c>
      <c r="M148" s="5">
        <f>VLOOKUP($F148,DDE!$A:$AJ,M$1,FALSE)</f>
        <v>13893.03</v>
      </c>
      <c r="N148" s="5">
        <f>VLOOKUP($F148,DDE!$A:$AJ,N$1,FALSE)</f>
        <v>13945.78</v>
      </c>
      <c r="O148" s="5">
        <f>VLOOKUP($F148,DDE!$A:$AJ,O$1,FALSE)</f>
        <v>13875.82</v>
      </c>
      <c r="P148" s="5" t="str">
        <f>VLOOKUP($F148,DDE!$A:$AJ,P$1,FALSE)</f>
        <v xml:space="preserve"> -</v>
      </c>
      <c r="Q148" s="5" t="str">
        <f>VLOOKUP($F148,DDE!$A:$AJ,Q$1,FALSE)</f>
        <v xml:space="preserve"> -</v>
      </c>
      <c r="R148" s="5">
        <f t="shared" si="36"/>
        <v>13886.58</v>
      </c>
      <c r="S148" s="5">
        <f>VLOOKUP(D148,cmoney!$A:$M,12,FALSE)</f>
        <v>220</v>
      </c>
      <c r="U148" s="5" t="str">
        <f t="shared" si="40"/>
        <v/>
      </c>
      <c r="V148" s="5" t="str">
        <f t="shared" si="41"/>
        <v>3324</v>
      </c>
      <c r="W148" s="5" t="str">
        <f t="shared" si="42"/>
        <v>雙鴻</v>
      </c>
      <c r="X148" s="5" t="str">
        <f t="shared" si="43"/>
        <v>PTF</v>
      </c>
      <c r="Y148" s="49">
        <f>VLOOKUP($X148,股期名單!$L:$M,2,FALSE)</f>
        <v>2000</v>
      </c>
      <c r="Z148" s="5" t="str">
        <f t="shared" si="44"/>
        <v>PTFC1</v>
      </c>
      <c r="AA148" s="7">
        <f t="shared" si="45"/>
        <v>6.4272727272727273E-2</v>
      </c>
      <c r="AB148" s="5">
        <f>VLOOKUP($F148,DDE!$A:$AJ,AB$1,FALSE)</f>
        <v>14.14</v>
      </c>
      <c r="AC148" s="5">
        <f>VLOOKUP($F148,DDE!$A:$AJ,AC$1,FALSE)</f>
        <v>13900.72</v>
      </c>
      <c r="AD148" s="5" t="str">
        <f>VLOOKUP($F148,DDE!$A:$AJ,AD$1,FALSE)</f>
        <v xml:space="preserve"> -</v>
      </c>
      <c r="AE148" s="5" t="str">
        <f>VLOOKUP($F148,DDE!$A:$AJ,AE$1,FALSE)</f>
        <v xml:space="preserve"> -</v>
      </c>
      <c r="AF148" s="5">
        <f>VLOOKUP($F148,DDE!$A:$AJ,AF$1,FALSE)</f>
        <v>873827</v>
      </c>
      <c r="AG148" s="5">
        <f>VLOOKUP($F148,DDE!$A:$AJ,AG$1,FALSE)</f>
        <v>13893.03</v>
      </c>
      <c r="AH148" s="5">
        <f>VLOOKUP($F148,DDE!$A:$AJ,AH$1,FALSE)</f>
        <v>13945.78</v>
      </c>
      <c r="AI148" s="5">
        <f>VLOOKUP($F148,DDE!$A:$AJ,AI$1,FALSE)</f>
        <v>13875.82</v>
      </c>
      <c r="AJ148" s="5" t="str">
        <f>VLOOKUP($F148,DDE!$A:$AJ,AJ$1,FALSE)</f>
        <v xml:space="preserve"> -</v>
      </c>
      <c r="AK148" s="5" t="str">
        <f>VLOOKUP($F148,DDE!$A:$AJ,AK$1,FALSE)</f>
        <v xml:space="preserve"> -</v>
      </c>
      <c r="AL148" s="5">
        <f t="shared" si="46"/>
        <v>13886.58</v>
      </c>
      <c r="AM148" s="5">
        <f>VLOOKUP(X148,cmoney!$A:$M,12,FALSE)</f>
        <v>220</v>
      </c>
    </row>
    <row r="149" spans="1:39" x14ac:dyDescent="0.25">
      <c r="A149" s="5" t="str">
        <f t="shared" si="38"/>
        <v/>
      </c>
      <c r="B149" s="5" t="s">
        <v>729</v>
      </c>
      <c r="C149" s="5" t="s">
        <v>332</v>
      </c>
      <c r="D149" s="5" t="s">
        <v>1026</v>
      </c>
      <c r="E149" s="5">
        <f>VLOOKUP($D149,股期名單!$L:$M,2,FALSE)</f>
        <v>2000</v>
      </c>
      <c r="F149" s="5" t="str">
        <f t="shared" si="37"/>
        <v>IYFB1</v>
      </c>
      <c r="G149" s="7">
        <f t="shared" si="39"/>
        <v>5.4176245210727975E-2</v>
      </c>
      <c r="H149" s="5">
        <f>VLOOKUP($F149,DDE!$A:$AJ,H$1,FALSE)</f>
        <v>7.07</v>
      </c>
      <c r="I149" s="5">
        <f>VLOOKUP($F149,DDE!$A:$AJ,I$1,FALSE)</f>
        <v>13893.65</v>
      </c>
      <c r="J149" s="5" t="str">
        <f>VLOOKUP($F149,DDE!$A:$AJ,J$1,FALSE)</f>
        <v xml:space="preserve"> -</v>
      </c>
      <c r="K149" s="5" t="str">
        <f>VLOOKUP($F149,DDE!$A:$AJ,K$1,FALSE)</f>
        <v xml:space="preserve"> -</v>
      </c>
      <c r="L149" s="5">
        <f>VLOOKUP($F149,DDE!$A:$AJ,L$1,FALSE)</f>
        <v>871785</v>
      </c>
      <c r="M149" s="5">
        <f>VLOOKUP($F149,DDE!$A:$AJ,M$1,FALSE)</f>
        <v>13893.03</v>
      </c>
      <c r="N149" s="5">
        <f>VLOOKUP($F149,DDE!$A:$AJ,N$1,FALSE)</f>
        <v>13945.78</v>
      </c>
      <c r="O149" s="5">
        <f>VLOOKUP($F149,DDE!$A:$AJ,O$1,FALSE)</f>
        <v>13875.82</v>
      </c>
      <c r="P149" s="5" t="str">
        <f>VLOOKUP($F149,DDE!$A:$AJ,P$1,FALSE)</f>
        <v xml:space="preserve"> -</v>
      </c>
      <c r="Q149" s="5" t="str">
        <f>VLOOKUP($F149,DDE!$A:$AJ,Q$1,FALSE)</f>
        <v xml:space="preserve"> -</v>
      </c>
      <c r="R149" s="5">
        <f t="shared" si="36"/>
        <v>13886.58</v>
      </c>
      <c r="S149" s="5">
        <f>VLOOKUP(D149,cmoney!$A:$M,12,FALSE)</f>
        <v>130.5</v>
      </c>
      <c r="U149" s="5" t="str">
        <f t="shared" si="40"/>
        <v/>
      </c>
      <c r="V149" s="5" t="str">
        <f t="shared" si="41"/>
        <v>3376</v>
      </c>
      <c r="W149" s="5" t="str">
        <f t="shared" si="42"/>
        <v>新日興</v>
      </c>
      <c r="X149" s="5" t="str">
        <f t="shared" si="43"/>
        <v>IYF</v>
      </c>
      <c r="Y149" s="49">
        <f>VLOOKUP($X149,股期名單!$L:$M,2,FALSE)</f>
        <v>2000</v>
      </c>
      <c r="Z149" s="5" t="str">
        <f t="shared" si="44"/>
        <v>IYFC1</v>
      </c>
      <c r="AA149" s="7">
        <f t="shared" si="45"/>
        <v>5.4176245210727975E-2</v>
      </c>
      <c r="AB149" s="5">
        <f>VLOOKUP($F149,DDE!$A:$AJ,AB$1,FALSE)</f>
        <v>7.07</v>
      </c>
      <c r="AC149" s="5">
        <f>VLOOKUP($F149,DDE!$A:$AJ,AC$1,FALSE)</f>
        <v>13893.65</v>
      </c>
      <c r="AD149" s="5" t="str">
        <f>VLOOKUP($F149,DDE!$A:$AJ,AD$1,FALSE)</f>
        <v xml:space="preserve"> -</v>
      </c>
      <c r="AE149" s="5" t="str">
        <f>VLOOKUP($F149,DDE!$A:$AJ,AE$1,FALSE)</f>
        <v xml:space="preserve"> -</v>
      </c>
      <c r="AF149" s="5">
        <f>VLOOKUP($F149,DDE!$A:$AJ,AF$1,FALSE)</f>
        <v>871785</v>
      </c>
      <c r="AG149" s="5">
        <f>VLOOKUP($F149,DDE!$A:$AJ,AG$1,FALSE)</f>
        <v>13893.03</v>
      </c>
      <c r="AH149" s="5">
        <f>VLOOKUP($F149,DDE!$A:$AJ,AH$1,FALSE)</f>
        <v>13945.78</v>
      </c>
      <c r="AI149" s="5">
        <f>VLOOKUP($F149,DDE!$A:$AJ,AI$1,FALSE)</f>
        <v>13875.82</v>
      </c>
      <c r="AJ149" s="5" t="str">
        <f>VLOOKUP($F149,DDE!$A:$AJ,AJ$1,FALSE)</f>
        <v xml:space="preserve"> -</v>
      </c>
      <c r="AK149" s="5" t="str">
        <f>VLOOKUP($F149,DDE!$A:$AJ,AK$1,FALSE)</f>
        <v xml:space="preserve"> -</v>
      </c>
      <c r="AL149" s="5">
        <f t="shared" si="46"/>
        <v>13886.58</v>
      </c>
      <c r="AM149" s="5">
        <f>VLOOKUP(X149,cmoney!$A:$M,12,FALSE)</f>
        <v>130.5</v>
      </c>
    </row>
    <row r="150" spans="1:39" x14ac:dyDescent="0.25">
      <c r="A150" s="5" t="str">
        <f t="shared" si="38"/>
        <v/>
      </c>
      <c r="B150" s="5" t="s">
        <v>730</v>
      </c>
      <c r="C150" s="5" t="s">
        <v>335</v>
      </c>
      <c r="D150" s="5" t="s">
        <v>1027</v>
      </c>
      <c r="E150" s="5">
        <f>VLOOKUP($D150,股期名單!$L:$M,2,FALSE)</f>
        <v>2000</v>
      </c>
      <c r="F150" s="5" t="str">
        <f t="shared" si="37"/>
        <v>IZFB1</v>
      </c>
      <c r="G150" s="7">
        <f t="shared" si="39"/>
        <v>-0.51751724137931043</v>
      </c>
      <c r="H150" s="5">
        <f>VLOOKUP($F150,DDE!$A:$AJ,H$1,FALSE)</f>
        <v>-18.760000000000002</v>
      </c>
      <c r="I150" s="5">
        <f>VLOOKUP($F150,DDE!$A:$AJ,I$1,FALSE)</f>
        <v>16424.64</v>
      </c>
      <c r="J150" s="5" t="str">
        <f>VLOOKUP($F150,DDE!$A:$AJ,J$1,FALSE)</f>
        <v xml:space="preserve"> -</v>
      </c>
      <c r="K150" s="5" t="str">
        <f>VLOOKUP($F150,DDE!$A:$AJ,K$1,FALSE)</f>
        <v xml:space="preserve"> -</v>
      </c>
      <c r="L150" s="5">
        <f>VLOOKUP($F150,DDE!$A:$AJ,L$1,FALSE)</f>
        <v>4020107</v>
      </c>
      <c r="M150" s="5">
        <f>VLOOKUP($F150,DDE!$A:$AJ,M$1,FALSE)</f>
        <v>16329.54</v>
      </c>
      <c r="N150" s="5">
        <f>VLOOKUP($F150,DDE!$A:$AJ,N$1,FALSE)</f>
        <v>16456.939999999999</v>
      </c>
      <c r="O150" s="5">
        <f>VLOOKUP($F150,DDE!$A:$AJ,O$1,FALSE)</f>
        <v>16329.54</v>
      </c>
      <c r="P150" s="5" t="str">
        <f>VLOOKUP($F150,DDE!$A:$AJ,P$1,FALSE)</f>
        <v xml:space="preserve"> -</v>
      </c>
      <c r="Q150" s="5" t="str">
        <f>VLOOKUP($F150,DDE!$A:$AJ,Q$1,FALSE)</f>
        <v xml:space="preserve"> -</v>
      </c>
      <c r="R150" s="5">
        <f t="shared" si="36"/>
        <v>16443.399999999998</v>
      </c>
      <c r="S150" s="5">
        <f>VLOOKUP(D150,cmoney!$A:$M,12,FALSE)</f>
        <v>36.25</v>
      </c>
      <c r="U150" s="5" t="str">
        <f t="shared" si="40"/>
        <v/>
      </c>
      <c r="V150" s="5" t="str">
        <f t="shared" si="41"/>
        <v>3380</v>
      </c>
      <c r="W150" s="5" t="str">
        <f t="shared" si="42"/>
        <v>明泰</v>
      </c>
      <c r="X150" s="5" t="str">
        <f t="shared" si="43"/>
        <v>IZF</v>
      </c>
      <c r="Y150" s="49">
        <f>VLOOKUP($X150,股期名單!$L:$M,2,FALSE)</f>
        <v>2000</v>
      </c>
      <c r="Z150" s="5" t="str">
        <f t="shared" si="44"/>
        <v>IZFC1</v>
      </c>
      <c r="AA150" s="7">
        <f t="shared" si="45"/>
        <v>-0.51751724137931043</v>
      </c>
      <c r="AB150" s="5">
        <f>VLOOKUP($F150,DDE!$A:$AJ,AB$1,FALSE)</f>
        <v>-18.760000000000002</v>
      </c>
      <c r="AC150" s="5">
        <f>VLOOKUP($F150,DDE!$A:$AJ,AC$1,FALSE)</f>
        <v>16424.64</v>
      </c>
      <c r="AD150" s="5" t="str">
        <f>VLOOKUP($F150,DDE!$A:$AJ,AD$1,FALSE)</f>
        <v xml:space="preserve"> -</v>
      </c>
      <c r="AE150" s="5" t="str">
        <f>VLOOKUP($F150,DDE!$A:$AJ,AE$1,FALSE)</f>
        <v xml:space="preserve"> -</v>
      </c>
      <c r="AF150" s="5">
        <f>VLOOKUP($F150,DDE!$A:$AJ,AF$1,FALSE)</f>
        <v>4020107</v>
      </c>
      <c r="AG150" s="5">
        <f>VLOOKUP($F150,DDE!$A:$AJ,AG$1,FALSE)</f>
        <v>16329.54</v>
      </c>
      <c r="AH150" s="5">
        <f>VLOOKUP($F150,DDE!$A:$AJ,AH$1,FALSE)</f>
        <v>16456.939999999999</v>
      </c>
      <c r="AI150" s="5">
        <f>VLOOKUP($F150,DDE!$A:$AJ,AI$1,FALSE)</f>
        <v>16329.54</v>
      </c>
      <c r="AJ150" s="5" t="str">
        <f>VLOOKUP($F150,DDE!$A:$AJ,AJ$1,FALSE)</f>
        <v xml:space="preserve"> -</v>
      </c>
      <c r="AK150" s="5" t="str">
        <f>VLOOKUP($F150,DDE!$A:$AJ,AK$1,FALSE)</f>
        <v xml:space="preserve"> -</v>
      </c>
      <c r="AL150" s="5">
        <f t="shared" si="46"/>
        <v>16443.399999999998</v>
      </c>
      <c r="AM150" s="5">
        <f>VLOOKUP(X150,cmoney!$A:$M,12,FALSE)</f>
        <v>36.25</v>
      </c>
    </row>
    <row r="151" spans="1:39" x14ac:dyDescent="0.25">
      <c r="A151" s="5" t="str">
        <f t="shared" si="38"/>
        <v/>
      </c>
      <c r="B151" s="5" t="s">
        <v>753</v>
      </c>
      <c r="C151" s="5" t="s">
        <v>404</v>
      </c>
      <c r="D151" s="5" t="s">
        <v>1028</v>
      </c>
      <c r="E151" s="5">
        <f>VLOOKUP($D151,股期名單!$L:$M,2,FALSE)</f>
        <v>2000</v>
      </c>
      <c r="F151" s="5" t="str">
        <f t="shared" si="37"/>
        <v>LEFB1</v>
      </c>
      <c r="G151" s="7">
        <f t="shared" si="39"/>
        <v>-2.8638132295719845E-2</v>
      </c>
      <c r="H151" s="5">
        <f>VLOOKUP($F151,DDE!$A:$AJ,H$1,FALSE)</f>
        <v>-14.72</v>
      </c>
      <c r="I151" s="5">
        <f>VLOOKUP($F151,DDE!$A:$AJ,I$1,FALSE)</f>
        <v>16428.68</v>
      </c>
      <c r="J151" s="5" t="str">
        <f>VLOOKUP($F151,DDE!$A:$AJ,J$1,FALSE)</f>
        <v xml:space="preserve"> -</v>
      </c>
      <c r="K151" s="5" t="str">
        <f>VLOOKUP($F151,DDE!$A:$AJ,K$1,FALSE)</f>
        <v xml:space="preserve"> -</v>
      </c>
      <c r="L151" s="5">
        <f>VLOOKUP($F151,DDE!$A:$AJ,L$1,FALSE)</f>
        <v>4022793</v>
      </c>
      <c r="M151" s="5">
        <f>VLOOKUP($F151,DDE!$A:$AJ,M$1,FALSE)</f>
        <v>16329.54</v>
      </c>
      <c r="N151" s="5">
        <f>VLOOKUP($F151,DDE!$A:$AJ,N$1,FALSE)</f>
        <v>16456.939999999999</v>
      </c>
      <c r="O151" s="5">
        <f>VLOOKUP($F151,DDE!$A:$AJ,O$1,FALSE)</f>
        <v>16329.54</v>
      </c>
      <c r="P151" s="5" t="str">
        <f>VLOOKUP($F151,DDE!$A:$AJ,P$1,FALSE)</f>
        <v xml:space="preserve"> -</v>
      </c>
      <c r="Q151" s="5" t="str">
        <f>VLOOKUP($F151,DDE!$A:$AJ,Q$1,FALSE)</f>
        <v xml:space="preserve"> -</v>
      </c>
      <c r="R151" s="5">
        <f t="shared" si="36"/>
        <v>16443.400000000001</v>
      </c>
      <c r="S151" s="5">
        <f>VLOOKUP(D151,cmoney!$A:$M,12,FALSE)</f>
        <v>514</v>
      </c>
      <c r="U151" s="5" t="str">
        <f t="shared" si="40"/>
        <v/>
      </c>
      <c r="V151" s="5" t="str">
        <f t="shared" si="41"/>
        <v>3406</v>
      </c>
      <c r="W151" s="5" t="str">
        <f t="shared" si="42"/>
        <v>玉晶光</v>
      </c>
      <c r="X151" s="5" t="str">
        <f t="shared" si="43"/>
        <v>LEF</v>
      </c>
      <c r="Y151" s="49">
        <f>VLOOKUP($X151,股期名單!$L:$M,2,FALSE)</f>
        <v>2000</v>
      </c>
      <c r="Z151" s="5" t="str">
        <f t="shared" si="44"/>
        <v>LEFC1</v>
      </c>
      <c r="AA151" s="7">
        <f t="shared" si="45"/>
        <v>-2.8638132295719845E-2</v>
      </c>
      <c r="AB151" s="5">
        <f>VLOOKUP($F151,DDE!$A:$AJ,AB$1,FALSE)</f>
        <v>-14.72</v>
      </c>
      <c r="AC151" s="5">
        <f>VLOOKUP($F151,DDE!$A:$AJ,AC$1,FALSE)</f>
        <v>16428.68</v>
      </c>
      <c r="AD151" s="5" t="str">
        <f>VLOOKUP($F151,DDE!$A:$AJ,AD$1,FALSE)</f>
        <v xml:space="preserve"> -</v>
      </c>
      <c r="AE151" s="5" t="str">
        <f>VLOOKUP($F151,DDE!$A:$AJ,AE$1,FALSE)</f>
        <v xml:space="preserve"> -</v>
      </c>
      <c r="AF151" s="5">
        <f>VLOOKUP($F151,DDE!$A:$AJ,AF$1,FALSE)</f>
        <v>4022793</v>
      </c>
      <c r="AG151" s="5">
        <f>VLOOKUP($F151,DDE!$A:$AJ,AG$1,FALSE)</f>
        <v>16329.54</v>
      </c>
      <c r="AH151" s="5">
        <f>VLOOKUP($F151,DDE!$A:$AJ,AH$1,FALSE)</f>
        <v>16456.939999999999</v>
      </c>
      <c r="AI151" s="5">
        <f>VLOOKUP($F151,DDE!$A:$AJ,AI$1,FALSE)</f>
        <v>16329.54</v>
      </c>
      <c r="AJ151" s="5" t="str">
        <f>VLOOKUP($F151,DDE!$A:$AJ,AJ$1,FALSE)</f>
        <v xml:space="preserve"> -</v>
      </c>
      <c r="AK151" s="5" t="str">
        <f>VLOOKUP($F151,DDE!$A:$AJ,AK$1,FALSE)</f>
        <v xml:space="preserve"> -</v>
      </c>
      <c r="AL151" s="5">
        <f t="shared" si="46"/>
        <v>16443.400000000001</v>
      </c>
      <c r="AM151" s="5">
        <f>VLOOKUP(X151,cmoney!$A:$M,12,FALSE)</f>
        <v>514</v>
      </c>
    </row>
    <row r="152" spans="1:39" x14ac:dyDescent="0.25">
      <c r="A152" s="5" t="str">
        <f t="shared" si="38"/>
        <v>小型</v>
      </c>
      <c r="B152" s="5" t="s">
        <v>753</v>
      </c>
      <c r="C152" s="5" t="s">
        <v>404</v>
      </c>
      <c r="D152" s="5" t="s">
        <v>1029</v>
      </c>
      <c r="E152" s="5">
        <f>VLOOKUP($D152,股期名單!$L:$M,2,FALSE)</f>
        <v>100</v>
      </c>
      <c r="F152" s="5" t="str">
        <f t="shared" si="37"/>
        <v>QJFB1</v>
      </c>
      <c r="G152" s="7">
        <f t="shared" si="39"/>
        <v>-2.8638132295719845E-2</v>
      </c>
      <c r="H152" s="5">
        <f>VLOOKUP($F152,DDE!$A:$AJ,H$1,FALSE)</f>
        <v>-14.72</v>
      </c>
      <c r="I152" s="5">
        <f>VLOOKUP($F152,DDE!$A:$AJ,I$1,FALSE)</f>
        <v>16428.68</v>
      </c>
      <c r="J152" s="5" t="str">
        <f>VLOOKUP($F152,DDE!$A:$AJ,J$1,FALSE)</f>
        <v xml:space="preserve"> -</v>
      </c>
      <c r="K152" s="5" t="str">
        <f>VLOOKUP($F152,DDE!$A:$AJ,K$1,FALSE)</f>
        <v xml:space="preserve"> -</v>
      </c>
      <c r="L152" s="5">
        <f>VLOOKUP($F152,DDE!$A:$AJ,L$1,FALSE)</f>
        <v>4022793</v>
      </c>
      <c r="M152" s="5">
        <f>VLOOKUP($F152,DDE!$A:$AJ,M$1,FALSE)</f>
        <v>16329.54</v>
      </c>
      <c r="N152" s="5">
        <f>VLOOKUP($F152,DDE!$A:$AJ,N$1,FALSE)</f>
        <v>16456.939999999999</v>
      </c>
      <c r="O152" s="5">
        <f>VLOOKUP($F152,DDE!$A:$AJ,O$1,FALSE)</f>
        <v>16329.54</v>
      </c>
      <c r="P152" s="5" t="str">
        <f>VLOOKUP($F152,DDE!$A:$AJ,P$1,FALSE)</f>
        <v xml:space="preserve"> -</v>
      </c>
      <c r="Q152" s="5" t="str">
        <f>VLOOKUP($F152,DDE!$A:$AJ,Q$1,FALSE)</f>
        <v xml:space="preserve"> -</v>
      </c>
      <c r="R152" s="5">
        <f t="shared" si="36"/>
        <v>16443.400000000001</v>
      </c>
      <c r="S152" s="5">
        <f>VLOOKUP(D152,cmoney!$A:$M,12,FALSE)</f>
        <v>514</v>
      </c>
      <c r="U152" s="5" t="str">
        <f t="shared" si="40"/>
        <v>小型</v>
      </c>
      <c r="V152" s="5" t="str">
        <f t="shared" si="41"/>
        <v>3406</v>
      </c>
      <c r="W152" s="5" t="str">
        <f t="shared" si="42"/>
        <v>玉晶光</v>
      </c>
      <c r="X152" s="5" t="str">
        <f t="shared" si="43"/>
        <v>QJF</v>
      </c>
      <c r="Y152" s="49">
        <f>VLOOKUP($X152,股期名單!$L:$M,2,FALSE)</f>
        <v>100</v>
      </c>
      <c r="Z152" s="5" t="str">
        <f t="shared" si="44"/>
        <v>QJFC1</v>
      </c>
      <c r="AA152" s="7">
        <f t="shared" si="45"/>
        <v>-2.8638132295719845E-2</v>
      </c>
      <c r="AB152" s="5">
        <f>VLOOKUP($F152,DDE!$A:$AJ,AB$1,FALSE)</f>
        <v>-14.72</v>
      </c>
      <c r="AC152" s="5">
        <f>VLOOKUP($F152,DDE!$A:$AJ,AC$1,FALSE)</f>
        <v>16428.68</v>
      </c>
      <c r="AD152" s="5" t="str">
        <f>VLOOKUP($F152,DDE!$A:$AJ,AD$1,FALSE)</f>
        <v xml:space="preserve"> -</v>
      </c>
      <c r="AE152" s="5" t="str">
        <f>VLOOKUP($F152,DDE!$A:$AJ,AE$1,FALSE)</f>
        <v xml:space="preserve"> -</v>
      </c>
      <c r="AF152" s="5">
        <f>VLOOKUP($F152,DDE!$A:$AJ,AF$1,FALSE)</f>
        <v>4022793</v>
      </c>
      <c r="AG152" s="5">
        <f>VLOOKUP($F152,DDE!$A:$AJ,AG$1,FALSE)</f>
        <v>16329.54</v>
      </c>
      <c r="AH152" s="5">
        <f>VLOOKUP($F152,DDE!$A:$AJ,AH$1,FALSE)</f>
        <v>16456.939999999999</v>
      </c>
      <c r="AI152" s="5">
        <f>VLOOKUP($F152,DDE!$A:$AJ,AI$1,FALSE)</f>
        <v>16329.54</v>
      </c>
      <c r="AJ152" s="5" t="str">
        <f>VLOOKUP($F152,DDE!$A:$AJ,AJ$1,FALSE)</f>
        <v xml:space="preserve"> -</v>
      </c>
      <c r="AK152" s="5" t="str">
        <f>VLOOKUP($F152,DDE!$A:$AJ,AK$1,FALSE)</f>
        <v xml:space="preserve"> -</v>
      </c>
      <c r="AL152" s="5">
        <f t="shared" si="46"/>
        <v>16443.400000000001</v>
      </c>
      <c r="AM152" s="5">
        <f>VLOOKUP(X152,cmoney!$A:$M,12,FALSE)</f>
        <v>514</v>
      </c>
    </row>
    <row r="153" spans="1:39" x14ac:dyDescent="0.25">
      <c r="A153" s="5" t="str">
        <f t="shared" si="38"/>
        <v/>
      </c>
      <c r="B153" s="5" t="s">
        <v>731</v>
      </c>
      <c r="C153" s="5" t="s">
        <v>338</v>
      </c>
      <c r="D153" s="5" t="s">
        <v>1030</v>
      </c>
      <c r="E153" s="5">
        <f>VLOOKUP($D153,股期名單!$L:$M,2,FALSE)</f>
        <v>2000</v>
      </c>
      <c r="F153" s="5" t="str">
        <f t="shared" si="37"/>
        <v>JBFB1</v>
      </c>
      <c r="G153" s="7">
        <f t="shared" si="39"/>
        <v>-3.1758360302049621E-2</v>
      </c>
      <c r="H153" s="5">
        <f>VLOOKUP($F153,DDE!$A:$AJ,H$1,FALSE)</f>
        <v>-14.72</v>
      </c>
      <c r="I153" s="5">
        <f>VLOOKUP($F153,DDE!$A:$AJ,I$1,FALSE)</f>
        <v>16428.68</v>
      </c>
      <c r="J153" s="5" t="str">
        <f>VLOOKUP($F153,DDE!$A:$AJ,J$1,FALSE)</f>
        <v xml:space="preserve"> -</v>
      </c>
      <c r="K153" s="5" t="str">
        <f>VLOOKUP($F153,DDE!$A:$AJ,K$1,FALSE)</f>
        <v xml:space="preserve"> -</v>
      </c>
      <c r="L153" s="5">
        <f>VLOOKUP($F153,DDE!$A:$AJ,L$1,FALSE)</f>
        <v>4022793</v>
      </c>
      <c r="M153" s="5">
        <f>VLOOKUP($F153,DDE!$A:$AJ,M$1,FALSE)</f>
        <v>16329.54</v>
      </c>
      <c r="N153" s="5">
        <f>VLOOKUP($F153,DDE!$A:$AJ,N$1,FALSE)</f>
        <v>16456.939999999999</v>
      </c>
      <c r="O153" s="5">
        <f>VLOOKUP($F153,DDE!$A:$AJ,O$1,FALSE)</f>
        <v>16329.54</v>
      </c>
      <c r="P153" s="5" t="str">
        <f>VLOOKUP($F153,DDE!$A:$AJ,P$1,FALSE)</f>
        <v xml:space="preserve"> -</v>
      </c>
      <c r="Q153" s="5" t="str">
        <f>VLOOKUP($F153,DDE!$A:$AJ,Q$1,FALSE)</f>
        <v xml:space="preserve"> -</v>
      </c>
      <c r="R153" s="5">
        <f t="shared" si="36"/>
        <v>16443.400000000001</v>
      </c>
      <c r="S153" s="5">
        <f>VLOOKUP(D153,cmoney!$A:$M,12,FALSE)</f>
        <v>463.5</v>
      </c>
      <c r="U153" s="5" t="str">
        <f t="shared" si="40"/>
        <v/>
      </c>
      <c r="V153" s="5" t="str">
        <f t="shared" si="41"/>
        <v>3443</v>
      </c>
      <c r="W153" s="5" t="str">
        <f t="shared" si="42"/>
        <v>創意</v>
      </c>
      <c r="X153" s="5" t="str">
        <f t="shared" si="43"/>
        <v>JBF</v>
      </c>
      <c r="Y153" s="49">
        <f>VLOOKUP($X153,股期名單!$L:$M,2,FALSE)</f>
        <v>2000</v>
      </c>
      <c r="Z153" s="5" t="str">
        <f t="shared" si="44"/>
        <v>JBFC1</v>
      </c>
      <c r="AA153" s="7">
        <f t="shared" si="45"/>
        <v>-3.1758360302049621E-2</v>
      </c>
      <c r="AB153" s="5">
        <f>VLOOKUP($F153,DDE!$A:$AJ,AB$1,FALSE)</f>
        <v>-14.72</v>
      </c>
      <c r="AC153" s="5">
        <f>VLOOKUP($F153,DDE!$A:$AJ,AC$1,FALSE)</f>
        <v>16428.68</v>
      </c>
      <c r="AD153" s="5" t="str">
        <f>VLOOKUP($F153,DDE!$A:$AJ,AD$1,FALSE)</f>
        <v xml:space="preserve"> -</v>
      </c>
      <c r="AE153" s="5" t="str">
        <f>VLOOKUP($F153,DDE!$A:$AJ,AE$1,FALSE)</f>
        <v xml:space="preserve"> -</v>
      </c>
      <c r="AF153" s="5">
        <f>VLOOKUP($F153,DDE!$A:$AJ,AF$1,FALSE)</f>
        <v>4022793</v>
      </c>
      <c r="AG153" s="5">
        <f>VLOOKUP($F153,DDE!$A:$AJ,AG$1,FALSE)</f>
        <v>16329.54</v>
      </c>
      <c r="AH153" s="5">
        <f>VLOOKUP($F153,DDE!$A:$AJ,AH$1,FALSE)</f>
        <v>16456.939999999999</v>
      </c>
      <c r="AI153" s="5">
        <f>VLOOKUP($F153,DDE!$A:$AJ,AI$1,FALSE)</f>
        <v>16329.54</v>
      </c>
      <c r="AJ153" s="5" t="str">
        <f>VLOOKUP($F153,DDE!$A:$AJ,AJ$1,FALSE)</f>
        <v xml:space="preserve"> -</v>
      </c>
      <c r="AK153" s="5" t="str">
        <f>VLOOKUP($F153,DDE!$A:$AJ,AK$1,FALSE)</f>
        <v xml:space="preserve"> -</v>
      </c>
      <c r="AL153" s="5">
        <f t="shared" si="46"/>
        <v>16443.400000000001</v>
      </c>
      <c r="AM153" s="5">
        <f>VLOOKUP(X153,cmoney!$A:$M,12,FALSE)</f>
        <v>463.5</v>
      </c>
    </row>
    <row r="154" spans="1:39" x14ac:dyDescent="0.25">
      <c r="A154" s="5" t="str">
        <f t="shared" si="38"/>
        <v/>
      </c>
      <c r="B154" s="5" t="s">
        <v>670</v>
      </c>
      <c r="C154" s="5" t="s">
        <v>155</v>
      </c>
      <c r="D154" s="5" t="s">
        <v>1031</v>
      </c>
      <c r="E154" s="5">
        <f>VLOOKUP($D154,股期名單!$L:$M,2,FALSE)</f>
        <v>2000</v>
      </c>
      <c r="F154" s="5" t="str">
        <f t="shared" si="37"/>
        <v>DQFB1</v>
      </c>
      <c r="G154" s="7" t="e">
        <f t="shared" si="39"/>
        <v>#VALUE!</v>
      </c>
      <c r="H154" s="5" t="str">
        <f>VLOOKUP($F154,DDE!$A:$AJ,H$1,FALSE)</f>
        <v xml:space="preserve"> </v>
      </c>
      <c r="I154" s="5">
        <f>VLOOKUP($F154,DDE!$A:$AJ,I$1,FALSE)</f>
        <v>20878632</v>
      </c>
      <c r="J154" s="5" t="str">
        <f>VLOOKUP($F154,DDE!$A:$AJ,J$1,FALSE)</f>
        <v xml:space="preserve"> -</v>
      </c>
      <c r="K154" s="5" t="str">
        <f>VLOOKUP($F154,DDE!$A:$AJ,K$1,FALSE)</f>
        <v xml:space="preserve"> -</v>
      </c>
      <c r="L154" s="5">
        <f>VLOOKUP($F154,DDE!$A:$AJ,L$1,FALSE)</f>
        <v>2088371110</v>
      </c>
      <c r="M154" s="5">
        <f>VLOOKUP($F154,DDE!$A:$AJ,M$1,FALSE)</f>
        <v>20803788</v>
      </c>
      <c r="N154" s="5">
        <f>VLOOKUP($F154,DDE!$A:$AJ,N$1,FALSE)</f>
        <v>20804690</v>
      </c>
      <c r="O154" s="5">
        <f>VLOOKUP($F154,DDE!$A:$AJ,O$1,FALSE)</f>
        <v>10989732</v>
      </c>
      <c r="P154" s="5" t="str">
        <f>VLOOKUP($F154,DDE!$A:$AJ,P$1,FALSE)</f>
        <v xml:space="preserve"> -</v>
      </c>
      <c r="Q154" s="5" t="str">
        <f>VLOOKUP($F154,DDE!$A:$AJ,Q$1,FALSE)</f>
        <v xml:space="preserve"> -</v>
      </c>
      <c r="R154" s="5" t="e">
        <f t="shared" si="36"/>
        <v>#VALUE!</v>
      </c>
      <c r="S154" s="5">
        <f>VLOOKUP(D154,cmoney!$A:$M,12,FALSE)</f>
        <v>16.25</v>
      </c>
      <c r="U154" s="5" t="str">
        <f t="shared" si="40"/>
        <v/>
      </c>
      <c r="V154" s="5" t="str">
        <f t="shared" si="41"/>
        <v>3481</v>
      </c>
      <c r="W154" s="5" t="str">
        <f t="shared" si="42"/>
        <v>群創</v>
      </c>
      <c r="X154" s="5" t="str">
        <f t="shared" si="43"/>
        <v>DQF</v>
      </c>
      <c r="Y154" s="49">
        <f>VLOOKUP($X154,股期名單!$L:$M,2,FALSE)</f>
        <v>2000</v>
      </c>
      <c r="Z154" s="5" t="str">
        <f t="shared" si="44"/>
        <v>DQFC1</v>
      </c>
      <c r="AA154" s="7" t="e">
        <f t="shared" si="45"/>
        <v>#VALUE!</v>
      </c>
      <c r="AB154" s="5" t="str">
        <f>VLOOKUP($F154,DDE!$A:$AJ,AB$1,FALSE)</f>
        <v xml:space="preserve"> </v>
      </c>
      <c r="AC154" s="5">
        <f>VLOOKUP($F154,DDE!$A:$AJ,AC$1,FALSE)</f>
        <v>20878632</v>
      </c>
      <c r="AD154" s="5" t="str">
        <f>VLOOKUP($F154,DDE!$A:$AJ,AD$1,FALSE)</f>
        <v xml:space="preserve"> -</v>
      </c>
      <c r="AE154" s="5" t="str">
        <f>VLOOKUP($F154,DDE!$A:$AJ,AE$1,FALSE)</f>
        <v xml:space="preserve"> -</v>
      </c>
      <c r="AF154" s="5">
        <f>VLOOKUP($F154,DDE!$A:$AJ,AF$1,FALSE)</f>
        <v>2088371110</v>
      </c>
      <c r="AG154" s="5">
        <f>VLOOKUP($F154,DDE!$A:$AJ,AG$1,FALSE)</f>
        <v>20803788</v>
      </c>
      <c r="AH154" s="5">
        <f>VLOOKUP($F154,DDE!$A:$AJ,AH$1,FALSE)</f>
        <v>20804690</v>
      </c>
      <c r="AI154" s="5">
        <f>VLOOKUP($F154,DDE!$A:$AJ,AI$1,FALSE)</f>
        <v>10989732</v>
      </c>
      <c r="AJ154" s="5" t="str">
        <f>VLOOKUP($F154,DDE!$A:$AJ,AJ$1,FALSE)</f>
        <v xml:space="preserve"> -</v>
      </c>
      <c r="AK154" s="5" t="str">
        <f>VLOOKUP($F154,DDE!$A:$AJ,AK$1,FALSE)</f>
        <v xml:space="preserve"> -</v>
      </c>
      <c r="AL154" s="5" t="e">
        <f t="shared" si="46"/>
        <v>#VALUE!</v>
      </c>
      <c r="AM154" s="5">
        <f>VLOOKUP(X154,cmoney!$A:$M,12,FALSE)</f>
        <v>16.25</v>
      </c>
    </row>
    <row r="155" spans="1:39" x14ac:dyDescent="0.25">
      <c r="A155" s="5" t="str">
        <f t="shared" si="38"/>
        <v/>
      </c>
      <c r="B155" s="5" t="s">
        <v>809</v>
      </c>
      <c r="C155" s="5" t="s">
        <v>612</v>
      </c>
      <c r="D155" s="5" t="s">
        <v>1032</v>
      </c>
      <c r="E155" s="5">
        <f>VLOOKUP($D155,股期名單!$L:$M,2,FALSE)</f>
        <v>2000</v>
      </c>
      <c r="F155" s="5" t="str">
        <f t="shared" si="37"/>
        <v>PIFB1</v>
      </c>
      <c r="G155" s="7">
        <f t="shared" si="39"/>
        <v>7.7922077922077922E-3</v>
      </c>
      <c r="H155" s="5">
        <f>VLOOKUP($F155,DDE!$A:$AJ,H$1,FALSE)</f>
        <v>6.6</v>
      </c>
      <c r="I155" s="5">
        <f>VLOOKUP($F155,DDE!$A:$AJ,I$1,FALSE)</f>
        <v>13893.18</v>
      </c>
      <c r="J155" s="5" t="str">
        <f>VLOOKUP($F155,DDE!$A:$AJ,J$1,FALSE)</f>
        <v xml:space="preserve"> -</v>
      </c>
      <c r="K155" s="5" t="str">
        <f>VLOOKUP($F155,DDE!$A:$AJ,K$1,FALSE)</f>
        <v xml:space="preserve"> -</v>
      </c>
      <c r="L155" s="5">
        <f>VLOOKUP($F155,DDE!$A:$AJ,L$1,FALSE)</f>
        <v>872505</v>
      </c>
      <c r="M155" s="5">
        <f>VLOOKUP($F155,DDE!$A:$AJ,M$1,FALSE)</f>
        <v>13893.03</v>
      </c>
      <c r="N155" s="5">
        <f>VLOOKUP($F155,DDE!$A:$AJ,N$1,FALSE)</f>
        <v>13945.78</v>
      </c>
      <c r="O155" s="5">
        <f>VLOOKUP($F155,DDE!$A:$AJ,O$1,FALSE)</f>
        <v>13875.82</v>
      </c>
      <c r="P155" s="5" t="str">
        <f>VLOOKUP($F155,DDE!$A:$AJ,P$1,FALSE)</f>
        <v xml:space="preserve"> -</v>
      </c>
      <c r="Q155" s="5" t="str">
        <f>VLOOKUP($F155,DDE!$A:$AJ,Q$1,FALSE)</f>
        <v xml:space="preserve"> -</v>
      </c>
      <c r="R155" s="5">
        <f t="shared" si="36"/>
        <v>13886.58</v>
      </c>
      <c r="S155" s="5">
        <f>VLOOKUP(D155,cmoney!$A:$M,12,FALSE)</f>
        <v>847</v>
      </c>
      <c r="U155" s="5" t="str">
        <f t="shared" si="40"/>
        <v/>
      </c>
      <c r="V155" s="5" t="str">
        <f t="shared" si="41"/>
        <v>3529</v>
      </c>
      <c r="W155" s="5" t="str">
        <f t="shared" si="42"/>
        <v>力旺</v>
      </c>
      <c r="X155" s="5" t="str">
        <f t="shared" si="43"/>
        <v>PIF</v>
      </c>
      <c r="Y155" s="49">
        <f>VLOOKUP($X155,股期名單!$L:$M,2,FALSE)</f>
        <v>2000</v>
      </c>
      <c r="Z155" s="5" t="str">
        <f t="shared" si="44"/>
        <v>PIFC1</v>
      </c>
      <c r="AA155" s="7">
        <f t="shared" si="45"/>
        <v>7.7922077922077922E-3</v>
      </c>
      <c r="AB155" s="5">
        <f>VLOOKUP($F155,DDE!$A:$AJ,AB$1,FALSE)</f>
        <v>6.6</v>
      </c>
      <c r="AC155" s="5">
        <f>VLOOKUP($F155,DDE!$A:$AJ,AC$1,FALSE)</f>
        <v>13893.18</v>
      </c>
      <c r="AD155" s="5" t="str">
        <f>VLOOKUP($F155,DDE!$A:$AJ,AD$1,FALSE)</f>
        <v xml:space="preserve"> -</v>
      </c>
      <c r="AE155" s="5" t="str">
        <f>VLOOKUP($F155,DDE!$A:$AJ,AE$1,FALSE)</f>
        <v xml:space="preserve"> -</v>
      </c>
      <c r="AF155" s="5">
        <f>VLOOKUP($F155,DDE!$A:$AJ,AF$1,FALSE)</f>
        <v>872505</v>
      </c>
      <c r="AG155" s="5">
        <f>VLOOKUP($F155,DDE!$A:$AJ,AG$1,FALSE)</f>
        <v>13893.03</v>
      </c>
      <c r="AH155" s="5">
        <f>VLOOKUP($F155,DDE!$A:$AJ,AH$1,FALSE)</f>
        <v>13945.78</v>
      </c>
      <c r="AI155" s="5">
        <f>VLOOKUP($F155,DDE!$A:$AJ,AI$1,FALSE)</f>
        <v>13875.82</v>
      </c>
      <c r="AJ155" s="5" t="str">
        <f>VLOOKUP($F155,DDE!$A:$AJ,AJ$1,FALSE)</f>
        <v xml:space="preserve"> -</v>
      </c>
      <c r="AK155" s="5" t="str">
        <f>VLOOKUP($F155,DDE!$A:$AJ,AK$1,FALSE)</f>
        <v xml:space="preserve"> -</v>
      </c>
      <c r="AL155" s="5">
        <f t="shared" si="46"/>
        <v>13886.58</v>
      </c>
      <c r="AM155" s="5">
        <f>VLOOKUP(X155,cmoney!$A:$M,12,FALSE)</f>
        <v>847</v>
      </c>
    </row>
    <row r="156" spans="1:39" x14ac:dyDescent="0.25">
      <c r="A156" s="5" t="str">
        <f t="shared" si="38"/>
        <v/>
      </c>
      <c r="B156" s="5" t="s">
        <v>1033</v>
      </c>
      <c r="C156" s="5" t="s">
        <v>870</v>
      </c>
      <c r="D156" s="5" t="s">
        <v>1034</v>
      </c>
      <c r="E156" s="5">
        <f>VLOOKUP($D156,股期名單!$L:$M,2,FALSE)</f>
        <v>2000</v>
      </c>
      <c r="F156" s="5" t="str">
        <f t="shared" si="37"/>
        <v>QDFB1</v>
      </c>
      <c r="G156" s="7">
        <f t="shared" si="39"/>
        <v>-0.14423841059602649</v>
      </c>
      <c r="H156" s="5">
        <f>VLOOKUP($F156,DDE!$A:$AJ,H$1,FALSE)</f>
        <v>-21.78</v>
      </c>
      <c r="I156" s="5">
        <f>VLOOKUP($F156,DDE!$A:$AJ,I$1,FALSE)</f>
        <v>16421.62</v>
      </c>
      <c r="J156" s="5" t="str">
        <f>VLOOKUP($F156,DDE!$A:$AJ,J$1,FALSE)</f>
        <v xml:space="preserve"> -</v>
      </c>
      <c r="K156" s="5" t="str">
        <f>VLOOKUP($F156,DDE!$A:$AJ,K$1,FALSE)</f>
        <v xml:space="preserve"> -</v>
      </c>
      <c r="L156" s="5">
        <f>VLOOKUP($F156,DDE!$A:$AJ,L$1,FALSE)</f>
        <v>4027056</v>
      </c>
      <c r="M156" s="5">
        <f>VLOOKUP($F156,DDE!$A:$AJ,M$1,FALSE)</f>
        <v>16329.54</v>
      </c>
      <c r="N156" s="5">
        <f>VLOOKUP($F156,DDE!$A:$AJ,N$1,FALSE)</f>
        <v>16456.939999999999</v>
      </c>
      <c r="O156" s="5">
        <f>VLOOKUP($F156,DDE!$A:$AJ,O$1,FALSE)</f>
        <v>16329.54</v>
      </c>
      <c r="P156" s="5" t="str">
        <f>VLOOKUP($F156,DDE!$A:$AJ,P$1,FALSE)</f>
        <v xml:space="preserve"> -</v>
      </c>
      <c r="Q156" s="5" t="str">
        <f>VLOOKUP($F156,DDE!$A:$AJ,Q$1,FALSE)</f>
        <v xml:space="preserve"> -</v>
      </c>
      <c r="R156" s="5">
        <f t="shared" si="36"/>
        <v>16443.399999999998</v>
      </c>
      <c r="S156" s="5">
        <f>VLOOKUP(D156,cmoney!$A:$M,12,FALSE)</f>
        <v>151</v>
      </c>
      <c r="U156" s="5" t="str">
        <f t="shared" si="40"/>
        <v/>
      </c>
      <c r="V156" s="5" t="str">
        <f t="shared" si="41"/>
        <v>3532</v>
      </c>
      <c r="W156" s="5" t="str">
        <f t="shared" si="42"/>
        <v>台勝科</v>
      </c>
      <c r="X156" s="5" t="str">
        <f t="shared" si="43"/>
        <v>QDF</v>
      </c>
      <c r="Y156" s="49">
        <f>VLOOKUP($X156,股期名單!$L:$M,2,FALSE)</f>
        <v>2000</v>
      </c>
      <c r="Z156" s="5" t="str">
        <f t="shared" si="44"/>
        <v>QDFC1</v>
      </c>
      <c r="AA156" s="7">
        <f t="shared" si="45"/>
        <v>-0.14423841059602649</v>
      </c>
      <c r="AB156" s="5">
        <f>VLOOKUP($F156,DDE!$A:$AJ,AB$1,FALSE)</f>
        <v>-21.78</v>
      </c>
      <c r="AC156" s="5">
        <f>VLOOKUP($F156,DDE!$A:$AJ,AC$1,FALSE)</f>
        <v>16421.62</v>
      </c>
      <c r="AD156" s="5" t="str">
        <f>VLOOKUP($F156,DDE!$A:$AJ,AD$1,FALSE)</f>
        <v xml:space="preserve"> -</v>
      </c>
      <c r="AE156" s="5" t="str">
        <f>VLOOKUP($F156,DDE!$A:$AJ,AE$1,FALSE)</f>
        <v xml:space="preserve"> -</v>
      </c>
      <c r="AF156" s="5">
        <f>VLOOKUP($F156,DDE!$A:$AJ,AF$1,FALSE)</f>
        <v>4027056</v>
      </c>
      <c r="AG156" s="5">
        <f>VLOOKUP($F156,DDE!$A:$AJ,AG$1,FALSE)</f>
        <v>16329.54</v>
      </c>
      <c r="AH156" s="5">
        <f>VLOOKUP($F156,DDE!$A:$AJ,AH$1,FALSE)</f>
        <v>16456.939999999999</v>
      </c>
      <c r="AI156" s="5">
        <f>VLOOKUP($F156,DDE!$A:$AJ,AI$1,FALSE)</f>
        <v>16329.54</v>
      </c>
      <c r="AJ156" s="5" t="str">
        <f>VLOOKUP($F156,DDE!$A:$AJ,AJ$1,FALSE)</f>
        <v xml:space="preserve"> -</v>
      </c>
      <c r="AK156" s="5" t="str">
        <f>VLOOKUP($F156,DDE!$A:$AJ,AK$1,FALSE)</f>
        <v xml:space="preserve"> -</v>
      </c>
      <c r="AL156" s="5">
        <f t="shared" si="46"/>
        <v>16443.399999999998</v>
      </c>
      <c r="AM156" s="5">
        <f>VLOOKUP(X156,cmoney!$A:$M,12,FALSE)</f>
        <v>151</v>
      </c>
    </row>
    <row r="157" spans="1:39" x14ac:dyDescent="0.25">
      <c r="A157" s="5" t="str">
        <f t="shared" si="38"/>
        <v/>
      </c>
      <c r="B157" s="5" t="s">
        <v>732</v>
      </c>
      <c r="C157" s="5" t="s">
        <v>341</v>
      </c>
      <c r="D157" s="5" t="s">
        <v>1035</v>
      </c>
      <c r="E157" s="5">
        <f>VLOOKUP($D157,股期名單!$L:$M,2,FALSE)</f>
        <v>2000</v>
      </c>
      <c r="F157" s="5" t="str">
        <f t="shared" si="37"/>
        <v>JFFB1</v>
      </c>
      <c r="G157" s="7">
        <f t="shared" si="39"/>
        <v>-3.5665399239543732E-2</v>
      </c>
      <c r="H157" s="5">
        <f>VLOOKUP($F157,DDE!$A:$AJ,H$1,FALSE)</f>
        <v>-18.760000000000002</v>
      </c>
      <c r="I157" s="5">
        <f>VLOOKUP($F157,DDE!$A:$AJ,I$1,FALSE)</f>
        <v>16424.64</v>
      </c>
      <c r="J157" s="5" t="str">
        <f>VLOOKUP($F157,DDE!$A:$AJ,J$1,FALSE)</f>
        <v xml:space="preserve"> -</v>
      </c>
      <c r="K157" s="5" t="str">
        <f>VLOOKUP($F157,DDE!$A:$AJ,K$1,FALSE)</f>
        <v xml:space="preserve"> -</v>
      </c>
      <c r="L157" s="5">
        <f>VLOOKUP($F157,DDE!$A:$AJ,L$1,FALSE)</f>
        <v>4020107</v>
      </c>
      <c r="M157" s="5">
        <f>VLOOKUP($F157,DDE!$A:$AJ,M$1,FALSE)</f>
        <v>16329.54</v>
      </c>
      <c r="N157" s="5">
        <f>VLOOKUP($F157,DDE!$A:$AJ,N$1,FALSE)</f>
        <v>16456.939999999999</v>
      </c>
      <c r="O157" s="5">
        <f>VLOOKUP($F157,DDE!$A:$AJ,O$1,FALSE)</f>
        <v>16329.54</v>
      </c>
      <c r="P157" s="5" t="str">
        <f>VLOOKUP($F157,DDE!$A:$AJ,P$1,FALSE)</f>
        <v xml:space="preserve"> -</v>
      </c>
      <c r="Q157" s="5" t="str">
        <f>VLOOKUP($F157,DDE!$A:$AJ,Q$1,FALSE)</f>
        <v xml:space="preserve"> -</v>
      </c>
      <c r="R157" s="5">
        <f t="shared" si="36"/>
        <v>16443.399999999998</v>
      </c>
      <c r="S157" s="5">
        <f>VLOOKUP(D157,cmoney!$A:$M,12,FALSE)</f>
        <v>526</v>
      </c>
      <c r="U157" s="5" t="str">
        <f t="shared" si="40"/>
        <v/>
      </c>
      <c r="V157" s="5" t="str">
        <f t="shared" si="41"/>
        <v>3533</v>
      </c>
      <c r="W157" s="5" t="str">
        <f t="shared" si="42"/>
        <v>嘉澤</v>
      </c>
      <c r="X157" s="5" t="str">
        <f t="shared" si="43"/>
        <v>JFF</v>
      </c>
      <c r="Y157" s="49">
        <f>VLOOKUP($X157,股期名單!$L:$M,2,FALSE)</f>
        <v>2000</v>
      </c>
      <c r="Z157" s="5" t="str">
        <f t="shared" si="44"/>
        <v>JFFC1</v>
      </c>
      <c r="AA157" s="7">
        <f t="shared" si="45"/>
        <v>-3.5665399239543732E-2</v>
      </c>
      <c r="AB157" s="5">
        <f>VLOOKUP($F157,DDE!$A:$AJ,AB$1,FALSE)</f>
        <v>-18.760000000000002</v>
      </c>
      <c r="AC157" s="5">
        <f>VLOOKUP($F157,DDE!$A:$AJ,AC$1,FALSE)</f>
        <v>16424.64</v>
      </c>
      <c r="AD157" s="5" t="str">
        <f>VLOOKUP($F157,DDE!$A:$AJ,AD$1,FALSE)</f>
        <v xml:space="preserve"> -</v>
      </c>
      <c r="AE157" s="5" t="str">
        <f>VLOOKUP($F157,DDE!$A:$AJ,AE$1,FALSE)</f>
        <v xml:space="preserve"> -</v>
      </c>
      <c r="AF157" s="5">
        <f>VLOOKUP($F157,DDE!$A:$AJ,AF$1,FALSE)</f>
        <v>4020107</v>
      </c>
      <c r="AG157" s="5">
        <f>VLOOKUP($F157,DDE!$A:$AJ,AG$1,FALSE)</f>
        <v>16329.54</v>
      </c>
      <c r="AH157" s="5">
        <f>VLOOKUP($F157,DDE!$A:$AJ,AH$1,FALSE)</f>
        <v>16456.939999999999</v>
      </c>
      <c r="AI157" s="5">
        <f>VLOOKUP($F157,DDE!$A:$AJ,AI$1,FALSE)</f>
        <v>16329.54</v>
      </c>
      <c r="AJ157" s="5" t="str">
        <f>VLOOKUP($F157,DDE!$A:$AJ,AJ$1,FALSE)</f>
        <v xml:space="preserve"> -</v>
      </c>
      <c r="AK157" s="5" t="str">
        <f>VLOOKUP($F157,DDE!$A:$AJ,AK$1,FALSE)</f>
        <v xml:space="preserve"> -</v>
      </c>
      <c r="AL157" s="5">
        <f t="shared" si="46"/>
        <v>16443.399999999998</v>
      </c>
      <c r="AM157" s="5">
        <f>VLOOKUP(X157,cmoney!$A:$M,12,FALSE)</f>
        <v>526</v>
      </c>
    </row>
    <row r="158" spans="1:39" x14ac:dyDescent="0.25">
      <c r="A158" s="5" t="str">
        <f t="shared" si="38"/>
        <v/>
      </c>
      <c r="B158" s="5" t="s">
        <v>798</v>
      </c>
      <c r="C158" s="5" t="s">
        <v>573</v>
      </c>
      <c r="D158" s="5" t="s">
        <v>1036</v>
      </c>
      <c r="E158" s="5">
        <f>VLOOKUP($D158,股期名單!$L:$M,2,FALSE)</f>
        <v>2000</v>
      </c>
      <c r="F158" s="5" t="str">
        <f t="shared" si="37"/>
        <v>OUFB1</v>
      </c>
      <c r="G158" s="7">
        <f t="shared" si="39"/>
        <v>-5.4914361001317524E-2</v>
      </c>
      <c r="H158" s="5">
        <f>VLOOKUP($F158,DDE!$A:$AJ,H$1,FALSE)</f>
        <v>-20.84</v>
      </c>
      <c r="I158" s="5">
        <f>VLOOKUP($F158,DDE!$A:$AJ,I$1,FALSE)</f>
        <v>16422.560000000001</v>
      </c>
      <c r="J158" s="5" t="str">
        <f>VLOOKUP($F158,DDE!$A:$AJ,J$1,FALSE)</f>
        <v xml:space="preserve"> -</v>
      </c>
      <c r="K158" s="5" t="str">
        <f>VLOOKUP($F158,DDE!$A:$AJ,K$1,FALSE)</f>
        <v xml:space="preserve"> -</v>
      </c>
      <c r="L158" s="5">
        <f>VLOOKUP($F158,DDE!$A:$AJ,L$1,FALSE)</f>
        <v>4024617</v>
      </c>
      <c r="M158" s="5">
        <f>VLOOKUP($F158,DDE!$A:$AJ,M$1,FALSE)</f>
        <v>16329.54</v>
      </c>
      <c r="N158" s="5">
        <f>VLOOKUP($F158,DDE!$A:$AJ,N$1,FALSE)</f>
        <v>16456.939999999999</v>
      </c>
      <c r="O158" s="5">
        <f>VLOOKUP($F158,DDE!$A:$AJ,O$1,FALSE)</f>
        <v>16329.54</v>
      </c>
      <c r="P158" s="5" t="str">
        <f>VLOOKUP($F158,DDE!$A:$AJ,P$1,FALSE)</f>
        <v xml:space="preserve"> -</v>
      </c>
      <c r="Q158" s="5" t="str">
        <f>VLOOKUP($F158,DDE!$A:$AJ,Q$1,FALSE)</f>
        <v xml:space="preserve"> -</v>
      </c>
      <c r="R158" s="5">
        <f t="shared" si="36"/>
        <v>16443.400000000001</v>
      </c>
      <c r="S158" s="5">
        <f>VLOOKUP(D158,cmoney!$A:$M,12,FALSE)</f>
        <v>379.5</v>
      </c>
      <c r="U158" s="5" t="str">
        <f t="shared" si="40"/>
        <v/>
      </c>
      <c r="V158" s="5" t="str">
        <f t="shared" si="41"/>
        <v>3552</v>
      </c>
      <c r="W158" s="5" t="str">
        <f t="shared" si="42"/>
        <v>同致</v>
      </c>
      <c r="X158" s="5" t="str">
        <f t="shared" si="43"/>
        <v>OUF</v>
      </c>
      <c r="Y158" s="49">
        <f>VLOOKUP($X158,股期名單!$L:$M,2,FALSE)</f>
        <v>2000</v>
      </c>
      <c r="Z158" s="5" t="str">
        <f t="shared" si="44"/>
        <v>OUFC1</v>
      </c>
      <c r="AA158" s="7">
        <f t="shared" si="45"/>
        <v>-5.4914361001317524E-2</v>
      </c>
      <c r="AB158" s="5">
        <f>VLOOKUP($F158,DDE!$A:$AJ,AB$1,FALSE)</f>
        <v>-20.84</v>
      </c>
      <c r="AC158" s="5">
        <f>VLOOKUP($F158,DDE!$A:$AJ,AC$1,FALSE)</f>
        <v>16422.560000000001</v>
      </c>
      <c r="AD158" s="5" t="str">
        <f>VLOOKUP($F158,DDE!$A:$AJ,AD$1,FALSE)</f>
        <v xml:space="preserve"> -</v>
      </c>
      <c r="AE158" s="5" t="str">
        <f>VLOOKUP($F158,DDE!$A:$AJ,AE$1,FALSE)</f>
        <v xml:space="preserve"> -</v>
      </c>
      <c r="AF158" s="5">
        <f>VLOOKUP($F158,DDE!$A:$AJ,AF$1,FALSE)</f>
        <v>4024617</v>
      </c>
      <c r="AG158" s="5">
        <f>VLOOKUP($F158,DDE!$A:$AJ,AG$1,FALSE)</f>
        <v>16329.54</v>
      </c>
      <c r="AH158" s="5">
        <f>VLOOKUP($F158,DDE!$A:$AJ,AH$1,FALSE)</f>
        <v>16456.939999999999</v>
      </c>
      <c r="AI158" s="5">
        <f>VLOOKUP($F158,DDE!$A:$AJ,AI$1,FALSE)</f>
        <v>16329.54</v>
      </c>
      <c r="AJ158" s="5" t="str">
        <f>VLOOKUP($F158,DDE!$A:$AJ,AJ$1,FALSE)</f>
        <v xml:space="preserve"> -</v>
      </c>
      <c r="AK158" s="5" t="str">
        <f>VLOOKUP($F158,DDE!$A:$AJ,AK$1,FALSE)</f>
        <v xml:space="preserve"> -</v>
      </c>
      <c r="AL158" s="5">
        <f t="shared" si="46"/>
        <v>16443.400000000001</v>
      </c>
      <c r="AM158" s="5">
        <f>VLOOKUP(X158,cmoney!$A:$M,12,FALSE)</f>
        <v>379.5</v>
      </c>
    </row>
    <row r="159" spans="1:39" x14ac:dyDescent="0.25">
      <c r="A159" s="5" t="str">
        <f t="shared" si="38"/>
        <v/>
      </c>
      <c r="B159" s="5" t="s">
        <v>1037</v>
      </c>
      <c r="C159" s="5" t="s">
        <v>836</v>
      </c>
      <c r="D159" s="5" t="s">
        <v>1038</v>
      </c>
      <c r="E159" s="5">
        <f>VLOOKUP($D159,股期名單!$L:$M,2,FALSE)</f>
        <v>2000</v>
      </c>
      <c r="F159" s="5" t="str">
        <f t="shared" si="37"/>
        <v>JMFB1</v>
      </c>
      <c r="G159" s="7" t="e">
        <f t="shared" si="39"/>
        <v>#VALUE!</v>
      </c>
      <c r="H159" s="5" t="str">
        <f>VLOOKUP($F159,DDE!$A:$AJ,H$1,FALSE)</f>
        <v xml:space="preserve"> </v>
      </c>
      <c r="I159" s="5">
        <f>VLOOKUP($F159,DDE!$A:$AJ,I$1,FALSE)</f>
        <v>20878632</v>
      </c>
      <c r="J159" s="5" t="str">
        <f>VLOOKUP($F159,DDE!$A:$AJ,J$1,FALSE)</f>
        <v xml:space="preserve"> -</v>
      </c>
      <c r="K159" s="5" t="str">
        <f>VLOOKUP($F159,DDE!$A:$AJ,K$1,FALSE)</f>
        <v xml:space="preserve"> -</v>
      </c>
      <c r="L159" s="5">
        <f>VLOOKUP($F159,DDE!$A:$AJ,L$1,FALSE)</f>
        <v>2088371110</v>
      </c>
      <c r="M159" s="5">
        <f>VLOOKUP($F159,DDE!$A:$AJ,M$1,FALSE)</f>
        <v>20803788</v>
      </c>
      <c r="N159" s="5">
        <f>VLOOKUP($F159,DDE!$A:$AJ,N$1,FALSE)</f>
        <v>20804690</v>
      </c>
      <c r="O159" s="5">
        <f>VLOOKUP($F159,DDE!$A:$AJ,O$1,FALSE)</f>
        <v>10989732</v>
      </c>
      <c r="P159" s="5" t="str">
        <f>VLOOKUP($F159,DDE!$A:$AJ,P$1,FALSE)</f>
        <v xml:space="preserve"> -</v>
      </c>
      <c r="Q159" s="5" t="str">
        <f>VLOOKUP($F159,DDE!$A:$AJ,Q$1,FALSE)</f>
        <v xml:space="preserve"> -</v>
      </c>
      <c r="R159" s="5" t="e">
        <f t="shared" si="36"/>
        <v>#VALUE!</v>
      </c>
      <c r="S159" s="5">
        <f>VLOOKUP(D159,cmoney!$A:$M,12,FALSE)</f>
        <v>333.5</v>
      </c>
      <c r="U159" s="5" t="str">
        <f t="shared" si="40"/>
        <v/>
      </c>
      <c r="V159" s="5" t="str">
        <f t="shared" si="41"/>
        <v>3653</v>
      </c>
      <c r="W159" s="5" t="str">
        <f t="shared" si="42"/>
        <v>健策</v>
      </c>
      <c r="X159" s="5" t="str">
        <f t="shared" si="43"/>
        <v>JMF</v>
      </c>
      <c r="Y159" s="49">
        <f>VLOOKUP($X159,股期名單!$L:$M,2,FALSE)</f>
        <v>2000</v>
      </c>
      <c r="Z159" s="5" t="str">
        <f t="shared" si="44"/>
        <v>JMFC1</v>
      </c>
      <c r="AA159" s="7" t="e">
        <f t="shared" si="45"/>
        <v>#VALUE!</v>
      </c>
      <c r="AB159" s="5" t="str">
        <f>VLOOKUP($F159,DDE!$A:$AJ,AB$1,FALSE)</f>
        <v xml:space="preserve"> </v>
      </c>
      <c r="AC159" s="5">
        <f>VLOOKUP($F159,DDE!$A:$AJ,AC$1,FALSE)</f>
        <v>20878632</v>
      </c>
      <c r="AD159" s="5" t="str">
        <f>VLOOKUP($F159,DDE!$A:$AJ,AD$1,FALSE)</f>
        <v xml:space="preserve"> -</v>
      </c>
      <c r="AE159" s="5" t="str">
        <f>VLOOKUP($F159,DDE!$A:$AJ,AE$1,FALSE)</f>
        <v xml:space="preserve"> -</v>
      </c>
      <c r="AF159" s="5">
        <f>VLOOKUP($F159,DDE!$A:$AJ,AF$1,FALSE)</f>
        <v>2088371110</v>
      </c>
      <c r="AG159" s="5">
        <f>VLOOKUP($F159,DDE!$A:$AJ,AG$1,FALSE)</f>
        <v>20803788</v>
      </c>
      <c r="AH159" s="5">
        <f>VLOOKUP($F159,DDE!$A:$AJ,AH$1,FALSE)</f>
        <v>20804690</v>
      </c>
      <c r="AI159" s="5">
        <f>VLOOKUP($F159,DDE!$A:$AJ,AI$1,FALSE)</f>
        <v>10989732</v>
      </c>
      <c r="AJ159" s="5" t="str">
        <f>VLOOKUP($F159,DDE!$A:$AJ,AJ$1,FALSE)</f>
        <v xml:space="preserve"> -</v>
      </c>
      <c r="AK159" s="5" t="str">
        <f>VLOOKUP($F159,DDE!$A:$AJ,AK$1,FALSE)</f>
        <v xml:space="preserve"> -</v>
      </c>
      <c r="AL159" s="5" t="e">
        <f t="shared" si="46"/>
        <v>#VALUE!</v>
      </c>
      <c r="AM159" s="5">
        <f>VLOOKUP(X159,cmoney!$A:$M,12,FALSE)</f>
        <v>333.5</v>
      </c>
    </row>
    <row r="160" spans="1:39" x14ac:dyDescent="0.25">
      <c r="A160" s="5" t="str">
        <f t="shared" si="38"/>
        <v/>
      </c>
      <c r="B160" s="5" t="s">
        <v>733</v>
      </c>
      <c r="C160" s="5" t="s">
        <v>344</v>
      </c>
      <c r="D160" s="5" t="s">
        <v>1039</v>
      </c>
      <c r="E160" s="5">
        <f>VLOOKUP($D160,股期名單!$L:$M,2,FALSE)</f>
        <v>2000</v>
      </c>
      <c r="F160" s="5" t="str">
        <f t="shared" si="37"/>
        <v>JNFB1</v>
      </c>
      <c r="G160" s="7" t="e">
        <f t="shared" si="39"/>
        <v>#VALUE!</v>
      </c>
      <c r="H160" s="5" t="str">
        <f>VLOOKUP($F160,DDE!$A:$AJ,H$1,FALSE)</f>
        <v xml:space="preserve"> </v>
      </c>
      <c r="I160" s="5">
        <f>VLOOKUP($F160,DDE!$A:$AJ,I$1,FALSE)</f>
        <v>20878632</v>
      </c>
      <c r="J160" s="5" t="str">
        <f>VLOOKUP($F160,DDE!$A:$AJ,J$1,FALSE)</f>
        <v xml:space="preserve"> -</v>
      </c>
      <c r="K160" s="5" t="str">
        <f>VLOOKUP($F160,DDE!$A:$AJ,K$1,FALSE)</f>
        <v xml:space="preserve"> -</v>
      </c>
      <c r="L160" s="5">
        <f>VLOOKUP($F160,DDE!$A:$AJ,L$1,FALSE)</f>
        <v>2088371110</v>
      </c>
      <c r="M160" s="5">
        <f>VLOOKUP($F160,DDE!$A:$AJ,M$1,FALSE)</f>
        <v>20803788</v>
      </c>
      <c r="N160" s="5">
        <f>VLOOKUP($F160,DDE!$A:$AJ,N$1,FALSE)</f>
        <v>20804690</v>
      </c>
      <c r="O160" s="5">
        <f>VLOOKUP($F160,DDE!$A:$AJ,O$1,FALSE)</f>
        <v>10989732</v>
      </c>
      <c r="P160" s="5" t="str">
        <f>VLOOKUP($F160,DDE!$A:$AJ,P$1,FALSE)</f>
        <v xml:space="preserve"> -</v>
      </c>
      <c r="Q160" s="5" t="str">
        <f>VLOOKUP($F160,DDE!$A:$AJ,Q$1,FALSE)</f>
        <v xml:space="preserve"> -</v>
      </c>
      <c r="R160" s="5" t="e">
        <f t="shared" si="36"/>
        <v>#VALUE!</v>
      </c>
      <c r="S160" s="5">
        <f>VLOOKUP(D160,cmoney!$A:$M,12,FALSE)</f>
        <v>45.9</v>
      </c>
      <c r="U160" s="5" t="str">
        <f t="shared" si="40"/>
        <v/>
      </c>
      <c r="V160" s="5" t="str">
        <f t="shared" si="41"/>
        <v>3673</v>
      </c>
      <c r="W160" s="5" t="str">
        <f t="shared" si="42"/>
        <v>TPK-KY</v>
      </c>
      <c r="X160" s="5" t="str">
        <f t="shared" si="43"/>
        <v>JNF</v>
      </c>
      <c r="Y160" s="49">
        <f>VLOOKUP($X160,股期名單!$L:$M,2,FALSE)</f>
        <v>2000</v>
      </c>
      <c r="Z160" s="5" t="str">
        <f t="shared" si="44"/>
        <v>JNFC1</v>
      </c>
      <c r="AA160" s="7" t="e">
        <f t="shared" si="45"/>
        <v>#VALUE!</v>
      </c>
      <c r="AB160" s="5" t="str">
        <f>VLOOKUP($F160,DDE!$A:$AJ,AB$1,FALSE)</f>
        <v xml:space="preserve"> </v>
      </c>
      <c r="AC160" s="5">
        <f>VLOOKUP($F160,DDE!$A:$AJ,AC$1,FALSE)</f>
        <v>20878632</v>
      </c>
      <c r="AD160" s="5" t="str">
        <f>VLOOKUP($F160,DDE!$A:$AJ,AD$1,FALSE)</f>
        <v xml:space="preserve"> -</v>
      </c>
      <c r="AE160" s="5" t="str">
        <f>VLOOKUP($F160,DDE!$A:$AJ,AE$1,FALSE)</f>
        <v xml:space="preserve"> -</v>
      </c>
      <c r="AF160" s="5">
        <f>VLOOKUP($F160,DDE!$A:$AJ,AF$1,FALSE)</f>
        <v>2088371110</v>
      </c>
      <c r="AG160" s="5">
        <f>VLOOKUP($F160,DDE!$A:$AJ,AG$1,FALSE)</f>
        <v>20803788</v>
      </c>
      <c r="AH160" s="5">
        <f>VLOOKUP($F160,DDE!$A:$AJ,AH$1,FALSE)</f>
        <v>20804690</v>
      </c>
      <c r="AI160" s="5">
        <f>VLOOKUP($F160,DDE!$A:$AJ,AI$1,FALSE)</f>
        <v>10989732</v>
      </c>
      <c r="AJ160" s="5" t="str">
        <f>VLOOKUP($F160,DDE!$A:$AJ,AJ$1,FALSE)</f>
        <v xml:space="preserve"> -</v>
      </c>
      <c r="AK160" s="5" t="str">
        <f>VLOOKUP($F160,DDE!$A:$AJ,AK$1,FALSE)</f>
        <v xml:space="preserve"> -</v>
      </c>
      <c r="AL160" s="5" t="e">
        <f t="shared" si="46"/>
        <v>#VALUE!</v>
      </c>
      <c r="AM160" s="5">
        <f>VLOOKUP(X160,cmoney!$A:$M,12,FALSE)</f>
        <v>45.9</v>
      </c>
    </row>
    <row r="161" spans="1:39" x14ac:dyDescent="0.25">
      <c r="A161" s="5" t="str">
        <f t="shared" si="38"/>
        <v/>
      </c>
      <c r="B161" s="5" t="s">
        <v>778</v>
      </c>
      <c r="C161" s="5" t="s">
        <v>479</v>
      </c>
      <c r="D161" s="5" t="s">
        <v>1040</v>
      </c>
      <c r="E161" s="5">
        <f>VLOOKUP($D161,股期名單!$L:$M,2,FALSE)</f>
        <v>2000</v>
      </c>
      <c r="F161" s="5" t="str">
        <f t="shared" si="37"/>
        <v>NGFB1</v>
      </c>
      <c r="G161" s="7">
        <f t="shared" si="39"/>
        <v>-7.8090185676392573E-2</v>
      </c>
      <c r="H161" s="5">
        <f>VLOOKUP($F161,DDE!$A:$AJ,H$1,FALSE)</f>
        <v>-14.72</v>
      </c>
      <c r="I161" s="5">
        <f>VLOOKUP($F161,DDE!$A:$AJ,I$1,FALSE)</f>
        <v>16428.68</v>
      </c>
      <c r="J161" s="5" t="str">
        <f>VLOOKUP($F161,DDE!$A:$AJ,J$1,FALSE)</f>
        <v xml:space="preserve"> -</v>
      </c>
      <c r="K161" s="5" t="str">
        <f>VLOOKUP($F161,DDE!$A:$AJ,K$1,FALSE)</f>
        <v xml:space="preserve"> -</v>
      </c>
      <c r="L161" s="5">
        <f>VLOOKUP($F161,DDE!$A:$AJ,L$1,FALSE)</f>
        <v>4022793</v>
      </c>
      <c r="M161" s="5">
        <f>VLOOKUP($F161,DDE!$A:$AJ,M$1,FALSE)</f>
        <v>16329.54</v>
      </c>
      <c r="N161" s="5">
        <f>VLOOKUP($F161,DDE!$A:$AJ,N$1,FALSE)</f>
        <v>16456.939999999999</v>
      </c>
      <c r="O161" s="5">
        <f>VLOOKUP($F161,DDE!$A:$AJ,O$1,FALSE)</f>
        <v>16329.54</v>
      </c>
      <c r="P161" s="5" t="str">
        <f>VLOOKUP($F161,DDE!$A:$AJ,P$1,FALSE)</f>
        <v xml:space="preserve"> -</v>
      </c>
      <c r="Q161" s="5" t="str">
        <f>VLOOKUP($F161,DDE!$A:$AJ,Q$1,FALSE)</f>
        <v xml:space="preserve"> -</v>
      </c>
      <c r="R161" s="5">
        <f t="shared" si="36"/>
        <v>16443.400000000001</v>
      </c>
      <c r="S161" s="5">
        <f>VLOOKUP(D161,cmoney!$A:$M,12,FALSE)</f>
        <v>188.5</v>
      </c>
      <c r="U161" s="5" t="str">
        <f t="shared" si="40"/>
        <v/>
      </c>
      <c r="V161" s="5" t="str">
        <f t="shared" si="41"/>
        <v>3691</v>
      </c>
      <c r="W161" s="5" t="str">
        <f t="shared" si="42"/>
        <v>碩禾</v>
      </c>
      <c r="X161" s="5" t="str">
        <f t="shared" si="43"/>
        <v>NGF</v>
      </c>
      <c r="Y161" s="49">
        <f>VLOOKUP($X161,股期名單!$L:$M,2,FALSE)</f>
        <v>2000</v>
      </c>
      <c r="Z161" s="5" t="str">
        <f t="shared" si="44"/>
        <v>NGFC1</v>
      </c>
      <c r="AA161" s="7">
        <f t="shared" si="45"/>
        <v>-7.8090185676392573E-2</v>
      </c>
      <c r="AB161" s="5">
        <f>VLOOKUP($F161,DDE!$A:$AJ,AB$1,FALSE)</f>
        <v>-14.72</v>
      </c>
      <c r="AC161" s="5">
        <f>VLOOKUP($F161,DDE!$A:$AJ,AC$1,FALSE)</f>
        <v>16428.68</v>
      </c>
      <c r="AD161" s="5" t="str">
        <f>VLOOKUP($F161,DDE!$A:$AJ,AD$1,FALSE)</f>
        <v xml:space="preserve"> -</v>
      </c>
      <c r="AE161" s="5" t="str">
        <f>VLOOKUP($F161,DDE!$A:$AJ,AE$1,FALSE)</f>
        <v xml:space="preserve"> -</v>
      </c>
      <c r="AF161" s="5">
        <f>VLOOKUP($F161,DDE!$A:$AJ,AF$1,FALSE)</f>
        <v>4022793</v>
      </c>
      <c r="AG161" s="5">
        <f>VLOOKUP($F161,DDE!$A:$AJ,AG$1,FALSE)</f>
        <v>16329.54</v>
      </c>
      <c r="AH161" s="5">
        <f>VLOOKUP($F161,DDE!$A:$AJ,AH$1,FALSE)</f>
        <v>16456.939999999999</v>
      </c>
      <c r="AI161" s="5">
        <f>VLOOKUP($F161,DDE!$A:$AJ,AI$1,FALSE)</f>
        <v>16329.54</v>
      </c>
      <c r="AJ161" s="5" t="str">
        <f>VLOOKUP($F161,DDE!$A:$AJ,AJ$1,FALSE)</f>
        <v xml:space="preserve"> -</v>
      </c>
      <c r="AK161" s="5" t="str">
        <f>VLOOKUP($F161,DDE!$A:$AJ,AK$1,FALSE)</f>
        <v xml:space="preserve"> -</v>
      </c>
      <c r="AL161" s="5">
        <f t="shared" si="46"/>
        <v>16443.400000000001</v>
      </c>
      <c r="AM161" s="5">
        <f>VLOOKUP(X161,cmoney!$A:$M,12,FALSE)</f>
        <v>188.5</v>
      </c>
    </row>
    <row r="162" spans="1:39" x14ac:dyDescent="0.25">
      <c r="A162" s="5" t="str">
        <f t="shared" si="38"/>
        <v/>
      </c>
      <c r="B162" s="5" t="s">
        <v>734</v>
      </c>
      <c r="C162" s="5" t="s">
        <v>347</v>
      </c>
      <c r="D162" s="5" t="s">
        <v>1041</v>
      </c>
      <c r="E162" s="5">
        <f>VLOOKUP($D162,股期名單!$L:$M,2,FALSE)</f>
        <v>2000</v>
      </c>
      <c r="F162" s="5" t="str">
        <f t="shared" si="37"/>
        <v>JPFB1</v>
      </c>
      <c r="G162" s="7">
        <f t="shared" si="39"/>
        <v>-0.46106194690265484</v>
      </c>
      <c r="H162" s="5">
        <f>VLOOKUP($F162,DDE!$A:$AJ,H$1,FALSE)</f>
        <v>-20.84</v>
      </c>
      <c r="I162" s="5">
        <f>VLOOKUP($F162,DDE!$A:$AJ,I$1,FALSE)</f>
        <v>16422.560000000001</v>
      </c>
      <c r="J162" s="5" t="str">
        <f>VLOOKUP($F162,DDE!$A:$AJ,J$1,FALSE)</f>
        <v xml:space="preserve"> -</v>
      </c>
      <c r="K162" s="5" t="str">
        <f>VLOOKUP($F162,DDE!$A:$AJ,K$1,FALSE)</f>
        <v xml:space="preserve"> -</v>
      </c>
      <c r="L162" s="5">
        <f>VLOOKUP($F162,DDE!$A:$AJ,L$1,FALSE)</f>
        <v>4024617</v>
      </c>
      <c r="M162" s="5">
        <f>VLOOKUP($F162,DDE!$A:$AJ,M$1,FALSE)</f>
        <v>16329.54</v>
      </c>
      <c r="N162" s="5">
        <f>VLOOKUP($F162,DDE!$A:$AJ,N$1,FALSE)</f>
        <v>16456.939999999999</v>
      </c>
      <c r="O162" s="5">
        <f>VLOOKUP($F162,DDE!$A:$AJ,O$1,FALSE)</f>
        <v>16329.54</v>
      </c>
      <c r="P162" s="5" t="str">
        <f>VLOOKUP($F162,DDE!$A:$AJ,P$1,FALSE)</f>
        <v xml:space="preserve"> -</v>
      </c>
      <c r="Q162" s="5" t="str">
        <f>VLOOKUP($F162,DDE!$A:$AJ,Q$1,FALSE)</f>
        <v xml:space="preserve"> -</v>
      </c>
      <c r="R162" s="5">
        <f t="shared" si="36"/>
        <v>16443.400000000001</v>
      </c>
      <c r="S162" s="5">
        <f>VLOOKUP(D162,cmoney!$A:$M,12,FALSE)</f>
        <v>45.2</v>
      </c>
      <c r="U162" s="5" t="str">
        <f t="shared" si="40"/>
        <v/>
      </c>
      <c r="V162" s="5" t="str">
        <f t="shared" si="41"/>
        <v>3702</v>
      </c>
      <c r="W162" s="5" t="str">
        <f t="shared" si="42"/>
        <v>大聯大</v>
      </c>
      <c r="X162" s="5" t="str">
        <f t="shared" si="43"/>
        <v>JPF</v>
      </c>
      <c r="Y162" s="49">
        <f>VLOOKUP($X162,股期名單!$L:$M,2,FALSE)</f>
        <v>2000</v>
      </c>
      <c r="Z162" s="5" t="str">
        <f t="shared" si="44"/>
        <v>JPFC1</v>
      </c>
      <c r="AA162" s="7">
        <f t="shared" si="45"/>
        <v>-0.46106194690265484</v>
      </c>
      <c r="AB162" s="5">
        <f>VLOOKUP($F162,DDE!$A:$AJ,AB$1,FALSE)</f>
        <v>-20.84</v>
      </c>
      <c r="AC162" s="5">
        <f>VLOOKUP($F162,DDE!$A:$AJ,AC$1,FALSE)</f>
        <v>16422.560000000001</v>
      </c>
      <c r="AD162" s="5" t="str">
        <f>VLOOKUP($F162,DDE!$A:$AJ,AD$1,FALSE)</f>
        <v xml:space="preserve"> -</v>
      </c>
      <c r="AE162" s="5" t="str">
        <f>VLOOKUP($F162,DDE!$A:$AJ,AE$1,FALSE)</f>
        <v xml:space="preserve"> -</v>
      </c>
      <c r="AF162" s="5">
        <f>VLOOKUP($F162,DDE!$A:$AJ,AF$1,FALSE)</f>
        <v>4024617</v>
      </c>
      <c r="AG162" s="5">
        <f>VLOOKUP($F162,DDE!$A:$AJ,AG$1,FALSE)</f>
        <v>16329.54</v>
      </c>
      <c r="AH162" s="5">
        <f>VLOOKUP($F162,DDE!$A:$AJ,AH$1,FALSE)</f>
        <v>16456.939999999999</v>
      </c>
      <c r="AI162" s="5">
        <f>VLOOKUP($F162,DDE!$A:$AJ,AI$1,FALSE)</f>
        <v>16329.54</v>
      </c>
      <c r="AJ162" s="5" t="str">
        <f>VLOOKUP($F162,DDE!$A:$AJ,AJ$1,FALSE)</f>
        <v xml:space="preserve"> -</v>
      </c>
      <c r="AK162" s="5" t="str">
        <f>VLOOKUP($F162,DDE!$A:$AJ,AK$1,FALSE)</f>
        <v xml:space="preserve"> -</v>
      </c>
      <c r="AL162" s="5">
        <f t="shared" si="46"/>
        <v>16443.400000000001</v>
      </c>
      <c r="AM162" s="5">
        <f>VLOOKUP(X162,cmoney!$A:$M,12,FALSE)</f>
        <v>45.2</v>
      </c>
    </row>
    <row r="163" spans="1:39" x14ac:dyDescent="0.25">
      <c r="A163" s="5" t="str">
        <f t="shared" si="38"/>
        <v/>
      </c>
      <c r="B163" s="5" t="s">
        <v>1042</v>
      </c>
      <c r="C163" s="5" t="s">
        <v>845</v>
      </c>
      <c r="D163" s="5" t="s">
        <v>1043</v>
      </c>
      <c r="E163" s="5">
        <f>VLOOKUP($D163,股期名單!$L:$M,2,FALSE)</f>
        <v>2000</v>
      </c>
      <c r="F163" s="5" t="str">
        <f t="shared" si="37"/>
        <v>PSFB1</v>
      </c>
      <c r="G163" s="7" t="e">
        <f t="shared" si="39"/>
        <v>#VALUE!</v>
      </c>
      <c r="H163" s="5" t="str">
        <f>VLOOKUP($F163,DDE!$A:$AJ,H$1,FALSE)</f>
        <v xml:space="preserve"> </v>
      </c>
      <c r="I163" s="5">
        <f>VLOOKUP($F163,DDE!$A:$AJ,I$1,FALSE)</f>
        <v>20878632</v>
      </c>
      <c r="J163" s="5" t="str">
        <f>VLOOKUP($F163,DDE!$A:$AJ,J$1,FALSE)</f>
        <v xml:space="preserve"> -</v>
      </c>
      <c r="K163" s="5" t="str">
        <f>VLOOKUP($F163,DDE!$A:$AJ,K$1,FALSE)</f>
        <v xml:space="preserve"> -</v>
      </c>
      <c r="L163" s="5">
        <f>VLOOKUP($F163,DDE!$A:$AJ,L$1,FALSE)</f>
        <v>2088371110</v>
      </c>
      <c r="M163" s="5">
        <f>VLOOKUP($F163,DDE!$A:$AJ,M$1,FALSE)</f>
        <v>20803788</v>
      </c>
      <c r="N163" s="5">
        <f>VLOOKUP($F163,DDE!$A:$AJ,N$1,FALSE)</f>
        <v>20804690</v>
      </c>
      <c r="O163" s="5">
        <f>VLOOKUP($F163,DDE!$A:$AJ,O$1,FALSE)</f>
        <v>10989732</v>
      </c>
      <c r="P163" s="5" t="str">
        <f>VLOOKUP($F163,DDE!$A:$AJ,P$1,FALSE)</f>
        <v xml:space="preserve"> -</v>
      </c>
      <c r="Q163" s="5" t="str">
        <f>VLOOKUP($F163,DDE!$A:$AJ,Q$1,FALSE)</f>
        <v xml:space="preserve"> -</v>
      </c>
      <c r="R163" s="5" t="e">
        <f t="shared" si="36"/>
        <v>#VALUE!</v>
      </c>
      <c r="S163" s="5">
        <f>VLOOKUP(D163,cmoney!$A:$M,12,FALSE)</f>
        <v>31.25</v>
      </c>
      <c r="U163" s="5" t="str">
        <f t="shared" si="40"/>
        <v/>
      </c>
      <c r="V163" s="5" t="str">
        <f t="shared" si="41"/>
        <v>3706</v>
      </c>
      <c r="W163" s="5" t="str">
        <f t="shared" si="42"/>
        <v>神達</v>
      </c>
      <c r="X163" s="5" t="str">
        <f t="shared" si="43"/>
        <v>PSF</v>
      </c>
      <c r="Y163" s="49">
        <f>VLOOKUP($X163,股期名單!$L:$M,2,FALSE)</f>
        <v>2000</v>
      </c>
      <c r="Z163" s="5" t="str">
        <f t="shared" si="44"/>
        <v>PSFC1</v>
      </c>
      <c r="AA163" s="7" t="e">
        <f t="shared" si="45"/>
        <v>#VALUE!</v>
      </c>
      <c r="AB163" s="5" t="str">
        <f>VLOOKUP($F163,DDE!$A:$AJ,AB$1,FALSE)</f>
        <v xml:space="preserve"> </v>
      </c>
      <c r="AC163" s="5">
        <f>VLOOKUP($F163,DDE!$A:$AJ,AC$1,FALSE)</f>
        <v>20878632</v>
      </c>
      <c r="AD163" s="5" t="str">
        <f>VLOOKUP($F163,DDE!$A:$AJ,AD$1,FALSE)</f>
        <v xml:space="preserve"> -</v>
      </c>
      <c r="AE163" s="5" t="str">
        <f>VLOOKUP($F163,DDE!$A:$AJ,AE$1,FALSE)</f>
        <v xml:space="preserve"> -</v>
      </c>
      <c r="AF163" s="5">
        <f>VLOOKUP($F163,DDE!$A:$AJ,AF$1,FALSE)</f>
        <v>2088371110</v>
      </c>
      <c r="AG163" s="5">
        <f>VLOOKUP($F163,DDE!$A:$AJ,AG$1,FALSE)</f>
        <v>20803788</v>
      </c>
      <c r="AH163" s="5">
        <f>VLOOKUP($F163,DDE!$A:$AJ,AH$1,FALSE)</f>
        <v>20804690</v>
      </c>
      <c r="AI163" s="5">
        <f>VLOOKUP($F163,DDE!$A:$AJ,AI$1,FALSE)</f>
        <v>10989732</v>
      </c>
      <c r="AJ163" s="5" t="str">
        <f>VLOOKUP($F163,DDE!$A:$AJ,AJ$1,FALSE)</f>
        <v xml:space="preserve"> -</v>
      </c>
      <c r="AK163" s="5" t="str">
        <f>VLOOKUP($F163,DDE!$A:$AJ,AK$1,FALSE)</f>
        <v xml:space="preserve"> -</v>
      </c>
      <c r="AL163" s="5" t="e">
        <f t="shared" si="46"/>
        <v>#VALUE!</v>
      </c>
      <c r="AM163" s="5">
        <f>VLOOKUP(X163,cmoney!$A:$M,12,FALSE)</f>
        <v>31.25</v>
      </c>
    </row>
    <row r="164" spans="1:39" x14ac:dyDescent="0.25">
      <c r="A164" s="5" t="str">
        <f t="shared" si="38"/>
        <v/>
      </c>
      <c r="B164" s="5" t="s">
        <v>802</v>
      </c>
      <c r="C164" s="5" t="s">
        <v>586</v>
      </c>
      <c r="D164" s="5" t="s">
        <v>1044</v>
      </c>
      <c r="E164" s="5">
        <f>VLOOKUP($D164,股期名單!$L:$M,2,FALSE)</f>
        <v>2000</v>
      </c>
      <c r="F164" s="5" t="str">
        <f t="shared" si="37"/>
        <v>OZFB1</v>
      </c>
      <c r="G164" s="7">
        <f t="shared" si="39"/>
        <v>-0.13321266968325793</v>
      </c>
      <c r="H164" s="5">
        <f>VLOOKUP($F164,DDE!$A:$AJ,H$1,FALSE)</f>
        <v>-14.72</v>
      </c>
      <c r="I164" s="5">
        <f>VLOOKUP($F164,DDE!$A:$AJ,I$1,FALSE)</f>
        <v>16428.68</v>
      </c>
      <c r="J164" s="5" t="str">
        <f>VLOOKUP($F164,DDE!$A:$AJ,J$1,FALSE)</f>
        <v xml:space="preserve"> -</v>
      </c>
      <c r="K164" s="5" t="str">
        <f>VLOOKUP($F164,DDE!$A:$AJ,K$1,FALSE)</f>
        <v xml:space="preserve"> -</v>
      </c>
      <c r="L164" s="5">
        <f>VLOOKUP($F164,DDE!$A:$AJ,L$1,FALSE)</f>
        <v>4022793</v>
      </c>
      <c r="M164" s="5">
        <f>VLOOKUP($F164,DDE!$A:$AJ,M$1,FALSE)</f>
        <v>16329.54</v>
      </c>
      <c r="N164" s="5">
        <f>VLOOKUP($F164,DDE!$A:$AJ,N$1,FALSE)</f>
        <v>16456.939999999999</v>
      </c>
      <c r="O164" s="5">
        <f>VLOOKUP($F164,DDE!$A:$AJ,O$1,FALSE)</f>
        <v>16329.54</v>
      </c>
      <c r="P164" s="5" t="str">
        <f>VLOOKUP($F164,DDE!$A:$AJ,P$1,FALSE)</f>
        <v xml:space="preserve"> -</v>
      </c>
      <c r="Q164" s="5" t="str">
        <f>VLOOKUP($F164,DDE!$A:$AJ,Q$1,FALSE)</f>
        <v xml:space="preserve"> -</v>
      </c>
      <c r="R164" s="5">
        <f t="shared" si="36"/>
        <v>16443.400000000001</v>
      </c>
      <c r="S164" s="5">
        <f>VLOOKUP(D164,cmoney!$A:$M,12,FALSE)</f>
        <v>110.5</v>
      </c>
      <c r="U164" s="5" t="str">
        <f t="shared" si="40"/>
        <v/>
      </c>
      <c r="V164" s="5" t="str">
        <f t="shared" si="41"/>
        <v>3711</v>
      </c>
      <c r="W164" s="5" t="str">
        <f t="shared" si="42"/>
        <v>日月光投控</v>
      </c>
      <c r="X164" s="5" t="str">
        <f t="shared" si="43"/>
        <v>OZF</v>
      </c>
      <c r="Y164" s="49">
        <f>VLOOKUP($X164,股期名單!$L:$M,2,FALSE)</f>
        <v>2000</v>
      </c>
      <c r="Z164" s="5" t="str">
        <f t="shared" si="44"/>
        <v>OZFC1</v>
      </c>
      <c r="AA164" s="7">
        <f t="shared" si="45"/>
        <v>-0.13321266968325793</v>
      </c>
      <c r="AB164" s="5">
        <f>VLOOKUP($F164,DDE!$A:$AJ,AB$1,FALSE)</f>
        <v>-14.72</v>
      </c>
      <c r="AC164" s="5">
        <f>VLOOKUP($F164,DDE!$A:$AJ,AC$1,FALSE)</f>
        <v>16428.68</v>
      </c>
      <c r="AD164" s="5" t="str">
        <f>VLOOKUP($F164,DDE!$A:$AJ,AD$1,FALSE)</f>
        <v xml:space="preserve"> -</v>
      </c>
      <c r="AE164" s="5" t="str">
        <f>VLOOKUP($F164,DDE!$A:$AJ,AE$1,FALSE)</f>
        <v xml:space="preserve"> -</v>
      </c>
      <c r="AF164" s="5">
        <f>VLOOKUP($F164,DDE!$A:$AJ,AF$1,FALSE)</f>
        <v>4022793</v>
      </c>
      <c r="AG164" s="5">
        <f>VLOOKUP($F164,DDE!$A:$AJ,AG$1,FALSE)</f>
        <v>16329.54</v>
      </c>
      <c r="AH164" s="5">
        <f>VLOOKUP($F164,DDE!$A:$AJ,AH$1,FALSE)</f>
        <v>16456.939999999999</v>
      </c>
      <c r="AI164" s="5">
        <f>VLOOKUP($F164,DDE!$A:$AJ,AI$1,FALSE)</f>
        <v>16329.54</v>
      </c>
      <c r="AJ164" s="5" t="str">
        <f>VLOOKUP($F164,DDE!$A:$AJ,AJ$1,FALSE)</f>
        <v xml:space="preserve"> -</v>
      </c>
      <c r="AK164" s="5" t="str">
        <f>VLOOKUP($F164,DDE!$A:$AJ,AK$1,FALSE)</f>
        <v xml:space="preserve"> -</v>
      </c>
      <c r="AL164" s="5">
        <f t="shared" si="46"/>
        <v>16443.400000000001</v>
      </c>
      <c r="AM164" s="5">
        <f>VLOOKUP(X164,cmoney!$A:$M,12,FALSE)</f>
        <v>110.5</v>
      </c>
    </row>
    <row r="165" spans="1:39" x14ac:dyDescent="0.25">
      <c r="A165" s="5" t="str">
        <f t="shared" si="38"/>
        <v/>
      </c>
      <c r="B165" s="5" t="s">
        <v>1045</v>
      </c>
      <c r="C165" s="5" t="s">
        <v>864</v>
      </c>
      <c r="D165" s="5" t="s">
        <v>1046</v>
      </c>
      <c r="E165" s="5">
        <f>VLOOKUP($D165,股期名單!$L:$M,2,FALSE)</f>
        <v>2000</v>
      </c>
      <c r="F165" s="5" t="str">
        <f t="shared" si="37"/>
        <v>QBFB1</v>
      </c>
      <c r="G165" s="7">
        <f t="shared" si="39"/>
        <v>-0.24877479579929987</v>
      </c>
      <c r="H165" s="5">
        <f>VLOOKUP($F165,DDE!$A:$AJ,H$1,FALSE)</f>
        <v>-21.32</v>
      </c>
      <c r="I165" s="5">
        <f>VLOOKUP($F165,DDE!$A:$AJ,I$1,FALSE)</f>
        <v>16422.080000000002</v>
      </c>
      <c r="J165" s="5" t="str">
        <f>VLOOKUP($F165,DDE!$A:$AJ,J$1,FALSE)</f>
        <v xml:space="preserve"> -</v>
      </c>
      <c r="K165" s="5" t="str">
        <f>VLOOKUP($F165,DDE!$A:$AJ,K$1,FALSE)</f>
        <v xml:space="preserve"> -</v>
      </c>
      <c r="L165" s="5">
        <f>VLOOKUP($F165,DDE!$A:$AJ,L$1,FALSE)</f>
        <v>4018459</v>
      </c>
      <c r="M165" s="5">
        <f>VLOOKUP($F165,DDE!$A:$AJ,M$1,FALSE)</f>
        <v>16329.54</v>
      </c>
      <c r="N165" s="5">
        <f>VLOOKUP($F165,DDE!$A:$AJ,N$1,FALSE)</f>
        <v>16456.939999999999</v>
      </c>
      <c r="O165" s="5">
        <f>VLOOKUP($F165,DDE!$A:$AJ,O$1,FALSE)</f>
        <v>16329.54</v>
      </c>
      <c r="P165" s="5" t="str">
        <f>VLOOKUP($F165,DDE!$A:$AJ,P$1,FALSE)</f>
        <v xml:space="preserve"> -</v>
      </c>
      <c r="Q165" s="5" t="str">
        <f>VLOOKUP($F165,DDE!$A:$AJ,Q$1,FALSE)</f>
        <v xml:space="preserve"> -</v>
      </c>
      <c r="R165" s="5">
        <f t="shared" si="36"/>
        <v>16443.400000000001</v>
      </c>
      <c r="S165" s="5">
        <f>VLOOKUP(D165,cmoney!$A:$M,12,FALSE)</f>
        <v>85.7</v>
      </c>
      <c r="U165" s="5" t="str">
        <f t="shared" si="40"/>
        <v/>
      </c>
      <c r="V165" s="5" t="str">
        <f t="shared" si="41"/>
        <v>3714</v>
      </c>
      <c r="W165" s="5" t="str">
        <f t="shared" si="42"/>
        <v>富采</v>
      </c>
      <c r="X165" s="5" t="str">
        <f t="shared" si="43"/>
        <v>QBF</v>
      </c>
      <c r="Y165" s="49">
        <f>VLOOKUP($X165,股期名單!$L:$M,2,FALSE)</f>
        <v>2000</v>
      </c>
      <c r="Z165" s="5" t="str">
        <f t="shared" si="44"/>
        <v>QBFC1</v>
      </c>
      <c r="AA165" s="7">
        <f t="shared" si="45"/>
        <v>-0.24877479579929987</v>
      </c>
      <c r="AB165" s="5">
        <f>VLOOKUP($F165,DDE!$A:$AJ,AB$1,FALSE)</f>
        <v>-21.32</v>
      </c>
      <c r="AC165" s="5">
        <f>VLOOKUP($F165,DDE!$A:$AJ,AC$1,FALSE)</f>
        <v>16422.080000000002</v>
      </c>
      <c r="AD165" s="5" t="str">
        <f>VLOOKUP($F165,DDE!$A:$AJ,AD$1,FALSE)</f>
        <v xml:space="preserve"> -</v>
      </c>
      <c r="AE165" s="5" t="str">
        <f>VLOOKUP($F165,DDE!$A:$AJ,AE$1,FALSE)</f>
        <v xml:space="preserve"> -</v>
      </c>
      <c r="AF165" s="5">
        <f>VLOOKUP($F165,DDE!$A:$AJ,AF$1,FALSE)</f>
        <v>4018459</v>
      </c>
      <c r="AG165" s="5">
        <f>VLOOKUP($F165,DDE!$A:$AJ,AG$1,FALSE)</f>
        <v>16329.54</v>
      </c>
      <c r="AH165" s="5">
        <f>VLOOKUP($F165,DDE!$A:$AJ,AH$1,FALSE)</f>
        <v>16456.939999999999</v>
      </c>
      <c r="AI165" s="5">
        <f>VLOOKUP($F165,DDE!$A:$AJ,AI$1,FALSE)</f>
        <v>16329.54</v>
      </c>
      <c r="AJ165" s="5" t="str">
        <f>VLOOKUP($F165,DDE!$A:$AJ,AJ$1,FALSE)</f>
        <v xml:space="preserve"> -</v>
      </c>
      <c r="AK165" s="5" t="str">
        <f>VLOOKUP($F165,DDE!$A:$AJ,AK$1,FALSE)</f>
        <v xml:space="preserve"> -</v>
      </c>
      <c r="AL165" s="5">
        <f t="shared" si="46"/>
        <v>16443.400000000001</v>
      </c>
      <c r="AM165" s="5">
        <f>VLOOKUP(X165,cmoney!$A:$M,12,FALSE)</f>
        <v>85.7</v>
      </c>
    </row>
    <row r="166" spans="1:39" x14ac:dyDescent="0.25">
      <c r="A166" s="5" t="str">
        <f t="shared" si="38"/>
        <v/>
      </c>
      <c r="B166" s="5" t="s">
        <v>779</v>
      </c>
      <c r="C166" s="5" t="s">
        <v>482</v>
      </c>
      <c r="D166" s="5" t="s">
        <v>1047</v>
      </c>
      <c r="E166" s="5">
        <f>VLOOKUP($D166,股期名單!$L:$M,2,FALSE)</f>
        <v>2000</v>
      </c>
      <c r="F166" s="5" t="str">
        <f t="shared" si="37"/>
        <v>NIFB1</v>
      </c>
      <c r="G166" s="7">
        <f t="shared" si="39"/>
        <v>0.1074468085106383</v>
      </c>
      <c r="H166" s="5">
        <f>VLOOKUP($F166,DDE!$A:$AJ,H$1,FALSE)</f>
        <v>7.07</v>
      </c>
      <c r="I166" s="5">
        <f>VLOOKUP($F166,DDE!$A:$AJ,I$1,FALSE)</f>
        <v>13893.65</v>
      </c>
      <c r="J166" s="5" t="str">
        <f>VLOOKUP($F166,DDE!$A:$AJ,J$1,FALSE)</f>
        <v xml:space="preserve"> -</v>
      </c>
      <c r="K166" s="5" t="str">
        <f>VLOOKUP($F166,DDE!$A:$AJ,K$1,FALSE)</f>
        <v xml:space="preserve"> -</v>
      </c>
      <c r="L166" s="5">
        <f>VLOOKUP($F166,DDE!$A:$AJ,L$1,FALSE)</f>
        <v>871785</v>
      </c>
      <c r="M166" s="5">
        <f>VLOOKUP($F166,DDE!$A:$AJ,M$1,FALSE)</f>
        <v>13893.03</v>
      </c>
      <c r="N166" s="5">
        <f>VLOOKUP($F166,DDE!$A:$AJ,N$1,FALSE)</f>
        <v>13945.78</v>
      </c>
      <c r="O166" s="5">
        <f>VLOOKUP($F166,DDE!$A:$AJ,O$1,FALSE)</f>
        <v>13875.82</v>
      </c>
      <c r="P166" s="5" t="str">
        <f>VLOOKUP($F166,DDE!$A:$AJ,P$1,FALSE)</f>
        <v xml:space="preserve"> -</v>
      </c>
      <c r="Q166" s="5" t="str">
        <f>VLOOKUP($F166,DDE!$A:$AJ,Q$1,FALSE)</f>
        <v xml:space="preserve"> -</v>
      </c>
      <c r="R166" s="5">
        <f t="shared" si="36"/>
        <v>13886.58</v>
      </c>
      <c r="S166" s="5">
        <f>VLOOKUP(D166,cmoney!$A:$M,12,FALSE)</f>
        <v>65.8</v>
      </c>
      <c r="U166" s="5" t="str">
        <f t="shared" si="40"/>
        <v/>
      </c>
      <c r="V166" s="5" t="str">
        <f t="shared" si="41"/>
        <v>4123</v>
      </c>
      <c r="W166" s="5" t="str">
        <f t="shared" si="42"/>
        <v>晟德</v>
      </c>
      <c r="X166" s="5" t="str">
        <f t="shared" si="43"/>
        <v>NIF</v>
      </c>
      <c r="Y166" s="49">
        <f>VLOOKUP($X166,股期名單!$L:$M,2,FALSE)</f>
        <v>2000</v>
      </c>
      <c r="Z166" s="5" t="str">
        <f t="shared" si="44"/>
        <v>NIFC1</v>
      </c>
      <c r="AA166" s="7">
        <f t="shared" si="45"/>
        <v>0.1074468085106383</v>
      </c>
      <c r="AB166" s="5">
        <f>VLOOKUP($F166,DDE!$A:$AJ,AB$1,FALSE)</f>
        <v>7.07</v>
      </c>
      <c r="AC166" s="5">
        <f>VLOOKUP($F166,DDE!$A:$AJ,AC$1,FALSE)</f>
        <v>13893.65</v>
      </c>
      <c r="AD166" s="5" t="str">
        <f>VLOOKUP($F166,DDE!$A:$AJ,AD$1,FALSE)</f>
        <v xml:space="preserve"> -</v>
      </c>
      <c r="AE166" s="5" t="str">
        <f>VLOOKUP($F166,DDE!$A:$AJ,AE$1,FALSE)</f>
        <v xml:space="preserve"> -</v>
      </c>
      <c r="AF166" s="5">
        <f>VLOOKUP($F166,DDE!$A:$AJ,AF$1,FALSE)</f>
        <v>871785</v>
      </c>
      <c r="AG166" s="5">
        <f>VLOOKUP($F166,DDE!$A:$AJ,AG$1,FALSE)</f>
        <v>13893.03</v>
      </c>
      <c r="AH166" s="5">
        <f>VLOOKUP($F166,DDE!$A:$AJ,AH$1,FALSE)</f>
        <v>13945.78</v>
      </c>
      <c r="AI166" s="5">
        <f>VLOOKUP($F166,DDE!$A:$AJ,AI$1,FALSE)</f>
        <v>13875.82</v>
      </c>
      <c r="AJ166" s="5" t="str">
        <f>VLOOKUP($F166,DDE!$A:$AJ,AJ$1,FALSE)</f>
        <v xml:space="preserve"> -</v>
      </c>
      <c r="AK166" s="5" t="str">
        <f>VLOOKUP($F166,DDE!$A:$AJ,AK$1,FALSE)</f>
        <v xml:space="preserve"> -</v>
      </c>
      <c r="AL166" s="5">
        <f t="shared" si="46"/>
        <v>13886.58</v>
      </c>
      <c r="AM166" s="5">
        <f>VLOOKUP(X166,cmoney!$A:$M,12,FALSE)</f>
        <v>65.8</v>
      </c>
    </row>
    <row r="167" spans="1:39" x14ac:dyDescent="0.25">
      <c r="A167" s="5" t="str">
        <f t="shared" si="38"/>
        <v/>
      </c>
      <c r="B167" s="5" t="s">
        <v>804</v>
      </c>
      <c r="C167" s="5" t="s">
        <v>593</v>
      </c>
      <c r="D167" s="5" t="s">
        <v>1048</v>
      </c>
      <c r="E167" s="5">
        <f>VLOOKUP($D167,股期名單!$L:$M,2,FALSE)</f>
        <v>2000</v>
      </c>
      <c r="F167" s="5" t="str">
        <f t="shared" si="37"/>
        <v>PCFB1</v>
      </c>
      <c r="G167" s="7">
        <f t="shared" si="39"/>
        <v>-0.32604790419161678</v>
      </c>
      <c r="H167" s="5">
        <f>VLOOKUP($F167,DDE!$A:$AJ,H$1,FALSE)</f>
        <v>-21.78</v>
      </c>
      <c r="I167" s="5">
        <f>VLOOKUP($F167,DDE!$A:$AJ,I$1,FALSE)</f>
        <v>16421.62</v>
      </c>
      <c r="J167" s="5" t="str">
        <f>VLOOKUP($F167,DDE!$A:$AJ,J$1,FALSE)</f>
        <v xml:space="preserve"> -</v>
      </c>
      <c r="K167" s="5" t="str">
        <f>VLOOKUP($F167,DDE!$A:$AJ,K$1,FALSE)</f>
        <v xml:space="preserve"> -</v>
      </c>
      <c r="L167" s="5">
        <f>VLOOKUP($F167,DDE!$A:$AJ,L$1,FALSE)</f>
        <v>4027056</v>
      </c>
      <c r="M167" s="5">
        <f>VLOOKUP($F167,DDE!$A:$AJ,M$1,FALSE)</f>
        <v>16329.54</v>
      </c>
      <c r="N167" s="5">
        <f>VLOOKUP($F167,DDE!$A:$AJ,N$1,FALSE)</f>
        <v>16456.939999999999</v>
      </c>
      <c r="O167" s="5">
        <f>VLOOKUP($F167,DDE!$A:$AJ,O$1,FALSE)</f>
        <v>16329.54</v>
      </c>
      <c r="P167" s="5" t="str">
        <f>VLOOKUP($F167,DDE!$A:$AJ,P$1,FALSE)</f>
        <v xml:space="preserve"> -</v>
      </c>
      <c r="Q167" s="5" t="str">
        <f>VLOOKUP($F167,DDE!$A:$AJ,Q$1,FALSE)</f>
        <v xml:space="preserve"> -</v>
      </c>
      <c r="R167" s="5">
        <f t="shared" si="36"/>
        <v>16443.399999999998</v>
      </c>
      <c r="S167" s="5">
        <f>VLOOKUP(D167,cmoney!$A:$M,12,FALSE)</f>
        <v>66.8</v>
      </c>
      <c r="U167" s="5" t="str">
        <f t="shared" si="40"/>
        <v/>
      </c>
      <c r="V167" s="5" t="str">
        <f t="shared" si="41"/>
        <v>4162</v>
      </c>
      <c r="W167" s="5" t="str">
        <f t="shared" si="42"/>
        <v>智擎</v>
      </c>
      <c r="X167" s="5" t="str">
        <f t="shared" si="43"/>
        <v>PCF</v>
      </c>
      <c r="Y167" s="49">
        <f>VLOOKUP($X167,股期名單!$L:$M,2,FALSE)</f>
        <v>2000</v>
      </c>
      <c r="Z167" s="5" t="str">
        <f t="shared" si="44"/>
        <v>PCFC1</v>
      </c>
      <c r="AA167" s="7">
        <f t="shared" si="45"/>
        <v>-0.32604790419161678</v>
      </c>
      <c r="AB167" s="5">
        <f>VLOOKUP($F167,DDE!$A:$AJ,AB$1,FALSE)</f>
        <v>-21.78</v>
      </c>
      <c r="AC167" s="5">
        <f>VLOOKUP($F167,DDE!$A:$AJ,AC$1,FALSE)</f>
        <v>16421.62</v>
      </c>
      <c r="AD167" s="5" t="str">
        <f>VLOOKUP($F167,DDE!$A:$AJ,AD$1,FALSE)</f>
        <v xml:space="preserve"> -</v>
      </c>
      <c r="AE167" s="5" t="str">
        <f>VLOOKUP($F167,DDE!$A:$AJ,AE$1,FALSE)</f>
        <v xml:space="preserve"> -</v>
      </c>
      <c r="AF167" s="5">
        <f>VLOOKUP($F167,DDE!$A:$AJ,AF$1,FALSE)</f>
        <v>4027056</v>
      </c>
      <c r="AG167" s="5">
        <f>VLOOKUP($F167,DDE!$A:$AJ,AG$1,FALSE)</f>
        <v>16329.54</v>
      </c>
      <c r="AH167" s="5">
        <f>VLOOKUP($F167,DDE!$A:$AJ,AH$1,FALSE)</f>
        <v>16456.939999999999</v>
      </c>
      <c r="AI167" s="5">
        <f>VLOOKUP($F167,DDE!$A:$AJ,AI$1,FALSE)</f>
        <v>16329.54</v>
      </c>
      <c r="AJ167" s="5" t="str">
        <f>VLOOKUP($F167,DDE!$A:$AJ,AJ$1,FALSE)</f>
        <v xml:space="preserve"> -</v>
      </c>
      <c r="AK167" s="5" t="str">
        <f>VLOOKUP($F167,DDE!$A:$AJ,AK$1,FALSE)</f>
        <v xml:space="preserve"> -</v>
      </c>
      <c r="AL167" s="5">
        <f t="shared" si="46"/>
        <v>16443.399999999998</v>
      </c>
      <c r="AM167" s="5">
        <f>VLOOKUP(X167,cmoney!$A:$M,12,FALSE)</f>
        <v>66.8</v>
      </c>
    </row>
    <row r="168" spans="1:39" x14ac:dyDescent="0.25">
      <c r="A168" s="5" t="str">
        <f t="shared" si="38"/>
        <v/>
      </c>
      <c r="B168" s="5" t="s">
        <v>805</v>
      </c>
      <c r="C168" s="5" t="s">
        <v>596</v>
      </c>
      <c r="D168" s="5" t="s">
        <v>1049</v>
      </c>
      <c r="E168" s="5">
        <f>VLOOKUP($D168,股期名單!$L:$M,2,FALSE)</f>
        <v>2000</v>
      </c>
      <c r="F168" s="5" t="str">
        <f t="shared" si="37"/>
        <v>PDFB1</v>
      </c>
      <c r="G168" s="7" t="e">
        <f t="shared" si="39"/>
        <v>#VALUE!</v>
      </c>
      <c r="H168" s="5" t="str">
        <f>VLOOKUP($F168,DDE!$A:$AJ,H$1,FALSE)</f>
        <v xml:space="preserve"> </v>
      </c>
      <c r="I168" s="5">
        <f>VLOOKUP($F168,DDE!$A:$AJ,I$1,FALSE)</f>
        <v>20878632</v>
      </c>
      <c r="J168" s="5" t="str">
        <f>VLOOKUP($F168,DDE!$A:$AJ,J$1,FALSE)</f>
        <v xml:space="preserve"> -</v>
      </c>
      <c r="K168" s="5" t="str">
        <f>VLOOKUP($F168,DDE!$A:$AJ,K$1,FALSE)</f>
        <v xml:space="preserve"> -</v>
      </c>
      <c r="L168" s="5">
        <f>VLOOKUP($F168,DDE!$A:$AJ,L$1,FALSE)</f>
        <v>2088371110</v>
      </c>
      <c r="M168" s="5">
        <f>VLOOKUP($F168,DDE!$A:$AJ,M$1,FALSE)</f>
        <v>20803788</v>
      </c>
      <c r="N168" s="5">
        <f>VLOOKUP($F168,DDE!$A:$AJ,N$1,FALSE)</f>
        <v>20804690</v>
      </c>
      <c r="O168" s="5">
        <f>VLOOKUP($F168,DDE!$A:$AJ,O$1,FALSE)</f>
        <v>10989732</v>
      </c>
      <c r="P168" s="5" t="str">
        <f>VLOOKUP($F168,DDE!$A:$AJ,P$1,FALSE)</f>
        <v xml:space="preserve"> -</v>
      </c>
      <c r="Q168" s="5" t="str">
        <f>VLOOKUP($F168,DDE!$A:$AJ,Q$1,FALSE)</f>
        <v xml:space="preserve"> -</v>
      </c>
      <c r="R168" s="5" t="e">
        <f t="shared" si="36"/>
        <v>#VALUE!</v>
      </c>
      <c r="S168" s="5">
        <f>VLOOKUP(D168,cmoney!$A:$M,12,FALSE)</f>
        <v>194.5</v>
      </c>
      <c r="U168" s="5" t="str">
        <f t="shared" si="40"/>
        <v/>
      </c>
      <c r="V168" s="5" t="str">
        <f t="shared" si="41"/>
        <v>4736</v>
      </c>
      <c r="W168" s="5" t="str">
        <f t="shared" si="42"/>
        <v>泰博</v>
      </c>
      <c r="X168" s="5" t="str">
        <f t="shared" si="43"/>
        <v>PDF</v>
      </c>
      <c r="Y168" s="49">
        <f>VLOOKUP($X168,股期名單!$L:$M,2,FALSE)</f>
        <v>2000</v>
      </c>
      <c r="Z168" s="5" t="str">
        <f t="shared" si="44"/>
        <v>PDFC1</v>
      </c>
      <c r="AA168" s="7" t="e">
        <f t="shared" si="45"/>
        <v>#VALUE!</v>
      </c>
      <c r="AB168" s="5" t="str">
        <f>VLOOKUP($F168,DDE!$A:$AJ,AB$1,FALSE)</f>
        <v xml:space="preserve"> </v>
      </c>
      <c r="AC168" s="5">
        <f>VLOOKUP($F168,DDE!$A:$AJ,AC$1,FALSE)</f>
        <v>20878632</v>
      </c>
      <c r="AD168" s="5" t="str">
        <f>VLOOKUP($F168,DDE!$A:$AJ,AD$1,FALSE)</f>
        <v xml:space="preserve"> -</v>
      </c>
      <c r="AE168" s="5" t="str">
        <f>VLOOKUP($F168,DDE!$A:$AJ,AE$1,FALSE)</f>
        <v xml:space="preserve"> -</v>
      </c>
      <c r="AF168" s="5">
        <f>VLOOKUP($F168,DDE!$A:$AJ,AF$1,FALSE)</f>
        <v>2088371110</v>
      </c>
      <c r="AG168" s="5">
        <f>VLOOKUP($F168,DDE!$A:$AJ,AG$1,FALSE)</f>
        <v>20803788</v>
      </c>
      <c r="AH168" s="5">
        <f>VLOOKUP($F168,DDE!$A:$AJ,AH$1,FALSE)</f>
        <v>20804690</v>
      </c>
      <c r="AI168" s="5">
        <f>VLOOKUP($F168,DDE!$A:$AJ,AI$1,FALSE)</f>
        <v>10989732</v>
      </c>
      <c r="AJ168" s="5" t="str">
        <f>VLOOKUP($F168,DDE!$A:$AJ,AJ$1,FALSE)</f>
        <v xml:space="preserve"> -</v>
      </c>
      <c r="AK168" s="5" t="str">
        <f>VLOOKUP($F168,DDE!$A:$AJ,AK$1,FALSE)</f>
        <v xml:space="preserve"> -</v>
      </c>
      <c r="AL168" s="5" t="e">
        <f t="shared" si="46"/>
        <v>#VALUE!</v>
      </c>
      <c r="AM168" s="5">
        <f>VLOOKUP(X168,cmoney!$A:$M,12,FALSE)</f>
        <v>194.5</v>
      </c>
    </row>
    <row r="169" spans="1:39" x14ac:dyDescent="0.25">
      <c r="A169" s="5" t="str">
        <f t="shared" si="38"/>
        <v/>
      </c>
      <c r="B169" s="5" t="s">
        <v>759</v>
      </c>
      <c r="C169" s="5" t="s">
        <v>422</v>
      </c>
      <c r="D169" s="5" t="s">
        <v>1050</v>
      </c>
      <c r="E169" s="5">
        <f>VLOOKUP($D169,股期名單!$L:$M,2,FALSE)</f>
        <v>2000</v>
      </c>
      <c r="F169" s="5" t="str">
        <f t="shared" si="37"/>
        <v>LTFB1</v>
      </c>
      <c r="G169" s="7">
        <f t="shared" si="39"/>
        <v>-0.34617940199335545</v>
      </c>
      <c r="H169" s="5">
        <f>VLOOKUP($F169,DDE!$A:$AJ,H$1,FALSE)</f>
        <v>-20.84</v>
      </c>
      <c r="I169" s="5">
        <f>VLOOKUP($F169,DDE!$A:$AJ,I$1,FALSE)</f>
        <v>16422.560000000001</v>
      </c>
      <c r="J169" s="5" t="str">
        <f>VLOOKUP($F169,DDE!$A:$AJ,J$1,FALSE)</f>
        <v xml:space="preserve"> -</v>
      </c>
      <c r="K169" s="5" t="str">
        <f>VLOOKUP($F169,DDE!$A:$AJ,K$1,FALSE)</f>
        <v xml:space="preserve"> -</v>
      </c>
      <c r="L169" s="5">
        <f>VLOOKUP($F169,DDE!$A:$AJ,L$1,FALSE)</f>
        <v>4024617</v>
      </c>
      <c r="M169" s="5">
        <f>VLOOKUP($F169,DDE!$A:$AJ,M$1,FALSE)</f>
        <v>16329.54</v>
      </c>
      <c r="N169" s="5">
        <f>VLOOKUP($F169,DDE!$A:$AJ,N$1,FALSE)</f>
        <v>16456.939999999999</v>
      </c>
      <c r="O169" s="5">
        <f>VLOOKUP($F169,DDE!$A:$AJ,O$1,FALSE)</f>
        <v>16329.54</v>
      </c>
      <c r="P169" s="5" t="str">
        <f>VLOOKUP($F169,DDE!$A:$AJ,P$1,FALSE)</f>
        <v xml:space="preserve"> -</v>
      </c>
      <c r="Q169" s="5" t="str">
        <f>VLOOKUP($F169,DDE!$A:$AJ,Q$1,FALSE)</f>
        <v xml:space="preserve"> -</v>
      </c>
      <c r="R169" s="5">
        <f t="shared" si="36"/>
        <v>16443.400000000001</v>
      </c>
      <c r="S169" s="5">
        <f>VLOOKUP(D169,cmoney!$A:$M,12,FALSE)</f>
        <v>60.2</v>
      </c>
      <c r="U169" s="5" t="str">
        <f t="shared" si="40"/>
        <v/>
      </c>
      <c r="V169" s="5" t="str">
        <f t="shared" si="41"/>
        <v>4904</v>
      </c>
      <c r="W169" s="5" t="str">
        <f t="shared" si="42"/>
        <v>遠傳</v>
      </c>
      <c r="X169" s="5" t="str">
        <f t="shared" si="43"/>
        <v>LTF</v>
      </c>
      <c r="Y169" s="49">
        <f>VLOOKUP($X169,股期名單!$L:$M,2,FALSE)</f>
        <v>2000</v>
      </c>
      <c r="Z169" s="5" t="str">
        <f t="shared" si="44"/>
        <v>LTFC1</v>
      </c>
      <c r="AA169" s="7">
        <f t="shared" si="45"/>
        <v>-0.34617940199335545</v>
      </c>
      <c r="AB169" s="5">
        <f>VLOOKUP($F169,DDE!$A:$AJ,AB$1,FALSE)</f>
        <v>-20.84</v>
      </c>
      <c r="AC169" s="5">
        <f>VLOOKUP($F169,DDE!$A:$AJ,AC$1,FALSE)</f>
        <v>16422.560000000001</v>
      </c>
      <c r="AD169" s="5" t="str">
        <f>VLOOKUP($F169,DDE!$A:$AJ,AD$1,FALSE)</f>
        <v xml:space="preserve"> -</v>
      </c>
      <c r="AE169" s="5" t="str">
        <f>VLOOKUP($F169,DDE!$A:$AJ,AE$1,FALSE)</f>
        <v xml:space="preserve"> -</v>
      </c>
      <c r="AF169" s="5">
        <f>VLOOKUP($F169,DDE!$A:$AJ,AF$1,FALSE)</f>
        <v>4024617</v>
      </c>
      <c r="AG169" s="5">
        <f>VLOOKUP($F169,DDE!$A:$AJ,AG$1,FALSE)</f>
        <v>16329.54</v>
      </c>
      <c r="AH169" s="5">
        <f>VLOOKUP($F169,DDE!$A:$AJ,AH$1,FALSE)</f>
        <v>16456.939999999999</v>
      </c>
      <c r="AI169" s="5">
        <f>VLOOKUP($F169,DDE!$A:$AJ,AI$1,FALSE)</f>
        <v>16329.54</v>
      </c>
      <c r="AJ169" s="5" t="str">
        <f>VLOOKUP($F169,DDE!$A:$AJ,AJ$1,FALSE)</f>
        <v xml:space="preserve"> -</v>
      </c>
      <c r="AK169" s="5" t="str">
        <f>VLOOKUP($F169,DDE!$A:$AJ,AK$1,FALSE)</f>
        <v xml:space="preserve"> -</v>
      </c>
      <c r="AL169" s="5">
        <f t="shared" si="46"/>
        <v>16443.400000000001</v>
      </c>
      <c r="AM169" s="5">
        <f>VLOOKUP(X169,cmoney!$A:$M,12,FALSE)</f>
        <v>60.2</v>
      </c>
    </row>
    <row r="170" spans="1:39" x14ac:dyDescent="0.25">
      <c r="A170" s="5" t="str">
        <f t="shared" si="38"/>
        <v/>
      </c>
      <c r="B170" s="5" t="s">
        <v>735</v>
      </c>
      <c r="C170" s="5" t="s">
        <v>350</v>
      </c>
      <c r="D170" s="5" t="s">
        <v>1051</v>
      </c>
      <c r="E170" s="5">
        <f>VLOOKUP($D170,股期名單!$L:$M,2,FALSE)</f>
        <v>2000</v>
      </c>
      <c r="F170" s="5" t="str">
        <f t="shared" si="37"/>
        <v>JSFB1</v>
      </c>
      <c r="G170" s="7">
        <f t="shared" si="39"/>
        <v>-0.1954847277556441</v>
      </c>
      <c r="H170" s="5">
        <f>VLOOKUP($F170,DDE!$A:$AJ,H$1,FALSE)</f>
        <v>-14.72</v>
      </c>
      <c r="I170" s="5">
        <f>VLOOKUP($F170,DDE!$A:$AJ,I$1,FALSE)</f>
        <v>16428.68</v>
      </c>
      <c r="J170" s="5" t="str">
        <f>VLOOKUP($F170,DDE!$A:$AJ,J$1,FALSE)</f>
        <v xml:space="preserve"> -</v>
      </c>
      <c r="K170" s="5" t="str">
        <f>VLOOKUP($F170,DDE!$A:$AJ,K$1,FALSE)</f>
        <v xml:space="preserve"> -</v>
      </c>
      <c r="L170" s="5">
        <f>VLOOKUP($F170,DDE!$A:$AJ,L$1,FALSE)</f>
        <v>4022793</v>
      </c>
      <c r="M170" s="5">
        <f>VLOOKUP($F170,DDE!$A:$AJ,M$1,FALSE)</f>
        <v>16329.54</v>
      </c>
      <c r="N170" s="5">
        <f>VLOOKUP($F170,DDE!$A:$AJ,N$1,FALSE)</f>
        <v>16456.939999999999</v>
      </c>
      <c r="O170" s="5">
        <f>VLOOKUP($F170,DDE!$A:$AJ,O$1,FALSE)</f>
        <v>16329.54</v>
      </c>
      <c r="P170" s="5" t="str">
        <f>VLOOKUP($F170,DDE!$A:$AJ,P$1,FALSE)</f>
        <v xml:space="preserve"> -</v>
      </c>
      <c r="Q170" s="5" t="str">
        <f>VLOOKUP($F170,DDE!$A:$AJ,Q$1,FALSE)</f>
        <v xml:space="preserve"> -</v>
      </c>
      <c r="R170" s="5">
        <f t="shared" si="36"/>
        <v>16443.400000000001</v>
      </c>
      <c r="S170" s="5">
        <f>VLOOKUP(D170,cmoney!$A:$M,12,FALSE)</f>
        <v>75.3</v>
      </c>
      <c r="U170" s="5" t="str">
        <f t="shared" si="40"/>
        <v/>
      </c>
      <c r="V170" s="5" t="str">
        <f t="shared" si="41"/>
        <v>4938</v>
      </c>
      <c r="W170" s="5" t="str">
        <f t="shared" si="42"/>
        <v>和碩</v>
      </c>
      <c r="X170" s="5" t="str">
        <f t="shared" si="43"/>
        <v>JSF</v>
      </c>
      <c r="Y170" s="49">
        <f>VLOOKUP($X170,股期名單!$L:$M,2,FALSE)</f>
        <v>2000</v>
      </c>
      <c r="Z170" s="5" t="str">
        <f t="shared" si="44"/>
        <v>JSFC1</v>
      </c>
      <c r="AA170" s="7">
        <f t="shared" si="45"/>
        <v>-0.1954847277556441</v>
      </c>
      <c r="AB170" s="5">
        <f>VLOOKUP($F170,DDE!$A:$AJ,AB$1,FALSE)</f>
        <v>-14.72</v>
      </c>
      <c r="AC170" s="5">
        <f>VLOOKUP($F170,DDE!$A:$AJ,AC$1,FALSE)</f>
        <v>16428.68</v>
      </c>
      <c r="AD170" s="5" t="str">
        <f>VLOOKUP($F170,DDE!$A:$AJ,AD$1,FALSE)</f>
        <v xml:space="preserve"> -</v>
      </c>
      <c r="AE170" s="5" t="str">
        <f>VLOOKUP($F170,DDE!$A:$AJ,AE$1,FALSE)</f>
        <v xml:space="preserve"> -</v>
      </c>
      <c r="AF170" s="5">
        <f>VLOOKUP($F170,DDE!$A:$AJ,AF$1,FALSE)</f>
        <v>4022793</v>
      </c>
      <c r="AG170" s="5">
        <f>VLOOKUP($F170,DDE!$A:$AJ,AG$1,FALSE)</f>
        <v>16329.54</v>
      </c>
      <c r="AH170" s="5">
        <f>VLOOKUP($F170,DDE!$A:$AJ,AH$1,FALSE)</f>
        <v>16456.939999999999</v>
      </c>
      <c r="AI170" s="5">
        <f>VLOOKUP($F170,DDE!$A:$AJ,AI$1,FALSE)</f>
        <v>16329.54</v>
      </c>
      <c r="AJ170" s="5" t="str">
        <f>VLOOKUP($F170,DDE!$A:$AJ,AJ$1,FALSE)</f>
        <v xml:space="preserve"> -</v>
      </c>
      <c r="AK170" s="5" t="str">
        <f>VLOOKUP($F170,DDE!$A:$AJ,AK$1,FALSE)</f>
        <v xml:space="preserve"> -</v>
      </c>
      <c r="AL170" s="5">
        <f t="shared" si="46"/>
        <v>16443.400000000001</v>
      </c>
      <c r="AM170" s="5">
        <f>VLOOKUP(X170,cmoney!$A:$M,12,FALSE)</f>
        <v>75.3</v>
      </c>
    </row>
    <row r="171" spans="1:39" x14ac:dyDescent="0.25">
      <c r="A171" s="5" t="str">
        <f t="shared" si="38"/>
        <v/>
      </c>
      <c r="B171" s="5" t="s">
        <v>760</v>
      </c>
      <c r="C171" s="5" t="s">
        <v>425</v>
      </c>
      <c r="D171" s="5" t="s">
        <v>1052</v>
      </c>
      <c r="E171" s="5">
        <f>VLOOKUP($D171,股期名單!$L:$M,2,FALSE)</f>
        <v>2000</v>
      </c>
      <c r="F171" s="5" t="str">
        <f t="shared" si="37"/>
        <v>LUFB1</v>
      </c>
      <c r="G171" s="7" t="e">
        <f t="shared" si="39"/>
        <v>#VALUE!</v>
      </c>
      <c r="H171" s="5" t="str">
        <f>VLOOKUP($F171,DDE!$A:$AJ,H$1,FALSE)</f>
        <v xml:space="preserve"> </v>
      </c>
      <c r="I171" s="5">
        <f>VLOOKUP($F171,DDE!$A:$AJ,I$1,FALSE)</f>
        <v>20878632</v>
      </c>
      <c r="J171" s="5" t="str">
        <f>VLOOKUP($F171,DDE!$A:$AJ,J$1,FALSE)</f>
        <v xml:space="preserve"> -</v>
      </c>
      <c r="K171" s="5" t="str">
        <f>VLOOKUP($F171,DDE!$A:$AJ,K$1,FALSE)</f>
        <v xml:space="preserve"> -</v>
      </c>
      <c r="L171" s="5">
        <f>VLOOKUP($F171,DDE!$A:$AJ,L$1,FALSE)</f>
        <v>2088371110</v>
      </c>
      <c r="M171" s="5">
        <f>VLOOKUP($F171,DDE!$A:$AJ,M$1,FALSE)</f>
        <v>20803788</v>
      </c>
      <c r="N171" s="5">
        <f>VLOOKUP($F171,DDE!$A:$AJ,N$1,FALSE)</f>
        <v>20804690</v>
      </c>
      <c r="O171" s="5">
        <f>VLOOKUP($F171,DDE!$A:$AJ,O$1,FALSE)</f>
        <v>10989732</v>
      </c>
      <c r="P171" s="5" t="str">
        <f>VLOOKUP($F171,DDE!$A:$AJ,P$1,FALSE)</f>
        <v xml:space="preserve"> -</v>
      </c>
      <c r="Q171" s="5" t="str">
        <f>VLOOKUP($F171,DDE!$A:$AJ,Q$1,FALSE)</f>
        <v xml:space="preserve"> -</v>
      </c>
      <c r="R171" s="5" t="e">
        <f t="shared" ref="R171:R202" si="47">IF(L171&gt;0,I171-H171,"")</f>
        <v>#VALUE!</v>
      </c>
      <c r="S171" s="5">
        <f>VLOOKUP(D171,cmoney!$A:$M,12,FALSE)</f>
        <v>117.5</v>
      </c>
      <c r="U171" s="5" t="str">
        <f t="shared" si="40"/>
        <v/>
      </c>
      <c r="V171" s="5" t="str">
        <f t="shared" si="41"/>
        <v>4958</v>
      </c>
      <c r="W171" s="5" t="str">
        <f t="shared" si="42"/>
        <v>臻鼎-KY</v>
      </c>
      <c r="X171" s="5" t="str">
        <f t="shared" si="43"/>
        <v>LUF</v>
      </c>
      <c r="Y171" s="49">
        <f>VLOOKUP($X171,股期名單!$L:$M,2,FALSE)</f>
        <v>2000</v>
      </c>
      <c r="Z171" s="5" t="str">
        <f t="shared" si="44"/>
        <v>LUFC1</v>
      </c>
      <c r="AA171" s="7" t="e">
        <f t="shared" si="45"/>
        <v>#VALUE!</v>
      </c>
      <c r="AB171" s="5" t="str">
        <f>VLOOKUP($F171,DDE!$A:$AJ,AB$1,FALSE)</f>
        <v xml:space="preserve"> </v>
      </c>
      <c r="AC171" s="5">
        <f>VLOOKUP($F171,DDE!$A:$AJ,AC$1,FALSE)</f>
        <v>20878632</v>
      </c>
      <c r="AD171" s="5" t="str">
        <f>VLOOKUP($F171,DDE!$A:$AJ,AD$1,FALSE)</f>
        <v xml:space="preserve"> -</v>
      </c>
      <c r="AE171" s="5" t="str">
        <f>VLOOKUP($F171,DDE!$A:$AJ,AE$1,FALSE)</f>
        <v xml:space="preserve"> -</v>
      </c>
      <c r="AF171" s="5">
        <f>VLOOKUP($F171,DDE!$A:$AJ,AF$1,FALSE)</f>
        <v>2088371110</v>
      </c>
      <c r="AG171" s="5">
        <f>VLOOKUP($F171,DDE!$A:$AJ,AG$1,FALSE)</f>
        <v>20803788</v>
      </c>
      <c r="AH171" s="5">
        <f>VLOOKUP($F171,DDE!$A:$AJ,AH$1,FALSE)</f>
        <v>20804690</v>
      </c>
      <c r="AI171" s="5">
        <f>VLOOKUP($F171,DDE!$A:$AJ,AI$1,FALSE)</f>
        <v>10989732</v>
      </c>
      <c r="AJ171" s="5" t="str">
        <f>VLOOKUP($F171,DDE!$A:$AJ,AJ$1,FALSE)</f>
        <v xml:space="preserve"> -</v>
      </c>
      <c r="AK171" s="5" t="str">
        <f>VLOOKUP($F171,DDE!$A:$AJ,AK$1,FALSE)</f>
        <v xml:space="preserve"> -</v>
      </c>
      <c r="AL171" s="5" t="e">
        <f t="shared" si="46"/>
        <v>#VALUE!</v>
      </c>
      <c r="AM171" s="5">
        <f>VLOOKUP(X171,cmoney!$A:$M,12,FALSE)</f>
        <v>117.5</v>
      </c>
    </row>
    <row r="172" spans="1:39" x14ac:dyDescent="0.25">
      <c r="A172" s="5" t="str">
        <f t="shared" si="38"/>
        <v/>
      </c>
      <c r="B172" s="5" t="s">
        <v>780</v>
      </c>
      <c r="C172" s="5" t="s">
        <v>485</v>
      </c>
      <c r="D172" s="5" t="s">
        <v>1053</v>
      </c>
      <c r="E172" s="5">
        <f>VLOOKUP($D172,股期名單!$L:$M,2,FALSE)</f>
        <v>2000</v>
      </c>
      <c r="F172" s="5" t="str">
        <f t="shared" si="37"/>
        <v>NJFB1</v>
      </c>
      <c r="G172" s="7">
        <f t="shared" si="39"/>
        <v>-1.1100591715976333</v>
      </c>
      <c r="H172" s="5">
        <f>VLOOKUP($F172,DDE!$A:$AJ,H$1,FALSE)</f>
        <v>-18.760000000000002</v>
      </c>
      <c r="I172" s="5">
        <f>VLOOKUP($F172,DDE!$A:$AJ,I$1,FALSE)</f>
        <v>16424.64</v>
      </c>
      <c r="J172" s="5" t="str">
        <f>VLOOKUP($F172,DDE!$A:$AJ,J$1,FALSE)</f>
        <v xml:space="preserve"> -</v>
      </c>
      <c r="K172" s="5" t="str">
        <f>VLOOKUP($F172,DDE!$A:$AJ,K$1,FALSE)</f>
        <v xml:space="preserve"> -</v>
      </c>
      <c r="L172" s="5">
        <f>VLOOKUP($F172,DDE!$A:$AJ,L$1,FALSE)</f>
        <v>4020107</v>
      </c>
      <c r="M172" s="5">
        <f>VLOOKUP($F172,DDE!$A:$AJ,M$1,FALSE)</f>
        <v>16329.54</v>
      </c>
      <c r="N172" s="5">
        <f>VLOOKUP($F172,DDE!$A:$AJ,N$1,FALSE)</f>
        <v>16456.939999999999</v>
      </c>
      <c r="O172" s="5">
        <f>VLOOKUP($F172,DDE!$A:$AJ,O$1,FALSE)</f>
        <v>16329.54</v>
      </c>
      <c r="P172" s="5" t="str">
        <f>VLOOKUP($F172,DDE!$A:$AJ,P$1,FALSE)</f>
        <v xml:space="preserve"> -</v>
      </c>
      <c r="Q172" s="5" t="str">
        <f>VLOOKUP($F172,DDE!$A:$AJ,Q$1,FALSE)</f>
        <v xml:space="preserve"> -</v>
      </c>
      <c r="R172" s="5">
        <f t="shared" si="47"/>
        <v>16443.399999999998</v>
      </c>
      <c r="S172" s="5">
        <f>VLOOKUP(D172,cmoney!$A:$M,12,FALSE)</f>
        <v>16.899999999999999</v>
      </c>
      <c r="U172" s="5" t="str">
        <f t="shared" si="40"/>
        <v/>
      </c>
      <c r="V172" s="5" t="str">
        <f t="shared" si="41"/>
        <v>5009</v>
      </c>
      <c r="W172" s="5" t="str">
        <f t="shared" si="42"/>
        <v>榮剛</v>
      </c>
      <c r="X172" s="5" t="str">
        <f t="shared" si="43"/>
        <v>NJF</v>
      </c>
      <c r="Y172" s="49">
        <f>VLOOKUP($X172,股期名單!$L:$M,2,FALSE)</f>
        <v>2000</v>
      </c>
      <c r="Z172" s="5" t="str">
        <f t="shared" si="44"/>
        <v>NJFC1</v>
      </c>
      <c r="AA172" s="7">
        <f t="shared" si="45"/>
        <v>-1.1100591715976333</v>
      </c>
      <c r="AB172" s="5">
        <f>VLOOKUP($F172,DDE!$A:$AJ,AB$1,FALSE)</f>
        <v>-18.760000000000002</v>
      </c>
      <c r="AC172" s="5">
        <f>VLOOKUP($F172,DDE!$A:$AJ,AC$1,FALSE)</f>
        <v>16424.64</v>
      </c>
      <c r="AD172" s="5" t="str">
        <f>VLOOKUP($F172,DDE!$A:$AJ,AD$1,FALSE)</f>
        <v xml:space="preserve"> -</v>
      </c>
      <c r="AE172" s="5" t="str">
        <f>VLOOKUP($F172,DDE!$A:$AJ,AE$1,FALSE)</f>
        <v xml:space="preserve"> -</v>
      </c>
      <c r="AF172" s="5">
        <f>VLOOKUP($F172,DDE!$A:$AJ,AF$1,FALSE)</f>
        <v>4020107</v>
      </c>
      <c r="AG172" s="5">
        <f>VLOOKUP($F172,DDE!$A:$AJ,AG$1,FALSE)</f>
        <v>16329.54</v>
      </c>
      <c r="AH172" s="5">
        <f>VLOOKUP($F172,DDE!$A:$AJ,AH$1,FALSE)</f>
        <v>16456.939999999999</v>
      </c>
      <c r="AI172" s="5">
        <f>VLOOKUP($F172,DDE!$A:$AJ,AI$1,FALSE)</f>
        <v>16329.54</v>
      </c>
      <c r="AJ172" s="5" t="str">
        <f>VLOOKUP($F172,DDE!$A:$AJ,AJ$1,FALSE)</f>
        <v xml:space="preserve"> -</v>
      </c>
      <c r="AK172" s="5" t="str">
        <f>VLOOKUP($F172,DDE!$A:$AJ,AK$1,FALSE)</f>
        <v xml:space="preserve"> -</v>
      </c>
      <c r="AL172" s="5">
        <f t="shared" si="46"/>
        <v>16443.399999999998</v>
      </c>
      <c r="AM172" s="5">
        <f>VLOOKUP(X172,cmoney!$A:$M,12,FALSE)</f>
        <v>16.899999999999999</v>
      </c>
    </row>
    <row r="173" spans="1:39" x14ac:dyDescent="0.25">
      <c r="A173" s="5" t="str">
        <f t="shared" si="38"/>
        <v/>
      </c>
      <c r="B173" s="5" t="s">
        <v>808</v>
      </c>
      <c r="C173" s="5" t="s">
        <v>609</v>
      </c>
      <c r="D173" s="5" t="s">
        <v>1054</v>
      </c>
      <c r="E173" s="5">
        <f>VLOOKUP($D173,股期名單!$L:$M,2,FALSE)</f>
        <v>2000</v>
      </c>
      <c r="F173" s="5" t="str">
        <f t="shared" si="37"/>
        <v>PHFB1</v>
      </c>
      <c r="G173" s="7" t="e">
        <f t="shared" si="39"/>
        <v>#VALUE!</v>
      </c>
      <c r="H173" s="5" t="str">
        <f>VLOOKUP($F173,DDE!$A:$AJ,H$1,FALSE)</f>
        <v xml:space="preserve"> </v>
      </c>
      <c r="I173" s="5">
        <f>VLOOKUP($F173,DDE!$A:$AJ,I$1,FALSE)</f>
        <v>20878632</v>
      </c>
      <c r="J173" s="5" t="str">
        <f>VLOOKUP($F173,DDE!$A:$AJ,J$1,FALSE)</f>
        <v xml:space="preserve"> -</v>
      </c>
      <c r="K173" s="5" t="str">
        <f>VLOOKUP($F173,DDE!$A:$AJ,K$1,FALSE)</f>
        <v xml:space="preserve"> -</v>
      </c>
      <c r="L173" s="5">
        <f>VLOOKUP($F173,DDE!$A:$AJ,L$1,FALSE)</f>
        <v>2088371110</v>
      </c>
      <c r="M173" s="5">
        <f>VLOOKUP($F173,DDE!$A:$AJ,M$1,FALSE)</f>
        <v>20803788</v>
      </c>
      <c r="N173" s="5">
        <f>VLOOKUP($F173,DDE!$A:$AJ,N$1,FALSE)</f>
        <v>20804690</v>
      </c>
      <c r="O173" s="5">
        <f>VLOOKUP($F173,DDE!$A:$AJ,O$1,FALSE)</f>
        <v>10989732</v>
      </c>
      <c r="P173" s="5" t="str">
        <f>VLOOKUP($F173,DDE!$A:$AJ,P$1,FALSE)</f>
        <v xml:space="preserve"> -</v>
      </c>
      <c r="Q173" s="5" t="str">
        <f>VLOOKUP($F173,DDE!$A:$AJ,Q$1,FALSE)</f>
        <v xml:space="preserve"> -</v>
      </c>
      <c r="R173" s="5" t="e">
        <f t="shared" si="47"/>
        <v>#VALUE!</v>
      </c>
      <c r="S173" s="5">
        <f>VLOOKUP(D173,cmoney!$A:$M,12,FALSE)</f>
        <v>1705</v>
      </c>
      <c r="U173" s="5" t="str">
        <f t="shared" si="40"/>
        <v/>
      </c>
      <c r="V173" s="5" t="str">
        <f t="shared" si="41"/>
        <v>5269</v>
      </c>
      <c r="W173" s="5" t="str">
        <f t="shared" si="42"/>
        <v>祥碩</v>
      </c>
      <c r="X173" s="5" t="str">
        <f t="shared" si="43"/>
        <v>PHF</v>
      </c>
      <c r="Y173" s="49">
        <f>VLOOKUP($X173,股期名單!$L:$M,2,FALSE)</f>
        <v>2000</v>
      </c>
      <c r="Z173" s="5" t="str">
        <f t="shared" si="44"/>
        <v>PHFC1</v>
      </c>
      <c r="AA173" s="7" t="e">
        <f t="shared" si="45"/>
        <v>#VALUE!</v>
      </c>
      <c r="AB173" s="5" t="str">
        <f>VLOOKUP($F173,DDE!$A:$AJ,AB$1,FALSE)</f>
        <v xml:space="preserve"> </v>
      </c>
      <c r="AC173" s="5">
        <f>VLOOKUP($F173,DDE!$A:$AJ,AC$1,FALSE)</f>
        <v>20878632</v>
      </c>
      <c r="AD173" s="5" t="str">
        <f>VLOOKUP($F173,DDE!$A:$AJ,AD$1,FALSE)</f>
        <v xml:space="preserve"> -</v>
      </c>
      <c r="AE173" s="5" t="str">
        <f>VLOOKUP($F173,DDE!$A:$AJ,AE$1,FALSE)</f>
        <v xml:space="preserve"> -</v>
      </c>
      <c r="AF173" s="5">
        <f>VLOOKUP($F173,DDE!$A:$AJ,AF$1,FALSE)</f>
        <v>2088371110</v>
      </c>
      <c r="AG173" s="5">
        <f>VLOOKUP($F173,DDE!$A:$AJ,AG$1,FALSE)</f>
        <v>20803788</v>
      </c>
      <c r="AH173" s="5">
        <f>VLOOKUP($F173,DDE!$A:$AJ,AH$1,FALSE)</f>
        <v>20804690</v>
      </c>
      <c r="AI173" s="5">
        <f>VLOOKUP($F173,DDE!$A:$AJ,AI$1,FALSE)</f>
        <v>10989732</v>
      </c>
      <c r="AJ173" s="5" t="str">
        <f>VLOOKUP($F173,DDE!$A:$AJ,AJ$1,FALSE)</f>
        <v xml:space="preserve"> -</v>
      </c>
      <c r="AK173" s="5" t="str">
        <f>VLOOKUP($F173,DDE!$A:$AJ,AK$1,FALSE)</f>
        <v xml:space="preserve"> -</v>
      </c>
      <c r="AL173" s="5" t="e">
        <f t="shared" si="46"/>
        <v>#VALUE!</v>
      </c>
      <c r="AM173" s="5">
        <f>VLOOKUP(X173,cmoney!$A:$M,12,FALSE)</f>
        <v>1705</v>
      </c>
    </row>
    <row r="174" spans="1:39" x14ac:dyDescent="0.25">
      <c r="A174" s="5" t="str">
        <f t="shared" si="38"/>
        <v>小型</v>
      </c>
      <c r="B174" s="5" t="s">
        <v>808</v>
      </c>
      <c r="C174" s="5" t="s">
        <v>609</v>
      </c>
      <c r="D174" s="5" t="s">
        <v>1055</v>
      </c>
      <c r="E174" s="5">
        <f>VLOOKUP($D174,股期名單!$L:$M,2,FALSE)</f>
        <v>100</v>
      </c>
      <c r="F174" s="5" t="str">
        <f t="shared" si="37"/>
        <v>PNFB1</v>
      </c>
      <c r="G174" s="7">
        <f t="shared" si="39"/>
        <v>-1.100293255131965E-2</v>
      </c>
      <c r="H174" s="5">
        <f>VLOOKUP($F174,DDE!$A:$AJ,H$1,FALSE)</f>
        <v>-18.760000000000002</v>
      </c>
      <c r="I174" s="5">
        <f>VLOOKUP($F174,DDE!$A:$AJ,I$1,FALSE)</f>
        <v>16424.64</v>
      </c>
      <c r="J174" s="5" t="str">
        <f>VLOOKUP($F174,DDE!$A:$AJ,J$1,FALSE)</f>
        <v xml:space="preserve"> -</v>
      </c>
      <c r="K174" s="5" t="str">
        <f>VLOOKUP($F174,DDE!$A:$AJ,K$1,FALSE)</f>
        <v xml:space="preserve"> -</v>
      </c>
      <c r="L174" s="5">
        <f>VLOOKUP($F174,DDE!$A:$AJ,L$1,FALSE)</f>
        <v>4020107</v>
      </c>
      <c r="M174" s="5">
        <f>VLOOKUP($F174,DDE!$A:$AJ,M$1,FALSE)</f>
        <v>16329.54</v>
      </c>
      <c r="N174" s="5">
        <f>VLOOKUP($F174,DDE!$A:$AJ,N$1,FALSE)</f>
        <v>16456.939999999999</v>
      </c>
      <c r="O174" s="5">
        <f>VLOOKUP($F174,DDE!$A:$AJ,O$1,FALSE)</f>
        <v>16329.54</v>
      </c>
      <c r="P174" s="5" t="str">
        <f>VLOOKUP($F174,DDE!$A:$AJ,P$1,FALSE)</f>
        <v xml:space="preserve"> -</v>
      </c>
      <c r="Q174" s="5" t="str">
        <f>VLOOKUP($F174,DDE!$A:$AJ,Q$1,FALSE)</f>
        <v xml:space="preserve"> -</v>
      </c>
      <c r="R174" s="5">
        <f t="shared" si="47"/>
        <v>16443.399999999998</v>
      </c>
      <c r="S174" s="5">
        <f>VLOOKUP(D174,cmoney!$A:$M,12,FALSE)</f>
        <v>1705</v>
      </c>
      <c r="U174" s="5" t="str">
        <f t="shared" si="40"/>
        <v>小型</v>
      </c>
      <c r="V174" s="5" t="str">
        <f t="shared" si="41"/>
        <v>5269</v>
      </c>
      <c r="W174" s="5" t="str">
        <f t="shared" si="42"/>
        <v>祥碩</v>
      </c>
      <c r="X174" s="5" t="str">
        <f t="shared" si="43"/>
        <v>PNF</v>
      </c>
      <c r="Y174" s="49">
        <f>VLOOKUP($X174,股期名單!$L:$M,2,FALSE)</f>
        <v>100</v>
      </c>
      <c r="Z174" s="5" t="str">
        <f t="shared" si="44"/>
        <v>PNFC1</v>
      </c>
      <c r="AA174" s="7">
        <f t="shared" si="45"/>
        <v>-1.100293255131965E-2</v>
      </c>
      <c r="AB174" s="5">
        <f>VLOOKUP($F174,DDE!$A:$AJ,AB$1,FALSE)</f>
        <v>-18.760000000000002</v>
      </c>
      <c r="AC174" s="5">
        <f>VLOOKUP($F174,DDE!$A:$AJ,AC$1,FALSE)</f>
        <v>16424.64</v>
      </c>
      <c r="AD174" s="5" t="str">
        <f>VLOOKUP($F174,DDE!$A:$AJ,AD$1,FALSE)</f>
        <v xml:space="preserve"> -</v>
      </c>
      <c r="AE174" s="5" t="str">
        <f>VLOOKUP($F174,DDE!$A:$AJ,AE$1,FALSE)</f>
        <v xml:space="preserve"> -</v>
      </c>
      <c r="AF174" s="5">
        <f>VLOOKUP($F174,DDE!$A:$AJ,AF$1,FALSE)</f>
        <v>4020107</v>
      </c>
      <c r="AG174" s="5">
        <f>VLOOKUP($F174,DDE!$A:$AJ,AG$1,FALSE)</f>
        <v>16329.54</v>
      </c>
      <c r="AH174" s="5">
        <f>VLOOKUP($F174,DDE!$A:$AJ,AH$1,FALSE)</f>
        <v>16456.939999999999</v>
      </c>
      <c r="AI174" s="5">
        <f>VLOOKUP($F174,DDE!$A:$AJ,AI$1,FALSE)</f>
        <v>16329.54</v>
      </c>
      <c r="AJ174" s="5" t="str">
        <f>VLOOKUP($F174,DDE!$A:$AJ,AJ$1,FALSE)</f>
        <v xml:space="preserve"> -</v>
      </c>
      <c r="AK174" s="5" t="str">
        <f>VLOOKUP($F174,DDE!$A:$AJ,AK$1,FALSE)</f>
        <v xml:space="preserve"> -</v>
      </c>
      <c r="AL174" s="5">
        <f t="shared" si="46"/>
        <v>16443.399999999998</v>
      </c>
      <c r="AM174" s="5">
        <f>VLOOKUP(X174,cmoney!$A:$M,12,FALSE)</f>
        <v>1705</v>
      </c>
    </row>
    <row r="175" spans="1:39" x14ac:dyDescent="0.25">
      <c r="A175" s="5" t="str">
        <f t="shared" si="38"/>
        <v/>
      </c>
      <c r="B175" s="5" t="s">
        <v>1056</v>
      </c>
      <c r="C175" s="5" t="s">
        <v>860</v>
      </c>
      <c r="D175" s="5" t="s">
        <v>1057</v>
      </c>
      <c r="E175" s="5">
        <f>VLOOKUP($D175,股期名單!$L:$M,2,FALSE)</f>
        <v>2000</v>
      </c>
      <c r="F175" s="5" t="str">
        <f t="shared" si="37"/>
        <v>PZFB1</v>
      </c>
      <c r="G175" s="7">
        <f t="shared" si="39"/>
        <v>-7.0095238095238101E-3</v>
      </c>
      <c r="H175" s="5">
        <f>VLOOKUP($F175,DDE!$A:$AJ,H$1,FALSE)</f>
        <v>-14.72</v>
      </c>
      <c r="I175" s="5">
        <f>VLOOKUP($F175,DDE!$A:$AJ,I$1,FALSE)</f>
        <v>16428.68</v>
      </c>
      <c r="J175" s="5" t="str">
        <f>VLOOKUP($F175,DDE!$A:$AJ,J$1,FALSE)</f>
        <v xml:space="preserve"> -</v>
      </c>
      <c r="K175" s="5" t="str">
        <f>VLOOKUP($F175,DDE!$A:$AJ,K$1,FALSE)</f>
        <v xml:space="preserve"> -</v>
      </c>
      <c r="L175" s="5">
        <f>VLOOKUP($F175,DDE!$A:$AJ,L$1,FALSE)</f>
        <v>4022793</v>
      </c>
      <c r="M175" s="5">
        <f>VLOOKUP($F175,DDE!$A:$AJ,M$1,FALSE)</f>
        <v>16329.54</v>
      </c>
      <c r="N175" s="5">
        <f>VLOOKUP($F175,DDE!$A:$AJ,N$1,FALSE)</f>
        <v>16456.939999999999</v>
      </c>
      <c r="O175" s="5">
        <f>VLOOKUP($F175,DDE!$A:$AJ,O$1,FALSE)</f>
        <v>16329.54</v>
      </c>
      <c r="P175" s="5" t="str">
        <f>VLOOKUP($F175,DDE!$A:$AJ,P$1,FALSE)</f>
        <v xml:space="preserve"> -</v>
      </c>
      <c r="Q175" s="5" t="str">
        <f>VLOOKUP($F175,DDE!$A:$AJ,Q$1,FALSE)</f>
        <v xml:space="preserve"> -</v>
      </c>
      <c r="R175" s="5">
        <f t="shared" si="47"/>
        <v>16443.400000000001</v>
      </c>
      <c r="S175" s="5">
        <f>VLOOKUP(D175,cmoney!$A:$M,12,FALSE)</f>
        <v>2100</v>
      </c>
      <c r="U175" s="5" t="str">
        <f t="shared" si="40"/>
        <v/>
      </c>
      <c r="V175" s="5" t="str">
        <f t="shared" si="41"/>
        <v>5274</v>
      </c>
      <c r="W175" s="5" t="str">
        <f t="shared" si="42"/>
        <v>信驊</v>
      </c>
      <c r="X175" s="5" t="str">
        <f t="shared" si="43"/>
        <v>PZF</v>
      </c>
      <c r="Y175" s="49">
        <f>VLOOKUP($X175,股期名單!$L:$M,2,FALSE)</f>
        <v>2000</v>
      </c>
      <c r="Z175" s="5" t="str">
        <f t="shared" si="44"/>
        <v>PZFC1</v>
      </c>
      <c r="AA175" s="7">
        <f t="shared" si="45"/>
        <v>-7.0095238095238101E-3</v>
      </c>
      <c r="AB175" s="5">
        <f>VLOOKUP($F175,DDE!$A:$AJ,AB$1,FALSE)</f>
        <v>-14.72</v>
      </c>
      <c r="AC175" s="5">
        <f>VLOOKUP($F175,DDE!$A:$AJ,AC$1,FALSE)</f>
        <v>16428.68</v>
      </c>
      <c r="AD175" s="5" t="str">
        <f>VLOOKUP($F175,DDE!$A:$AJ,AD$1,FALSE)</f>
        <v xml:space="preserve"> -</v>
      </c>
      <c r="AE175" s="5" t="str">
        <f>VLOOKUP($F175,DDE!$A:$AJ,AE$1,FALSE)</f>
        <v xml:space="preserve"> -</v>
      </c>
      <c r="AF175" s="5">
        <f>VLOOKUP($F175,DDE!$A:$AJ,AF$1,FALSE)</f>
        <v>4022793</v>
      </c>
      <c r="AG175" s="5">
        <f>VLOOKUP($F175,DDE!$A:$AJ,AG$1,FALSE)</f>
        <v>16329.54</v>
      </c>
      <c r="AH175" s="5">
        <f>VLOOKUP($F175,DDE!$A:$AJ,AH$1,FALSE)</f>
        <v>16456.939999999999</v>
      </c>
      <c r="AI175" s="5">
        <f>VLOOKUP($F175,DDE!$A:$AJ,AI$1,FALSE)</f>
        <v>16329.54</v>
      </c>
      <c r="AJ175" s="5" t="str">
        <f>VLOOKUP($F175,DDE!$A:$AJ,AJ$1,FALSE)</f>
        <v xml:space="preserve"> -</v>
      </c>
      <c r="AK175" s="5" t="str">
        <f>VLOOKUP($F175,DDE!$A:$AJ,AK$1,FALSE)</f>
        <v xml:space="preserve"> -</v>
      </c>
      <c r="AL175" s="5">
        <f t="shared" si="46"/>
        <v>16443.400000000001</v>
      </c>
      <c r="AM175" s="5">
        <f>VLOOKUP(X175,cmoney!$A:$M,12,FALSE)</f>
        <v>2100</v>
      </c>
    </row>
    <row r="176" spans="1:39" x14ac:dyDescent="0.25">
      <c r="A176" s="5" t="str">
        <f t="shared" si="38"/>
        <v>小型</v>
      </c>
      <c r="B176" s="5" t="s">
        <v>1056</v>
      </c>
      <c r="C176" s="5" t="s">
        <v>860</v>
      </c>
      <c r="D176" s="5" t="s">
        <v>1058</v>
      </c>
      <c r="E176" s="5">
        <f>VLOOKUP($D176,股期名單!$L:$M,2,FALSE)</f>
        <v>100</v>
      </c>
      <c r="F176" s="5" t="str">
        <f t="shared" si="37"/>
        <v>QAFB1</v>
      </c>
      <c r="G176" s="7">
        <f t="shared" si="39"/>
        <v>-1.0152380952380953E-2</v>
      </c>
      <c r="H176" s="5">
        <f>VLOOKUP($F176,DDE!$A:$AJ,H$1,FALSE)</f>
        <v>-21.32</v>
      </c>
      <c r="I176" s="5">
        <f>VLOOKUP($F176,DDE!$A:$AJ,I$1,FALSE)</f>
        <v>16422.080000000002</v>
      </c>
      <c r="J176" s="5" t="str">
        <f>VLOOKUP($F176,DDE!$A:$AJ,J$1,FALSE)</f>
        <v xml:space="preserve"> -</v>
      </c>
      <c r="K176" s="5" t="str">
        <f>VLOOKUP($F176,DDE!$A:$AJ,K$1,FALSE)</f>
        <v xml:space="preserve"> -</v>
      </c>
      <c r="L176" s="5">
        <f>VLOOKUP($F176,DDE!$A:$AJ,L$1,FALSE)</f>
        <v>4018459</v>
      </c>
      <c r="M176" s="5">
        <f>VLOOKUP($F176,DDE!$A:$AJ,M$1,FALSE)</f>
        <v>16329.54</v>
      </c>
      <c r="N176" s="5">
        <f>VLOOKUP($F176,DDE!$A:$AJ,N$1,FALSE)</f>
        <v>16456.939999999999</v>
      </c>
      <c r="O176" s="5">
        <f>VLOOKUP($F176,DDE!$A:$AJ,O$1,FALSE)</f>
        <v>16329.54</v>
      </c>
      <c r="P176" s="5" t="str">
        <f>VLOOKUP($F176,DDE!$A:$AJ,P$1,FALSE)</f>
        <v xml:space="preserve"> -</v>
      </c>
      <c r="Q176" s="5" t="str">
        <f>VLOOKUP($F176,DDE!$A:$AJ,Q$1,FALSE)</f>
        <v xml:space="preserve"> -</v>
      </c>
      <c r="R176" s="5">
        <f t="shared" si="47"/>
        <v>16443.400000000001</v>
      </c>
      <c r="S176" s="5">
        <f>VLOOKUP(D176,cmoney!$A:$M,12,FALSE)</f>
        <v>2100</v>
      </c>
      <c r="U176" s="5" t="str">
        <f t="shared" si="40"/>
        <v>小型</v>
      </c>
      <c r="V176" s="5" t="str">
        <f t="shared" si="41"/>
        <v>5274</v>
      </c>
      <c r="W176" s="5" t="str">
        <f t="shared" si="42"/>
        <v>信驊</v>
      </c>
      <c r="X176" s="5" t="str">
        <f t="shared" si="43"/>
        <v>QAF</v>
      </c>
      <c r="Y176" s="49">
        <f>VLOOKUP($X176,股期名單!$L:$M,2,FALSE)</f>
        <v>100</v>
      </c>
      <c r="Z176" s="5" t="str">
        <f t="shared" si="44"/>
        <v>QAFC1</v>
      </c>
      <c r="AA176" s="7">
        <f t="shared" si="45"/>
        <v>-1.0152380952380953E-2</v>
      </c>
      <c r="AB176" s="5">
        <f>VLOOKUP($F176,DDE!$A:$AJ,AB$1,FALSE)</f>
        <v>-21.32</v>
      </c>
      <c r="AC176" s="5">
        <f>VLOOKUP($F176,DDE!$A:$AJ,AC$1,FALSE)</f>
        <v>16422.080000000002</v>
      </c>
      <c r="AD176" s="5" t="str">
        <f>VLOOKUP($F176,DDE!$A:$AJ,AD$1,FALSE)</f>
        <v xml:space="preserve"> -</v>
      </c>
      <c r="AE176" s="5" t="str">
        <f>VLOOKUP($F176,DDE!$A:$AJ,AE$1,FALSE)</f>
        <v xml:space="preserve"> -</v>
      </c>
      <c r="AF176" s="5">
        <f>VLOOKUP($F176,DDE!$A:$AJ,AF$1,FALSE)</f>
        <v>4018459</v>
      </c>
      <c r="AG176" s="5">
        <f>VLOOKUP($F176,DDE!$A:$AJ,AG$1,FALSE)</f>
        <v>16329.54</v>
      </c>
      <c r="AH176" s="5">
        <f>VLOOKUP($F176,DDE!$A:$AJ,AH$1,FALSE)</f>
        <v>16456.939999999999</v>
      </c>
      <c r="AI176" s="5">
        <f>VLOOKUP($F176,DDE!$A:$AJ,AI$1,FALSE)</f>
        <v>16329.54</v>
      </c>
      <c r="AJ176" s="5" t="str">
        <f>VLOOKUP($F176,DDE!$A:$AJ,AJ$1,FALSE)</f>
        <v xml:space="preserve"> -</v>
      </c>
      <c r="AK176" s="5" t="str">
        <f>VLOOKUP($F176,DDE!$A:$AJ,AK$1,FALSE)</f>
        <v xml:space="preserve"> -</v>
      </c>
      <c r="AL176" s="5">
        <f t="shared" si="46"/>
        <v>16443.400000000001</v>
      </c>
      <c r="AM176" s="5">
        <f>VLOOKUP(X176,cmoney!$A:$M,12,FALSE)</f>
        <v>2100</v>
      </c>
    </row>
    <row r="177" spans="1:39" x14ac:dyDescent="0.25">
      <c r="A177" s="5" t="str">
        <f t="shared" si="38"/>
        <v/>
      </c>
      <c r="B177" s="5" t="s">
        <v>781</v>
      </c>
      <c r="C177" s="5" t="s">
        <v>488</v>
      </c>
      <c r="D177" s="5" t="s">
        <v>1059</v>
      </c>
      <c r="E177" s="5">
        <f>VLOOKUP($D177,股期名單!$L:$M,2,FALSE)</f>
        <v>2000</v>
      </c>
      <c r="F177" s="5" t="str">
        <f t="shared" si="37"/>
        <v>NLFB1</v>
      </c>
      <c r="G177" s="7">
        <f t="shared" si="39"/>
        <v>5.795081967213115E-2</v>
      </c>
      <c r="H177" s="5">
        <f>VLOOKUP($F177,DDE!$A:$AJ,H$1,FALSE)</f>
        <v>7.07</v>
      </c>
      <c r="I177" s="5">
        <f>VLOOKUP($F177,DDE!$A:$AJ,I$1,FALSE)</f>
        <v>13893.65</v>
      </c>
      <c r="J177" s="5" t="str">
        <f>VLOOKUP($F177,DDE!$A:$AJ,J$1,FALSE)</f>
        <v xml:space="preserve"> -</v>
      </c>
      <c r="K177" s="5" t="str">
        <f>VLOOKUP($F177,DDE!$A:$AJ,K$1,FALSE)</f>
        <v xml:space="preserve"> -</v>
      </c>
      <c r="L177" s="5">
        <f>VLOOKUP($F177,DDE!$A:$AJ,L$1,FALSE)</f>
        <v>871785</v>
      </c>
      <c r="M177" s="5">
        <f>VLOOKUP($F177,DDE!$A:$AJ,M$1,FALSE)</f>
        <v>13893.03</v>
      </c>
      <c r="N177" s="5">
        <f>VLOOKUP($F177,DDE!$A:$AJ,N$1,FALSE)</f>
        <v>13945.78</v>
      </c>
      <c r="O177" s="5">
        <f>VLOOKUP($F177,DDE!$A:$AJ,O$1,FALSE)</f>
        <v>13875.82</v>
      </c>
      <c r="P177" s="5" t="str">
        <f>VLOOKUP($F177,DDE!$A:$AJ,P$1,FALSE)</f>
        <v xml:space="preserve"> -</v>
      </c>
      <c r="Q177" s="5" t="str">
        <f>VLOOKUP($F177,DDE!$A:$AJ,Q$1,FALSE)</f>
        <v xml:space="preserve"> -</v>
      </c>
      <c r="R177" s="5">
        <f t="shared" si="47"/>
        <v>13886.58</v>
      </c>
      <c r="S177" s="5">
        <f>VLOOKUP(D177,cmoney!$A:$M,12,FALSE)</f>
        <v>122</v>
      </c>
      <c r="U177" s="5" t="str">
        <f t="shared" si="40"/>
        <v/>
      </c>
      <c r="V177" s="5" t="str">
        <f t="shared" si="41"/>
        <v>5347</v>
      </c>
      <c r="W177" s="5" t="str">
        <f t="shared" si="42"/>
        <v>世界</v>
      </c>
      <c r="X177" s="5" t="str">
        <f t="shared" si="43"/>
        <v>NLF</v>
      </c>
      <c r="Y177" s="49">
        <f>VLOOKUP($X177,股期名單!$L:$M,2,FALSE)</f>
        <v>2000</v>
      </c>
      <c r="Z177" s="5" t="str">
        <f t="shared" si="44"/>
        <v>NLFC1</v>
      </c>
      <c r="AA177" s="7">
        <f t="shared" si="45"/>
        <v>5.795081967213115E-2</v>
      </c>
      <c r="AB177" s="5">
        <f>VLOOKUP($F177,DDE!$A:$AJ,AB$1,FALSE)</f>
        <v>7.07</v>
      </c>
      <c r="AC177" s="5">
        <f>VLOOKUP($F177,DDE!$A:$AJ,AC$1,FALSE)</f>
        <v>13893.65</v>
      </c>
      <c r="AD177" s="5" t="str">
        <f>VLOOKUP($F177,DDE!$A:$AJ,AD$1,FALSE)</f>
        <v xml:space="preserve"> -</v>
      </c>
      <c r="AE177" s="5" t="str">
        <f>VLOOKUP($F177,DDE!$A:$AJ,AE$1,FALSE)</f>
        <v xml:space="preserve"> -</v>
      </c>
      <c r="AF177" s="5">
        <f>VLOOKUP($F177,DDE!$A:$AJ,AF$1,FALSE)</f>
        <v>871785</v>
      </c>
      <c r="AG177" s="5">
        <f>VLOOKUP($F177,DDE!$A:$AJ,AG$1,FALSE)</f>
        <v>13893.03</v>
      </c>
      <c r="AH177" s="5">
        <f>VLOOKUP($F177,DDE!$A:$AJ,AH$1,FALSE)</f>
        <v>13945.78</v>
      </c>
      <c r="AI177" s="5">
        <f>VLOOKUP($F177,DDE!$A:$AJ,AI$1,FALSE)</f>
        <v>13875.82</v>
      </c>
      <c r="AJ177" s="5" t="str">
        <f>VLOOKUP($F177,DDE!$A:$AJ,AJ$1,FALSE)</f>
        <v xml:space="preserve"> -</v>
      </c>
      <c r="AK177" s="5" t="str">
        <f>VLOOKUP($F177,DDE!$A:$AJ,AK$1,FALSE)</f>
        <v xml:space="preserve"> -</v>
      </c>
      <c r="AL177" s="5">
        <f t="shared" si="46"/>
        <v>13886.58</v>
      </c>
      <c r="AM177" s="5">
        <f>VLOOKUP(X177,cmoney!$A:$M,12,FALSE)</f>
        <v>122</v>
      </c>
    </row>
    <row r="178" spans="1:39" x14ac:dyDescent="0.25">
      <c r="A178" s="5" t="str">
        <f t="shared" si="38"/>
        <v/>
      </c>
      <c r="B178" s="5" t="s">
        <v>782</v>
      </c>
      <c r="C178" s="5" t="s">
        <v>491</v>
      </c>
      <c r="D178" s="5" t="s">
        <v>1060</v>
      </c>
      <c r="E178" s="5">
        <f>VLOOKUP($D178,股期名單!$L:$M,2,FALSE)</f>
        <v>2000</v>
      </c>
      <c r="F178" s="5" t="str">
        <f t="shared" si="37"/>
        <v>NMFB1</v>
      </c>
      <c r="G178" s="7">
        <f t="shared" si="39"/>
        <v>-0.38091370558375637</v>
      </c>
      <c r="H178" s="5">
        <f>VLOOKUP($F178,DDE!$A:$AJ,H$1,FALSE)</f>
        <v>-18.760000000000002</v>
      </c>
      <c r="I178" s="5">
        <f>VLOOKUP($F178,DDE!$A:$AJ,I$1,FALSE)</f>
        <v>16424.64</v>
      </c>
      <c r="J178" s="5" t="str">
        <f>VLOOKUP($F178,DDE!$A:$AJ,J$1,FALSE)</f>
        <v xml:space="preserve"> -</v>
      </c>
      <c r="K178" s="5" t="str">
        <f>VLOOKUP($F178,DDE!$A:$AJ,K$1,FALSE)</f>
        <v xml:space="preserve"> -</v>
      </c>
      <c r="L178" s="5">
        <f>VLOOKUP($F178,DDE!$A:$AJ,L$1,FALSE)</f>
        <v>4020107</v>
      </c>
      <c r="M178" s="5">
        <f>VLOOKUP($F178,DDE!$A:$AJ,M$1,FALSE)</f>
        <v>16329.54</v>
      </c>
      <c r="N178" s="5">
        <f>VLOOKUP($F178,DDE!$A:$AJ,N$1,FALSE)</f>
        <v>16456.939999999999</v>
      </c>
      <c r="O178" s="5">
        <f>VLOOKUP($F178,DDE!$A:$AJ,O$1,FALSE)</f>
        <v>16329.54</v>
      </c>
      <c r="P178" s="5" t="str">
        <f>VLOOKUP($F178,DDE!$A:$AJ,P$1,FALSE)</f>
        <v xml:space="preserve"> -</v>
      </c>
      <c r="Q178" s="5" t="str">
        <f>VLOOKUP($F178,DDE!$A:$AJ,Q$1,FALSE)</f>
        <v xml:space="preserve"> -</v>
      </c>
      <c r="R178" s="5">
        <f t="shared" si="47"/>
        <v>16443.399999999998</v>
      </c>
      <c r="S178" s="5">
        <f>VLOOKUP(D178,cmoney!$A:$M,12,FALSE)</f>
        <v>49.25</v>
      </c>
      <c r="U178" s="5" t="str">
        <f t="shared" si="40"/>
        <v/>
      </c>
      <c r="V178" s="5" t="str">
        <f t="shared" si="41"/>
        <v>5371</v>
      </c>
      <c r="W178" s="5" t="str">
        <f t="shared" si="42"/>
        <v>中光電</v>
      </c>
      <c r="X178" s="5" t="str">
        <f t="shared" si="43"/>
        <v>NMF</v>
      </c>
      <c r="Y178" s="49">
        <f>VLOOKUP($X178,股期名單!$L:$M,2,FALSE)</f>
        <v>2000</v>
      </c>
      <c r="Z178" s="5" t="str">
        <f t="shared" si="44"/>
        <v>NMFC1</v>
      </c>
      <c r="AA178" s="7">
        <f t="shared" si="45"/>
        <v>-0.38091370558375637</v>
      </c>
      <c r="AB178" s="5">
        <f>VLOOKUP($F178,DDE!$A:$AJ,AB$1,FALSE)</f>
        <v>-18.760000000000002</v>
      </c>
      <c r="AC178" s="5">
        <f>VLOOKUP($F178,DDE!$A:$AJ,AC$1,FALSE)</f>
        <v>16424.64</v>
      </c>
      <c r="AD178" s="5" t="str">
        <f>VLOOKUP($F178,DDE!$A:$AJ,AD$1,FALSE)</f>
        <v xml:space="preserve"> -</v>
      </c>
      <c r="AE178" s="5" t="str">
        <f>VLOOKUP($F178,DDE!$A:$AJ,AE$1,FALSE)</f>
        <v xml:space="preserve"> -</v>
      </c>
      <c r="AF178" s="5">
        <f>VLOOKUP($F178,DDE!$A:$AJ,AF$1,FALSE)</f>
        <v>4020107</v>
      </c>
      <c r="AG178" s="5">
        <f>VLOOKUP($F178,DDE!$A:$AJ,AG$1,FALSE)</f>
        <v>16329.54</v>
      </c>
      <c r="AH178" s="5">
        <f>VLOOKUP($F178,DDE!$A:$AJ,AH$1,FALSE)</f>
        <v>16456.939999999999</v>
      </c>
      <c r="AI178" s="5">
        <f>VLOOKUP($F178,DDE!$A:$AJ,AI$1,FALSE)</f>
        <v>16329.54</v>
      </c>
      <c r="AJ178" s="5" t="str">
        <f>VLOOKUP($F178,DDE!$A:$AJ,AJ$1,FALSE)</f>
        <v xml:space="preserve"> -</v>
      </c>
      <c r="AK178" s="5" t="str">
        <f>VLOOKUP($F178,DDE!$A:$AJ,AK$1,FALSE)</f>
        <v xml:space="preserve"> -</v>
      </c>
      <c r="AL178" s="5">
        <f t="shared" si="46"/>
        <v>16443.399999999998</v>
      </c>
      <c r="AM178" s="5">
        <f>VLOOKUP(X178,cmoney!$A:$M,12,FALSE)</f>
        <v>49.25</v>
      </c>
    </row>
    <row r="179" spans="1:39" x14ac:dyDescent="0.25">
      <c r="A179" s="5" t="str">
        <f t="shared" si="38"/>
        <v/>
      </c>
      <c r="B179" s="5" t="s">
        <v>806</v>
      </c>
      <c r="C179" s="5" t="s">
        <v>599</v>
      </c>
      <c r="D179" s="5" t="s">
        <v>1061</v>
      </c>
      <c r="E179" s="5">
        <f>VLOOKUP($D179,股期名單!$L:$M,2,FALSE)</f>
        <v>2000</v>
      </c>
      <c r="F179" s="5" t="str">
        <f t="shared" si="37"/>
        <v>PEFB1</v>
      </c>
      <c r="G179" s="7">
        <f t="shared" si="39"/>
        <v>0.14455611390284759</v>
      </c>
      <c r="H179" s="5">
        <f>VLOOKUP($F179,DDE!$A:$AJ,H$1,FALSE)</f>
        <v>8.6300000000000008</v>
      </c>
      <c r="I179" s="5">
        <f>VLOOKUP($F179,DDE!$A:$AJ,I$1,FALSE)</f>
        <v>13895.21</v>
      </c>
      <c r="J179" s="5" t="str">
        <f>VLOOKUP($F179,DDE!$A:$AJ,J$1,FALSE)</f>
        <v xml:space="preserve"> -</v>
      </c>
      <c r="K179" s="5" t="str">
        <f>VLOOKUP($F179,DDE!$A:$AJ,K$1,FALSE)</f>
        <v xml:space="preserve"> -</v>
      </c>
      <c r="L179" s="5">
        <f>VLOOKUP($F179,DDE!$A:$AJ,L$1,FALSE)</f>
        <v>872940</v>
      </c>
      <c r="M179" s="5">
        <f>VLOOKUP($F179,DDE!$A:$AJ,M$1,FALSE)</f>
        <v>13893.03</v>
      </c>
      <c r="N179" s="5">
        <f>VLOOKUP($F179,DDE!$A:$AJ,N$1,FALSE)</f>
        <v>13945.78</v>
      </c>
      <c r="O179" s="5">
        <f>VLOOKUP($F179,DDE!$A:$AJ,O$1,FALSE)</f>
        <v>13875.82</v>
      </c>
      <c r="P179" s="5" t="str">
        <f>VLOOKUP($F179,DDE!$A:$AJ,P$1,FALSE)</f>
        <v xml:space="preserve"> -</v>
      </c>
      <c r="Q179" s="5" t="str">
        <f>VLOOKUP($F179,DDE!$A:$AJ,Q$1,FALSE)</f>
        <v xml:space="preserve"> -</v>
      </c>
      <c r="R179" s="5">
        <f t="shared" si="47"/>
        <v>13886.58</v>
      </c>
      <c r="S179" s="5">
        <f>VLOOKUP(D179,cmoney!$A:$M,12,FALSE)</f>
        <v>59.7</v>
      </c>
      <c r="U179" s="5" t="str">
        <f t="shared" si="40"/>
        <v/>
      </c>
      <c r="V179" s="5" t="str">
        <f t="shared" si="41"/>
        <v>5425</v>
      </c>
      <c r="W179" s="5" t="str">
        <f t="shared" si="42"/>
        <v>台半</v>
      </c>
      <c r="X179" s="5" t="str">
        <f t="shared" si="43"/>
        <v>PEF</v>
      </c>
      <c r="Y179" s="49">
        <f>VLOOKUP($X179,股期名單!$L:$M,2,FALSE)</f>
        <v>2000</v>
      </c>
      <c r="Z179" s="5" t="str">
        <f t="shared" si="44"/>
        <v>PEFC1</v>
      </c>
      <c r="AA179" s="7">
        <f t="shared" si="45"/>
        <v>0.14455611390284759</v>
      </c>
      <c r="AB179" s="5">
        <f>VLOOKUP($F179,DDE!$A:$AJ,AB$1,FALSE)</f>
        <v>8.6300000000000008</v>
      </c>
      <c r="AC179" s="5">
        <f>VLOOKUP($F179,DDE!$A:$AJ,AC$1,FALSE)</f>
        <v>13895.21</v>
      </c>
      <c r="AD179" s="5" t="str">
        <f>VLOOKUP($F179,DDE!$A:$AJ,AD$1,FALSE)</f>
        <v xml:space="preserve"> -</v>
      </c>
      <c r="AE179" s="5" t="str">
        <f>VLOOKUP($F179,DDE!$A:$AJ,AE$1,FALSE)</f>
        <v xml:space="preserve"> -</v>
      </c>
      <c r="AF179" s="5">
        <f>VLOOKUP($F179,DDE!$A:$AJ,AF$1,FALSE)</f>
        <v>872940</v>
      </c>
      <c r="AG179" s="5">
        <f>VLOOKUP($F179,DDE!$A:$AJ,AG$1,FALSE)</f>
        <v>13893.03</v>
      </c>
      <c r="AH179" s="5">
        <f>VLOOKUP($F179,DDE!$A:$AJ,AH$1,FALSE)</f>
        <v>13945.78</v>
      </c>
      <c r="AI179" s="5">
        <f>VLOOKUP($F179,DDE!$A:$AJ,AI$1,FALSE)</f>
        <v>13875.82</v>
      </c>
      <c r="AJ179" s="5" t="str">
        <f>VLOOKUP($F179,DDE!$A:$AJ,AJ$1,FALSE)</f>
        <v xml:space="preserve"> -</v>
      </c>
      <c r="AK179" s="5" t="str">
        <f>VLOOKUP($F179,DDE!$A:$AJ,AK$1,FALSE)</f>
        <v xml:space="preserve"> -</v>
      </c>
      <c r="AL179" s="5">
        <f t="shared" si="46"/>
        <v>13886.58</v>
      </c>
      <c r="AM179" s="5">
        <f>VLOOKUP(X179,cmoney!$A:$M,12,FALSE)</f>
        <v>59.7</v>
      </c>
    </row>
    <row r="180" spans="1:39" x14ac:dyDescent="0.25">
      <c r="A180" s="5" t="str">
        <f t="shared" si="38"/>
        <v/>
      </c>
      <c r="B180" s="5" t="s">
        <v>815</v>
      </c>
      <c r="C180" s="5" t="s">
        <v>631</v>
      </c>
      <c r="D180" s="5" t="s">
        <v>1062</v>
      </c>
      <c r="E180" s="5">
        <f>VLOOKUP($D180,股期名單!$L:$M,2,FALSE)</f>
        <v>2000</v>
      </c>
      <c r="F180" s="5" t="str">
        <f t="shared" si="37"/>
        <v>PPFB1</v>
      </c>
      <c r="G180" s="7" t="e">
        <f t="shared" si="39"/>
        <v>#VALUE!</v>
      </c>
      <c r="H180" s="5" t="str">
        <f>VLOOKUP($F180,DDE!$A:$AJ,H$1,FALSE)</f>
        <v xml:space="preserve"> </v>
      </c>
      <c r="I180" s="5">
        <f>VLOOKUP($F180,DDE!$A:$AJ,I$1,FALSE)</f>
        <v>20878632</v>
      </c>
      <c r="J180" s="5" t="str">
        <f>VLOOKUP($F180,DDE!$A:$AJ,J$1,FALSE)</f>
        <v xml:space="preserve"> -</v>
      </c>
      <c r="K180" s="5" t="str">
        <f>VLOOKUP($F180,DDE!$A:$AJ,K$1,FALSE)</f>
        <v xml:space="preserve"> -</v>
      </c>
      <c r="L180" s="5">
        <f>VLOOKUP($F180,DDE!$A:$AJ,L$1,FALSE)</f>
        <v>2088371110</v>
      </c>
      <c r="M180" s="5">
        <f>VLOOKUP($F180,DDE!$A:$AJ,M$1,FALSE)</f>
        <v>20803788</v>
      </c>
      <c r="N180" s="5">
        <f>VLOOKUP($F180,DDE!$A:$AJ,N$1,FALSE)</f>
        <v>20804690</v>
      </c>
      <c r="O180" s="5">
        <f>VLOOKUP($F180,DDE!$A:$AJ,O$1,FALSE)</f>
        <v>10989732</v>
      </c>
      <c r="P180" s="5" t="str">
        <f>VLOOKUP($F180,DDE!$A:$AJ,P$1,FALSE)</f>
        <v xml:space="preserve"> -</v>
      </c>
      <c r="Q180" s="5" t="str">
        <f>VLOOKUP($F180,DDE!$A:$AJ,Q$1,FALSE)</f>
        <v xml:space="preserve"> -</v>
      </c>
      <c r="R180" s="5" t="e">
        <f t="shared" si="47"/>
        <v>#VALUE!</v>
      </c>
      <c r="S180" s="5">
        <f>VLOOKUP(D180,cmoney!$A:$M,12,FALSE)</f>
        <v>96.8</v>
      </c>
      <c r="U180" s="5" t="str">
        <f t="shared" si="40"/>
        <v/>
      </c>
      <c r="V180" s="5" t="str">
        <f t="shared" si="41"/>
        <v>5457</v>
      </c>
      <c r="W180" s="5" t="str">
        <f t="shared" si="42"/>
        <v>宣德</v>
      </c>
      <c r="X180" s="5" t="str">
        <f t="shared" si="43"/>
        <v>PPF</v>
      </c>
      <c r="Y180" s="49">
        <f>VLOOKUP($X180,股期名單!$L:$M,2,FALSE)</f>
        <v>2000</v>
      </c>
      <c r="Z180" s="5" t="str">
        <f t="shared" si="44"/>
        <v>PPFC1</v>
      </c>
      <c r="AA180" s="7" t="e">
        <f t="shared" si="45"/>
        <v>#VALUE!</v>
      </c>
      <c r="AB180" s="5" t="str">
        <f>VLOOKUP($F180,DDE!$A:$AJ,AB$1,FALSE)</f>
        <v xml:space="preserve"> </v>
      </c>
      <c r="AC180" s="5">
        <f>VLOOKUP($F180,DDE!$A:$AJ,AC$1,FALSE)</f>
        <v>20878632</v>
      </c>
      <c r="AD180" s="5" t="str">
        <f>VLOOKUP($F180,DDE!$A:$AJ,AD$1,FALSE)</f>
        <v xml:space="preserve"> -</v>
      </c>
      <c r="AE180" s="5" t="str">
        <f>VLOOKUP($F180,DDE!$A:$AJ,AE$1,FALSE)</f>
        <v xml:space="preserve"> -</v>
      </c>
      <c r="AF180" s="5">
        <f>VLOOKUP($F180,DDE!$A:$AJ,AF$1,FALSE)</f>
        <v>2088371110</v>
      </c>
      <c r="AG180" s="5">
        <f>VLOOKUP($F180,DDE!$A:$AJ,AG$1,FALSE)</f>
        <v>20803788</v>
      </c>
      <c r="AH180" s="5">
        <f>VLOOKUP($F180,DDE!$A:$AJ,AH$1,FALSE)</f>
        <v>20804690</v>
      </c>
      <c r="AI180" s="5">
        <f>VLOOKUP($F180,DDE!$A:$AJ,AI$1,FALSE)</f>
        <v>10989732</v>
      </c>
      <c r="AJ180" s="5" t="str">
        <f>VLOOKUP($F180,DDE!$A:$AJ,AJ$1,FALSE)</f>
        <v xml:space="preserve"> -</v>
      </c>
      <c r="AK180" s="5" t="str">
        <f>VLOOKUP($F180,DDE!$A:$AJ,AK$1,FALSE)</f>
        <v xml:space="preserve"> -</v>
      </c>
      <c r="AL180" s="5" t="e">
        <f t="shared" si="46"/>
        <v>#VALUE!</v>
      </c>
      <c r="AM180" s="5">
        <f>VLOOKUP(X180,cmoney!$A:$M,12,FALSE)</f>
        <v>96.8</v>
      </c>
    </row>
    <row r="181" spans="1:39" x14ac:dyDescent="0.25">
      <c r="A181" s="5" t="str">
        <f t="shared" si="38"/>
        <v/>
      </c>
      <c r="B181" s="5" t="s">
        <v>783</v>
      </c>
      <c r="C181" s="5" t="s">
        <v>494</v>
      </c>
      <c r="D181" s="5" t="s">
        <v>1063</v>
      </c>
      <c r="E181" s="5">
        <f>VLOOKUP($D181,股期名單!$L:$M,2,FALSE)</f>
        <v>2000</v>
      </c>
      <c r="F181" s="5" t="str">
        <f t="shared" si="37"/>
        <v>NOFB1</v>
      </c>
      <c r="G181" s="7">
        <f t="shared" si="39"/>
        <v>-0.12323699421965319</v>
      </c>
      <c r="H181" s="5">
        <f>VLOOKUP($F181,DDE!$A:$AJ,H$1,FALSE)</f>
        <v>-21.32</v>
      </c>
      <c r="I181" s="5">
        <f>VLOOKUP($F181,DDE!$A:$AJ,I$1,FALSE)</f>
        <v>16422.080000000002</v>
      </c>
      <c r="J181" s="5" t="str">
        <f>VLOOKUP($F181,DDE!$A:$AJ,J$1,FALSE)</f>
        <v xml:space="preserve"> -</v>
      </c>
      <c r="K181" s="5" t="str">
        <f>VLOOKUP($F181,DDE!$A:$AJ,K$1,FALSE)</f>
        <v xml:space="preserve"> -</v>
      </c>
      <c r="L181" s="5">
        <f>VLOOKUP($F181,DDE!$A:$AJ,L$1,FALSE)</f>
        <v>4018459</v>
      </c>
      <c r="M181" s="5">
        <f>VLOOKUP($F181,DDE!$A:$AJ,M$1,FALSE)</f>
        <v>16329.54</v>
      </c>
      <c r="N181" s="5">
        <f>VLOOKUP($F181,DDE!$A:$AJ,N$1,FALSE)</f>
        <v>16456.939999999999</v>
      </c>
      <c r="O181" s="5">
        <f>VLOOKUP($F181,DDE!$A:$AJ,O$1,FALSE)</f>
        <v>16329.54</v>
      </c>
      <c r="P181" s="5" t="str">
        <f>VLOOKUP($F181,DDE!$A:$AJ,P$1,FALSE)</f>
        <v xml:space="preserve"> -</v>
      </c>
      <c r="Q181" s="5" t="str">
        <f>VLOOKUP($F181,DDE!$A:$AJ,Q$1,FALSE)</f>
        <v xml:space="preserve"> -</v>
      </c>
      <c r="R181" s="5">
        <f t="shared" si="47"/>
        <v>16443.400000000001</v>
      </c>
      <c r="S181" s="5">
        <f>VLOOKUP(D181,cmoney!$A:$M,12,FALSE)</f>
        <v>173</v>
      </c>
      <c r="U181" s="5" t="str">
        <f t="shared" si="40"/>
        <v/>
      </c>
      <c r="V181" s="5" t="str">
        <f t="shared" si="41"/>
        <v>5483</v>
      </c>
      <c r="W181" s="5" t="str">
        <f t="shared" si="42"/>
        <v>中美晶</v>
      </c>
      <c r="X181" s="5" t="str">
        <f t="shared" si="43"/>
        <v>NOF</v>
      </c>
      <c r="Y181" s="49">
        <f>VLOOKUP($X181,股期名單!$L:$M,2,FALSE)</f>
        <v>2000</v>
      </c>
      <c r="Z181" s="5" t="str">
        <f t="shared" si="44"/>
        <v>NOFC1</v>
      </c>
      <c r="AA181" s="7">
        <f t="shared" si="45"/>
        <v>-0.12323699421965319</v>
      </c>
      <c r="AB181" s="5">
        <f>VLOOKUP($F181,DDE!$A:$AJ,AB$1,FALSE)</f>
        <v>-21.32</v>
      </c>
      <c r="AC181" s="5">
        <f>VLOOKUP($F181,DDE!$A:$AJ,AC$1,FALSE)</f>
        <v>16422.080000000002</v>
      </c>
      <c r="AD181" s="5" t="str">
        <f>VLOOKUP($F181,DDE!$A:$AJ,AD$1,FALSE)</f>
        <v xml:space="preserve"> -</v>
      </c>
      <c r="AE181" s="5" t="str">
        <f>VLOOKUP($F181,DDE!$A:$AJ,AE$1,FALSE)</f>
        <v xml:space="preserve"> -</v>
      </c>
      <c r="AF181" s="5">
        <f>VLOOKUP($F181,DDE!$A:$AJ,AF$1,FALSE)</f>
        <v>4018459</v>
      </c>
      <c r="AG181" s="5">
        <f>VLOOKUP($F181,DDE!$A:$AJ,AG$1,FALSE)</f>
        <v>16329.54</v>
      </c>
      <c r="AH181" s="5">
        <f>VLOOKUP($F181,DDE!$A:$AJ,AH$1,FALSE)</f>
        <v>16456.939999999999</v>
      </c>
      <c r="AI181" s="5">
        <f>VLOOKUP($F181,DDE!$A:$AJ,AI$1,FALSE)</f>
        <v>16329.54</v>
      </c>
      <c r="AJ181" s="5" t="str">
        <f>VLOOKUP($F181,DDE!$A:$AJ,AJ$1,FALSE)</f>
        <v xml:space="preserve"> -</v>
      </c>
      <c r="AK181" s="5" t="str">
        <f>VLOOKUP($F181,DDE!$A:$AJ,AK$1,FALSE)</f>
        <v xml:space="preserve"> -</v>
      </c>
      <c r="AL181" s="5">
        <f t="shared" si="46"/>
        <v>16443.400000000001</v>
      </c>
      <c r="AM181" s="5">
        <f>VLOOKUP(X181,cmoney!$A:$M,12,FALSE)</f>
        <v>173</v>
      </c>
    </row>
    <row r="182" spans="1:39" x14ac:dyDescent="0.25">
      <c r="A182" s="5" t="str">
        <f t="shared" si="38"/>
        <v/>
      </c>
      <c r="B182" s="5" t="s">
        <v>736</v>
      </c>
      <c r="C182" s="5" t="s">
        <v>353</v>
      </c>
      <c r="D182" s="5" t="s">
        <v>1064</v>
      </c>
      <c r="E182" s="5">
        <f>VLOOKUP($D182,股期名單!$L:$M,2,FALSE)</f>
        <v>2000</v>
      </c>
      <c r="F182" s="5" t="str">
        <f t="shared" si="37"/>
        <v>JWFB1</v>
      </c>
      <c r="G182" s="7">
        <f t="shared" si="39"/>
        <v>-0.22629674306393247</v>
      </c>
      <c r="H182" s="5">
        <f>VLOOKUP($F182,DDE!$A:$AJ,H$1,FALSE)</f>
        <v>-18.760000000000002</v>
      </c>
      <c r="I182" s="5">
        <f>VLOOKUP($F182,DDE!$A:$AJ,I$1,FALSE)</f>
        <v>16424.64</v>
      </c>
      <c r="J182" s="5" t="str">
        <f>VLOOKUP($F182,DDE!$A:$AJ,J$1,FALSE)</f>
        <v xml:space="preserve"> -</v>
      </c>
      <c r="K182" s="5" t="str">
        <f>VLOOKUP($F182,DDE!$A:$AJ,K$1,FALSE)</f>
        <v xml:space="preserve"> -</v>
      </c>
      <c r="L182" s="5">
        <f>VLOOKUP($F182,DDE!$A:$AJ,L$1,FALSE)</f>
        <v>4020107</v>
      </c>
      <c r="M182" s="5">
        <f>VLOOKUP($F182,DDE!$A:$AJ,M$1,FALSE)</f>
        <v>16329.54</v>
      </c>
      <c r="N182" s="5">
        <f>VLOOKUP($F182,DDE!$A:$AJ,N$1,FALSE)</f>
        <v>16456.939999999999</v>
      </c>
      <c r="O182" s="5">
        <f>VLOOKUP($F182,DDE!$A:$AJ,O$1,FALSE)</f>
        <v>16329.54</v>
      </c>
      <c r="P182" s="5" t="str">
        <f>VLOOKUP($F182,DDE!$A:$AJ,P$1,FALSE)</f>
        <v xml:space="preserve"> -</v>
      </c>
      <c r="Q182" s="5" t="str">
        <f>VLOOKUP($F182,DDE!$A:$AJ,Q$1,FALSE)</f>
        <v xml:space="preserve"> -</v>
      </c>
      <c r="R182" s="5">
        <f t="shared" si="47"/>
        <v>16443.399999999998</v>
      </c>
      <c r="S182" s="5">
        <f>VLOOKUP(D182,cmoney!$A:$M,12,FALSE)</f>
        <v>82.9</v>
      </c>
      <c r="U182" s="5" t="str">
        <f t="shared" si="40"/>
        <v/>
      </c>
      <c r="V182" s="5" t="str">
        <f t="shared" si="41"/>
        <v>5534</v>
      </c>
      <c r="W182" s="5" t="str">
        <f t="shared" si="42"/>
        <v>長虹</v>
      </c>
      <c r="X182" s="5" t="str">
        <f t="shared" si="43"/>
        <v>JWF</v>
      </c>
      <c r="Y182" s="49">
        <f>VLOOKUP($X182,股期名單!$L:$M,2,FALSE)</f>
        <v>2000</v>
      </c>
      <c r="Z182" s="5" t="str">
        <f t="shared" si="44"/>
        <v>JWFC1</v>
      </c>
      <c r="AA182" s="7">
        <f t="shared" si="45"/>
        <v>-0.22629674306393247</v>
      </c>
      <c r="AB182" s="5">
        <f>VLOOKUP($F182,DDE!$A:$AJ,AB$1,FALSE)</f>
        <v>-18.760000000000002</v>
      </c>
      <c r="AC182" s="5">
        <f>VLOOKUP($F182,DDE!$A:$AJ,AC$1,FALSE)</f>
        <v>16424.64</v>
      </c>
      <c r="AD182" s="5" t="str">
        <f>VLOOKUP($F182,DDE!$A:$AJ,AD$1,FALSE)</f>
        <v xml:space="preserve"> -</v>
      </c>
      <c r="AE182" s="5" t="str">
        <f>VLOOKUP($F182,DDE!$A:$AJ,AE$1,FALSE)</f>
        <v xml:space="preserve"> -</v>
      </c>
      <c r="AF182" s="5">
        <f>VLOOKUP($F182,DDE!$A:$AJ,AF$1,FALSE)</f>
        <v>4020107</v>
      </c>
      <c r="AG182" s="5">
        <f>VLOOKUP($F182,DDE!$A:$AJ,AG$1,FALSE)</f>
        <v>16329.54</v>
      </c>
      <c r="AH182" s="5">
        <f>VLOOKUP($F182,DDE!$A:$AJ,AH$1,FALSE)</f>
        <v>16456.939999999999</v>
      </c>
      <c r="AI182" s="5">
        <f>VLOOKUP($F182,DDE!$A:$AJ,AI$1,FALSE)</f>
        <v>16329.54</v>
      </c>
      <c r="AJ182" s="5" t="str">
        <f>VLOOKUP($F182,DDE!$A:$AJ,AJ$1,FALSE)</f>
        <v xml:space="preserve"> -</v>
      </c>
      <c r="AK182" s="5" t="str">
        <f>VLOOKUP($F182,DDE!$A:$AJ,AK$1,FALSE)</f>
        <v xml:space="preserve"> -</v>
      </c>
      <c r="AL182" s="5">
        <f t="shared" si="46"/>
        <v>16443.399999999998</v>
      </c>
      <c r="AM182" s="5">
        <f>VLOOKUP(X182,cmoney!$A:$M,12,FALSE)</f>
        <v>82.9</v>
      </c>
    </row>
    <row r="183" spans="1:39" x14ac:dyDescent="0.25">
      <c r="A183" s="5" t="str">
        <f t="shared" si="38"/>
        <v/>
      </c>
      <c r="B183" s="5" t="s">
        <v>761</v>
      </c>
      <c r="C183" s="5" t="s">
        <v>428</v>
      </c>
      <c r="D183" s="5" t="s">
        <v>1065</v>
      </c>
      <c r="E183" s="5">
        <f>VLOOKUP($D183,股期名單!$L:$M,2,FALSE)</f>
        <v>2000</v>
      </c>
      <c r="F183" s="5" t="str">
        <f t="shared" si="37"/>
        <v>LVFB1</v>
      </c>
      <c r="G183" s="7">
        <f t="shared" si="39"/>
        <v>-8.292957746478874E-2</v>
      </c>
      <c r="H183" s="5">
        <f>VLOOKUP($F183,DDE!$A:$AJ,H$1,FALSE)</f>
        <v>-14.72</v>
      </c>
      <c r="I183" s="5">
        <f>VLOOKUP($F183,DDE!$A:$AJ,I$1,FALSE)</f>
        <v>16428.68</v>
      </c>
      <c r="J183" s="5" t="str">
        <f>VLOOKUP($F183,DDE!$A:$AJ,J$1,FALSE)</f>
        <v xml:space="preserve"> -</v>
      </c>
      <c r="K183" s="5" t="str">
        <f>VLOOKUP($F183,DDE!$A:$AJ,K$1,FALSE)</f>
        <v xml:space="preserve"> -</v>
      </c>
      <c r="L183" s="5">
        <f>VLOOKUP($F183,DDE!$A:$AJ,L$1,FALSE)</f>
        <v>4022793</v>
      </c>
      <c r="M183" s="5">
        <f>VLOOKUP($F183,DDE!$A:$AJ,M$1,FALSE)</f>
        <v>16329.54</v>
      </c>
      <c r="N183" s="5">
        <f>VLOOKUP($F183,DDE!$A:$AJ,N$1,FALSE)</f>
        <v>16456.939999999999</v>
      </c>
      <c r="O183" s="5">
        <f>VLOOKUP($F183,DDE!$A:$AJ,O$1,FALSE)</f>
        <v>16329.54</v>
      </c>
      <c r="P183" s="5" t="str">
        <f>VLOOKUP($F183,DDE!$A:$AJ,P$1,FALSE)</f>
        <v xml:space="preserve"> -</v>
      </c>
      <c r="Q183" s="5" t="str">
        <f>VLOOKUP($F183,DDE!$A:$AJ,Q$1,FALSE)</f>
        <v xml:space="preserve"> -</v>
      </c>
      <c r="R183" s="5">
        <f t="shared" si="47"/>
        <v>16443.400000000001</v>
      </c>
      <c r="S183" s="5">
        <f>VLOOKUP(D183,cmoney!$A:$M,12,FALSE)</f>
        <v>177.5</v>
      </c>
      <c r="U183" s="5" t="str">
        <f t="shared" si="40"/>
        <v/>
      </c>
      <c r="V183" s="5" t="str">
        <f t="shared" si="41"/>
        <v>5871</v>
      </c>
      <c r="W183" s="5" t="str">
        <f t="shared" si="42"/>
        <v>中租-KY</v>
      </c>
      <c r="X183" s="5" t="str">
        <f t="shared" si="43"/>
        <v>LVF</v>
      </c>
      <c r="Y183" s="49">
        <f>VLOOKUP($X183,股期名單!$L:$M,2,FALSE)</f>
        <v>2000</v>
      </c>
      <c r="Z183" s="5" t="str">
        <f t="shared" si="44"/>
        <v>LVFC1</v>
      </c>
      <c r="AA183" s="7">
        <f t="shared" si="45"/>
        <v>-8.292957746478874E-2</v>
      </c>
      <c r="AB183" s="5">
        <f>VLOOKUP($F183,DDE!$A:$AJ,AB$1,FALSE)</f>
        <v>-14.72</v>
      </c>
      <c r="AC183" s="5">
        <f>VLOOKUP($F183,DDE!$A:$AJ,AC$1,FALSE)</f>
        <v>16428.68</v>
      </c>
      <c r="AD183" s="5" t="str">
        <f>VLOOKUP($F183,DDE!$A:$AJ,AD$1,FALSE)</f>
        <v xml:space="preserve"> -</v>
      </c>
      <c r="AE183" s="5" t="str">
        <f>VLOOKUP($F183,DDE!$A:$AJ,AE$1,FALSE)</f>
        <v xml:space="preserve"> -</v>
      </c>
      <c r="AF183" s="5">
        <f>VLOOKUP($F183,DDE!$A:$AJ,AF$1,FALSE)</f>
        <v>4022793</v>
      </c>
      <c r="AG183" s="5">
        <f>VLOOKUP($F183,DDE!$A:$AJ,AG$1,FALSE)</f>
        <v>16329.54</v>
      </c>
      <c r="AH183" s="5">
        <f>VLOOKUP($F183,DDE!$A:$AJ,AH$1,FALSE)</f>
        <v>16456.939999999999</v>
      </c>
      <c r="AI183" s="5">
        <f>VLOOKUP($F183,DDE!$A:$AJ,AI$1,FALSE)</f>
        <v>16329.54</v>
      </c>
      <c r="AJ183" s="5" t="str">
        <f>VLOOKUP($F183,DDE!$A:$AJ,AJ$1,FALSE)</f>
        <v xml:space="preserve"> -</v>
      </c>
      <c r="AK183" s="5" t="str">
        <f>VLOOKUP($F183,DDE!$A:$AJ,AK$1,FALSE)</f>
        <v xml:space="preserve"> -</v>
      </c>
      <c r="AL183" s="5">
        <f t="shared" si="46"/>
        <v>16443.400000000001</v>
      </c>
      <c r="AM183" s="5">
        <f>VLOOKUP(X183,cmoney!$A:$M,12,FALSE)</f>
        <v>177.5</v>
      </c>
    </row>
    <row r="184" spans="1:39" x14ac:dyDescent="0.25">
      <c r="A184" s="5" t="str">
        <f t="shared" si="38"/>
        <v/>
      </c>
      <c r="B184" s="5" t="s">
        <v>756</v>
      </c>
      <c r="C184" s="5" t="s">
        <v>413</v>
      </c>
      <c r="D184" s="5" t="s">
        <v>1066</v>
      </c>
      <c r="E184" s="5">
        <f>VLOOKUP($D184,股期名單!$L:$M,2,FALSE)</f>
        <v>2000</v>
      </c>
      <c r="F184" s="5" t="str">
        <f t="shared" si="37"/>
        <v>LOFB1</v>
      </c>
      <c r="G184" s="7">
        <f t="shared" si="39"/>
        <v>-1.0782178217821783</v>
      </c>
      <c r="H184" s="5">
        <f>VLOOKUP($F184,DDE!$A:$AJ,H$1,FALSE)</f>
        <v>-21.78</v>
      </c>
      <c r="I184" s="5">
        <f>VLOOKUP($F184,DDE!$A:$AJ,I$1,FALSE)</f>
        <v>16421.62</v>
      </c>
      <c r="J184" s="5" t="str">
        <f>VLOOKUP($F184,DDE!$A:$AJ,J$1,FALSE)</f>
        <v xml:space="preserve"> -</v>
      </c>
      <c r="K184" s="5" t="str">
        <f>VLOOKUP($F184,DDE!$A:$AJ,K$1,FALSE)</f>
        <v xml:space="preserve"> -</v>
      </c>
      <c r="L184" s="5">
        <f>VLOOKUP($F184,DDE!$A:$AJ,L$1,FALSE)</f>
        <v>4027056</v>
      </c>
      <c r="M184" s="5">
        <f>VLOOKUP($F184,DDE!$A:$AJ,M$1,FALSE)</f>
        <v>16329.54</v>
      </c>
      <c r="N184" s="5">
        <f>VLOOKUP($F184,DDE!$A:$AJ,N$1,FALSE)</f>
        <v>16456.939999999999</v>
      </c>
      <c r="O184" s="5">
        <f>VLOOKUP($F184,DDE!$A:$AJ,O$1,FALSE)</f>
        <v>16329.54</v>
      </c>
      <c r="P184" s="5" t="str">
        <f>VLOOKUP($F184,DDE!$A:$AJ,P$1,FALSE)</f>
        <v xml:space="preserve"> -</v>
      </c>
      <c r="Q184" s="5" t="str">
        <f>VLOOKUP($F184,DDE!$A:$AJ,Q$1,FALSE)</f>
        <v xml:space="preserve"> -</v>
      </c>
      <c r="R184" s="5">
        <f t="shared" si="47"/>
        <v>16443.399999999998</v>
      </c>
      <c r="S184" s="5">
        <f>VLOOKUP(D184,cmoney!$A:$M,12,FALSE)</f>
        <v>20.2</v>
      </c>
      <c r="U184" s="5" t="str">
        <f t="shared" si="40"/>
        <v/>
      </c>
      <c r="V184" s="5" t="str">
        <f t="shared" si="41"/>
        <v>5880</v>
      </c>
      <c r="W184" s="5" t="str">
        <f t="shared" si="42"/>
        <v>合庫金</v>
      </c>
      <c r="X184" s="5" t="str">
        <f t="shared" si="43"/>
        <v>LOF</v>
      </c>
      <c r="Y184" s="49">
        <f>VLOOKUP($X184,股期名單!$L:$M,2,FALSE)</f>
        <v>2000</v>
      </c>
      <c r="Z184" s="5" t="str">
        <f t="shared" si="44"/>
        <v>LOFC1</v>
      </c>
      <c r="AA184" s="7">
        <f t="shared" si="45"/>
        <v>-1.0782178217821783</v>
      </c>
      <c r="AB184" s="5">
        <f>VLOOKUP($F184,DDE!$A:$AJ,AB$1,FALSE)</f>
        <v>-21.78</v>
      </c>
      <c r="AC184" s="5">
        <f>VLOOKUP($F184,DDE!$A:$AJ,AC$1,FALSE)</f>
        <v>16421.62</v>
      </c>
      <c r="AD184" s="5" t="str">
        <f>VLOOKUP($F184,DDE!$A:$AJ,AD$1,FALSE)</f>
        <v xml:space="preserve"> -</v>
      </c>
      <c r="AE184" s="5" t="str">
        <f>VLOOKUP($F184,DDE!$A:$AJ,AE$1,FALSE)</f>
        <v xml:space="preserve"> -</v>
      </c>
      <c r="AF184" s="5">
        <f>VLOOKUP($F184,DDE!$A:$AJ,AF$1,FALSE)</f>
        <v>4027056</v>
      </c>
      <c r="AG184" s="5">
        <f>VLOOKUP($F184,DDE!$A:$AJ,AG$1,FALSE)</f>
        <v>16329.54</v>
      </c>
      <c r="AH184" s="5">
        <f>VLOOKUP($F184,DDE!$A:$AJ,AH$1,FALSE)</f>
        <v>16456.939999999999</v>
      </c>
      <c r="AI184" s="5">
        <f>VLOOKUP($F184,DDE!$A:$AJ,AI$1,FALSE)</f>
        <v>16329.54</v>
      </c>
      <c r="AJ184" s="5" t="str">
        <f>VLOOKUP($F184,DDE!$A:$AJ,AJ$1,FALSE)</f>
        <v xml:space="preserve"> -</v>
      </c>
      <c r="AK184" s="5" t="str">
        <f>VLOOKUP($F184,DDE!$A:$AJ,AK$1,FALSE)</f>
        <v xml:space="preserve"> -</v>
      </c>
      <c r="AL184" s="5">
        <f t="shared" si="46"/>
        <v>16443.399999999998</v>
      </c>
      <c r="AM184" s="5">
        <f>VLOOKUP(X184,cmoney!$A:$M,12,FALSE)</f>
        <v>20.2</v>
      </c>
    </row>
    <row r="185" spans="1:39" x14ac:dyDescent="0.25">
      <c r="A185" s="5" t="str">
        <f t="shared" si="38"/>
        <v/>
      </c>
      <c r="B185" s="5" t="s">
        <v>791</v>
      </c>
      <c r="C185" s="5" t="s">
        <v>538</v>
      </c>
      <c r="D185" s="5" t="s">
        <v>1067</v>
      </c>
      <c r="E185" s="5">
        <f>VLOOKUP($D185,股期名單!$L:$M,2,FALSE)</f>
        <v>2000</v>
      </c>
      <c r="F185" s="5" t="str">
        <f t="shared" si="37"/>
        <v>OEFB1</v>
      </c>
      <c r="G185" s="7">
        <f t="shared" si="39"/>
        <v>-1.5494423791821561</v>
      </c>
      <c r="H185" s="5">
        <f>VLOOKUP($F185,DDE!$A:$AJ,H$1,FALSE)</f>
        <v>-20.84</v>
      </c>
      <c r="I185" s="5">
        <f>VLOOKUP($F185,DDE!$A:$AJ,I$1,FALSE)</f>
        <v>16422.560000000001</v>
      </c>
      <c r="J185" s="5" t="str">
        <f>VLOOKUP($F185,DDE!$A:$AJ,J$1,FALSE)</f>
        <v xml:space="preserve"> -</v>
      </c>
      <c r="K185" s="5" t="str">
        <f>VLOOKUP($F185,DDE!$A:$AJ,K$1,FALSE)</f>
        <v xml:space="preserve"> -</v>
      </c>
      <c r="L185" s="5">
        <f>VLOOKUP($F185,DDE!$A:$AJ,L$1,FALSE)</f>
        <v>4024617</v>
      </c>
      <c r="M185" s="5">
        <f>VLOOKUP($F185,DDE!$A:$AJ,M$1,FALSE)</f>
        <v>16329.54</v>
      </c>
      <c r="N185" s="5">
        <f>VLOOKUP($F185,DDE!$A:$AJ,N$1,FALSE)</f>
        <v>16456.939999999999</v>
      </c>
      <c r="O185" s="5">
        <f>VLOOKUP($F185,DDE!$A:$AJ,O$1,FALSE)</f>
        <v>16329.54</v>
      </c>
      <c r="P185" s="5" t="str">
        <f>VLOOKUP($F185,DDE!$A:$AJ,P$1,FALSE)</f>
        <v xml:space="preserve"> -</v>
      </c>
      <c r="Q185" s="5" t="str">
        <f>VLOOKUP($F185,DDE!$A:$AJ,Q$1,FALSE)</f>
        <v xml:space="preserve"> -</v>
      </c>
      <c r="R185" s="5">
        <f t="shared" si="47"/>
        <v>16443.400000000001</v>
      </c>
      <c r="S185" s="5">
        <f>VLOOKUP(D185,cmoney!$A:$M,12,FALSE)</f>
        <v>13.45</v>
      </c>
      <c r="U185" s="5" t="str">
        <f t="shared" si="40"/>
        <v/>
      </c>
      <c r="V185" s="5" t="str">
        <f t="shared" si="41"/>
        <v>6116</v>
      </c>
      <c r="W185" s="5" t="str">
        <f t="shared" si="42"/>
        <v>彩晶</v>
      </c>
      <c r="X185" s="5" t="str">
        <f t="shared" si="43"/>
        <v>OEF</v>
      </c>
      <c r="Y185" s="49">
        <f>VLOOKUP($X185,股期名單!$L:$M,2,FALSE)</f>
        <v>2000</v>
      </c>
      <c r="Z185" s="5" t="str">
        <f t="shared" si="44"/>
        <v>OEFC1</v>
      </c>
      <c r="AA185" s="7">
        <f t="shared" si="45"/>
        <v>-1.5494423791821561</v>
      </c>
      <c r="AB185" s="5">
        <f>VLOOKUP($F185,DDE!$A:$AJ,AB$1,FALSE)</f>
        <v>-20.84</v>
      </c>
      <c r="AC185" s="5">
        <f>VLOOKUP($F185,DDE!$A:$AJ,AC$1,FALSE)</f>
        <v>16422.560000000001</v>
      </c>
      <c r="AD185" s="5" t="str">
        <f>VLOOKUP($F185,DDE!$A:$AJ,AD$1,FALSE)</f>
        <v xml:space="preserve"> -</v>
      </c>
      <c r="AE185" s="5" t="str">
        <f>VLOOKUP($F185,DDE!$A:$AJ,AE$1,FALSE)</f>
        <v xml:space="preserve"> -</v>
      </c>
      <c r="AF185" s="5">
        <f>VLOOKUP($F185,DDE!$A:$AJ,AF$1,FALSE)</f>
        <v>4024617</v>
      </c>
      <c r="AG185" s="5">
        <f>VLOOKUP($F185,DDE!$A:$AJ,AG$1,FALSE)</f>
        <v>16329.54</v>
      </c>
      <c r="AH185" s="5">
        <f>VLOOKUP($F185,DDE!$A:$AJ,AH$1,FALSE)</f>
        <v>16456.939999999999</v>
      </c>
      <c r="AI185" s="5">
        <f>VLOOKUP($F185,DDE!$A:$AJ,AI$1,FALSE)</f>
        <v>16329.54</v>
      </c>
      <c r="AJ185" s="5" t="str">
        <f>VLOOKUP($F185,DDE!$A:$AJ,AJ$1,FALSE)</f>
        <v xml:space="preserve"> -</v>
      </c>
      <c r="AK185" s="5" t="str">
        <f>VLOOKUP($F185,DDE!$A:$AJ,AK$1,FALSE)</f>
        <v xml:space="preserve"> -</v>
      </c>
      <c r="AL185" s="5">
        <f t="shared" si="46"/>
        <v>16443.400000000001</v>
      </c>
      <c r="AM185" s="5">
        <f>VLOOKUP(X185,cmoney!$A:$M,12,FALSE)</f>
        <v>13.45</v>
      </c>
    </row>
    <row r="186" spans="1:39" x14ac:dyDescent="0.25">
      <c r="A186" s="5" t="str">
        <f t="shared" si="38"/>
        <v/>
      </c>
      <c r="B186" s="5" t="s">
        <v>784</v>
      </c>
      <c r="C186" s="5" t="s">
        <v>497</v>
      </c>
      <c r="D186" s="5" t="s">
        <v>1068</v>
      </c>
      <c r="E186" s="5">
        <f>VLOOKUP($D186,股期名單!$L:$M,2,FALSE)</f>
        <v>2000</v>
      </c>
      <c r="F186" s="5" t="str">
        <f t="shared" si="37"/>
        <v>NQFB1</v>
      </c>
      <c r="G186" s="7" t="e">
        <f t="shared" si="39"/>
        <v>#VALUE!</v>
      </c>
      <c r="H186" s="5" t="str">
        <f>VLOOKUP($F186,DDE!$A:$AJ,H$1,FALSE)</f>
        <v xml:space="preserve"> </v>
      </c>
      <c r="I186" s="5">
        <f>VLOOKUP($F186,DDE!$A:$AJ,I$1,FALSE)</f>
        <v>20878632</v>
      </c>
      <c r="J186" s="5" t="str">
        <f>VLOOKUP($F186,DDE!$A:$AJ,J$1,FALSE)</f>
        <v xml:space="preserve"> -</v>
      </c>
      <c r="K186" s="5" t="str">
        <f>VLOOKUP($F186,DDE!$A:$AJ,K$1,FALSE)</f>
        <v xml:space="preserve"> -</v>
      </c>
      <c r="L186" s="5">
        <f>VLOOKUP($F186,DDE!$A:$AJ,L$1,FALSE)</f>
        <v>2088371110</v>
      </c>
      <c r="M186" s="5">
        <f>VLOOKUP($F186,DDE!$A:$AJ,M$1,FALSE)</f>
        <v>20803788</v>
      </c>
      <c r="N186" s="5">
        <f>VLOOKUP($F186,DDE!$A:$AJ,N$1,FALSE)</f>
        <v>20804690</v>
      </c>
      <c r="O186" s="5">
        <f>VLOOKUP($F186,DDE!$A:$AJ,O$1,FALSE)</f>
        <v>10989732</v>
      </c>
      <c r="P186" s="5" t="str">
        <f>VLOOKUP($F186,DDE!$A:$AJ,P$1,FALSE)</f>
        <v xml:space="preserve"> -</v>
      </c>
      <c r="Q186" s="5" t="str">
        <f>VLOOKUP($F186,DDE!$A:$AJ,Q$1,FALSE)</f>
        <v xml:space="preserve"> -</v>
      </c>
      <c r="R186" s="5" t="e">
        <f t="shared" si="47"/>
        <v>#VALUE!</v>
      </c>
      <c r="S186" s="5">
        <f>VLOOKUP(D186,cmoney!$A:$M,12,FALSE)</f>
        <v>366.5</v>
      </c>
      <c r="U186" s="5" t="str">
        <f t="shared" si="40"/>
        <v/>
      </c>
      <c r="V186" s="5" t="str">
        <f t="shared" si="41"/>
        <v>6121</v>
      </c>
      <c r="W186" s="5" t="str">
        <f t="shared" si="42"/>
        <v>新普</v>
      </c>
      <c r="X186" s="5" t="str">
        <f t="shared" si="43"/>
        <v>NQF</v>
      </c>
      <c r="Y186" s="49">
        <f>VLOOKUP($X186,股期名單!$L:$M,2,FALSE)</f>
        <v>2000</v>
      </c>
      <c r="Z186" s="5" t="str">
        <f t="shared" si="44"/>
        <v>NQFC1</v>
      </c>
      <c r="AA186" s="7" t="e">
        <f t="shared" si="45"/>
        <v>#VALUE!</v>
      </c>
      <c r="AB186" s="5" t="str">
        <f>VLOOKUP($F186,DDE!$A:$AJ,AB$1,FALSE)</f>
        <v xml:space="preserve"> </v>
      </c>
      <c r="AC186" s="5">
        <f>VLOOKUP($F186,DDE!$A:$AJ,AC$1,FALSE)</f>
        <v>20878632</v>
      </c>
      <c r="AD186" s="5" t="str">
        <f>VLOOKUP($F186,DDE!$A:$AJ,AD$1,FALSE)</f>
        <v xml:space="preserve"> -</v>
      </c>
      <c r="AE186" s="5" t="str">
        <f>VLOOKUP($F186,DDE!$A:$AJ,AE$1,FALSE)</f>
        <v xml:space="preserve"> -</v>
      </c>
      <c r="AF186" s="5">
        <f>VLOOKUP($F186,DDE!$A:$AJ,AF$1,FALSE)</f>
        <v>2088371110</v>
      </c>
      <c r="AG186" s="5">
        <f>VLOOKUP($F186,DDE!$A:$AJ,AG$1,FALSE)</f>
        <v>20803788</v>
      </c>
      <c r="AH186" s="5">
        <f>VLOOKUP($F186,DDE!$A:$AJ,AH$1,FALSE)</f>
        <v>20804690</v>
      </c>
      <c r="AI186" s="5">
        <f>VLOOKUP($F186,DDE!$A:$AJ,AI$1,FALSE)</f>
        <v>10989732</v>
      </c>
      <c r="AJ186" s="5" t="str">
        <f>VLOOKUP($F186,DDE!$A:$AJ,AJ$1,FALSE)</f>
        <v xml:space="preserve"> -</v>
      </c>
      <c r="AK186" s="5" t="str">
        <f>VLOOKUP($F186,DDE!$A:$AJ,AK$1,FALSE)</f>
        <v xml:space="preserve"> -</v>
      </c>
      <c r="AL186" s="5" t="e">
        <f t="shared" si="46"/>
        <v>#VALUE!</v>
      </c>
      <c r="AM186" s="5">
        <f>VLOOKUP(X186,cmoney!$A:$M,12,FALSE)</f>
        <v>366.5</v>
      </c>
    </row>
    <row r="187" spans="1:39" x14ac:dyDescent="0.25">
      <c r="A187" s="5" t="str">
        <f t="shared" si="38"/>
        <v/>
      </c>
      <c r="B187" s="5" t="s">
        <v>785</v>
      </c>
      <c r="C187" s="5" t="s">
        <v>500</v>
      </c>
      <c r="D187" s="5" t="s">
        <v>1069</v>
      </c>
      <c r="E187" s="5">
        <f>VLOOKUP($D187,股期名單!$L:$M,2,FALSE)</f>
        <v>2000</v>
      </c>
      <c r="F187" s="5" t="str">
        <f t="shared" si="37"/>
        <v>NSFB1</v>
      </c>
      <c r="G187" s="7">
        <f t="shared" si="39"/>
        <v>-0.27973154362416108</v>
      </c>
      <c r="H187" s="5">
        <f>VLOOKUP($F187,DDE!$A:$AJ,H$1,FALSE)</f>
        <v>-20.84</v>
      </c>
      <c r="I187" s="5">
        <f>VLOOKUP($F187,DDE!$A:$AJ,I$1,FALSE)</f>
        <v>16422.560000000001</v>
      </c>
      <c r="J187" s="5" t="str">
        <f>VLOOKUP($F187,DDE!$A:$AJ,J$1,FALSE)</f>
        <v xml:space="preserve"> -</v>
      </c>
      <c r="K187" s="5" t="str">
        <f>VLOOKUP($F187,DDE!$A:$AJ,K$1,FALSE)</f>
        <v xml:space="preserve"> -</v>
      </c>
      <c r="L187" s="5">
        <f>VLOOKUP($F187,DDE!$A:$AJ,L$1,FALSE)</f>
        <v>4024617</v>
      </c>
      <c r="M187" s="5">
        <f>VLOOKUP($F187,DDE!$A:$AJ,M$1,FALSE)</f>
        <v>16329.54</v>
      </c>
      <c r="N187" s="5">
        <f>VLOOKUP($F187,DDE!$A:$AJ,N$1,FALSE)</f>
        <v>16456.939999999999</v>
      </c>
      <c r="O187" s="5">
        <f>VLOOKUP($F187,DDE!$A:$AJ,O$1,FALSE)</f>
        <v>16329.54</v>
      </c>
      <c r="P187" s="5" t="str">
        <f>VLOOKUP($F187,DDE!$A:$AJ,P$1,FALSE)</f>
        <v xml:space="preserve"> -</v>
      </c>
      <c r="Q187" s="5" t="str">
        <f>VLOOKUP($F187,DDE!$A:$AJ,Q$1,FALSE)</f>
        <v xml:space="preserve"> -</v>
      </c>
      <c r="R187" s="5">
        <f t="shared" si="47"/>
        <v>16443.400000000001</v>
      </c>
      <c r="S187" s="5">
        <f>VLOOKUP(D187,cmoney!$A:$M,12,FALSE)</f>
        <v>74.5</v>
      </c>
      <c r="U187" s="5" t="str">
        <f t="shared" si="40"/>
        <v/>
      </c>
      <c r="V187" s="5" t="str">
        <f t="shared" si="41"/>
        <v>6147</v>
      </c>
      <c r="W187" s="5" t="str">
        <f t="shared" si="42"/>
        <v>頎邦</v>
      </c>
      <c r="X187" s="5" t="str">
        <f t="shared" si="43"/>
        <v>NSF</v>
      </c>
      <c r="Y187" s="49">
        <f>VLOOKUP($X187,股期名單!$L:$M,2,FALSE)</f>
        <v>2000</v>
      </c>
      <c r="Z187" s="5" t="str">
        <f t="shared" si="44"/>
        <v>NSFC1</v>
      </c>
      <c r="AA187" s="7">
        <f t="shared" si="45"/>
        <v>-0.27973154362416108</v>
      </c>
      <c r="AB187" s="5">
        <f>VLOOKUP($F187,DDE!$A:$AJ,AB$1,FALSE)</f>
        <v>-20.84</v>
      </c>
      <c r="AC187" s="5">
        <f>VLOOKUP($F187,DDE!$A:$AJ,AC$1,FALSE)</f>
        <v>16422.560000000001</v>
      </c>
      <c r="AD187" s="5" t="str">
        <f>VLOOKUP($F187,DDE!$A:$AJ,AD$1,FALSE)</f>
        <v xml:space="preserve"> -</v>
      </c>
      <c r="AE187" s="5" t="str">
        <f>VLOOKUP($F187,DDE!$A:$AJ,AE$1,FALSE)</f>
        <v xml:space="preserve"> -</v>
      </c>
      <c r="AF187" s="5">
        <f>VLOOKUP($F187,DDE!$A:$AJ,AF$1,FALSE)</f>
        <v>4024617</v>
      </c>
      <c r="AG187" s="5">
        <f>VLOOKUP($F187,DDE!$A:$AJ,AG$1,FALSE)</f>
        <v>16329.54</v>
      </c>
      <c r="AH187" s="5">
        <f>VLOOKUP($F187,DDE!$A:$AJ,AH$1,FALSE)</f>
        <v>16456.939999999999</v>
      </c>
      <c r="AI187" s="5">
        <f>VLOOKUP($F187,DDE!$A:$AJ,AI$1,FALSE)</f>
        <v>16329.54</v>
      </c>
      <c r="AJ187" s="5" t="str">
        <f>VLOOKUP($F187,DDE!$A:$AJ,AJ$1,FALSE)</f>
        <v xml:space="preserve"> -</v>
      </c>
      <c r="AK187" s="5" t="str">
        <f>VLOOKUP($F187,DDE!$A:$AJ,AK$1,FALSE)</f>
        <v xml:space="preserve"> -</v>
      </c>
      <c r="AL187" s="5">
        <f t="shared" si="46"/>
        <v>16443.400000000001</v>
      </c>
      <c r="AM187" s="5">
        <f>VLOOKUP(X187,cmoney!$A:$M,12,FALSE)</f>
        <v>74.5</v>
      </c>
    </row>
    <row r="188" spans="1:39" x14ac:dyDescent="0.25">
      <c r="A188" s="5" t="str">
        <f t="shared" si="38"/>
        <v/>
      </c>
      <c r="B188" s="5" t="s">
        <v>737</v>
      </c>
      <c r="C188" s="5" t="s">
        <v>356</v>
      </c>
      <c r="D188" s="5" t="s">
        <v>1070</v>
      </c>
      <c r="E188" s="5">
        <f>VLOOKUP($D188,股期名單!$L:$M,2,FALSE)</f>
        <v>2000</v>
      </c>
      <c r="F188" s="5" t="str">
        <f t="shared" si="37"/>
        <v>JZFB1</v>
      </c>
      <c r="G188" s="7">
        <f t="shared" si="39"/>
        <v>-0.52111111111111119</v>
      </c>
      <c r="H188" s="5">
        <f>VLOOKUP($F188,DDE!$A:$AJ,H$1,FALSE)</f>
        <v>-18.760000000000002</v>
      </c>
      <c r="I188" s="5">
        <f>VLOOKUP($F188,DDE!$A:$AJ,I$1,FALSE)</f>
        <v>16424.64</v>
      </c>
      <c r="J188" s="5" t="str">
        <f>VLOOKUP($F188,DDE!$A:$AJ,J$1,FALSE)</f>
        <v xml:space="preserve"> -</v>
      </c>
      <c r="K188" s="5" t="str">
        <f>VLOOKUP($F188,DDE!$A:$AJ,K$1,FALSE)</f>
        <v xml:space="preserve"> -</v>
      </c>
      <c r="L188" s="5">
        <f>VLOOKUP($F188,DDE!$A:$AJ,L$1,FALSE)</f>
        <v>4020107</v>
      </c>
      <c r="M188" s="5">
        <f>VLOOKUP($F188,DDE!$A:$AJ,M$1,FALSE)</f>
        <v>16329.54</v>
      </c>
      <c r="N188" s="5">
        <f>VLOOKUP($F188,DDE!$A:$AJ,N$1,FALSE)</f>
        <v>16456.939999999999</v>
      </c>
      <c r="O188" s="5">
        <f>VLOOKUP($F188,DDE!$A:$AJ,O$1,FALSE)</f>
        <v>16329.54</v>
      </c>
      <c r="P188" s="5" t="str">
        <f>VLOOKUP($F188,DDE!$A:$AJ,P$1,FALSE)</f>
        <v xml:space="preserve"> -</v>
      </c>
      <c r="Q188" s="5" t="str">
        <f>VLOOKUP($F188,DDE!$A:$AJ,Q$1,FALSE)</f>
        <v xml:space="preserve"> -</v>
      </c>
      <c r="R188" s="5">
        <f t="shared" si="47"/>
        <v>16443.399999999998</v>
      </c>
      <c r="S188" s="5">
        <f>VLOOKUP(D188,cmoney!$A:$M,12,FALSE)</f>
        <v>36</v>
      </c>
      <c r="U188" s="5" t="str">
        <f t="shared" si="40"/>
        <v/>
      </c>
      <c r="V188" s="5" t="str">
        <f t="shared" si="41"/>
        <v>6153</v>
      </c>
      <c r="W188" s="5" t="str">
        <f t="shared" si="42"/>
        <v>嘉聯益</v>
      </c>
      <c r="X188" s="5" t="str">
        <f t="shared" si="43"/>
        <v>JZF</v>
      </c>
      <c r="Y188" s="49">
        <f>VLOOKUP($X188,股期名單!$L:$M,2,FALSE)</f>
        <v>2000</v>
      </c>
      <c r="Z188" s="5" t="str">
        <f t="shared" si="44"/>
        <v>JZFC1</v>
      </c>
      <c r="AA188" s="7">
        <f t="shared" si="45"/>
        <v>-0.52111111111111119</v>
      </c>
      <c r="AB188" s="5">
        <f>VLOOKUP($F188,DDE!$A:$AJ,AB$1,FALSE)</f>
        <v>-18.760000000000002</v>
      </c>
      <c r="AC188" s="5">
        <f>VLOOKUP($F188,DDE!$A:$AJ,AC$1,FALSE)</f>
        <v>16424.64</v>
      </c>
      <c r="AD188" s="5" t="str">
        <f>VLOOKUP($F188,DDE!$A:$AJ,AD$1,FALSE)</f>
        <v xml:space="preserve"> -</v>
      </c>
      <c r="AE188" s="5" t="str">
        <f>VLOOKUP($F188,DDE!$A:$AJ,AE$1,FALSE)</f>
        <v xml:space="preserve"> -</v>
      </c>
      <c r="AF188" s="5">
        <f>VLOOKUP($F188,DDE!$A:$AJ,AF$1,FALSE)</f>
        <v>4020107</v>
      </c>
      <c r="AG188" s="5">
        <f>VLOOKUP($F188,DDE!$A:$AJ,AG$1,FALSE)</f>
        <v>16329.54</v>
      </c>
      <c r="AH188" s="5">
        <f>VLOOKUP($F188,DDE!$A:$AJ,AH$1,FALSE)</f>
        <v>16456.939999999999</v>
      </c>
      <c r="AI188" s="5">
        <f>VLOOKUP($F188,DDE!$A:$AJ,AI$1,FALSE)</f>
        <v>16329.54</v>
      </c>
      <c r="AJ188" s="5" t="str">
        <f>VLOOKUP($F188,DDE!$A:$AJ,AJ$1,FALSE)</f>
        <v xml:space="preserve"> -</v>
      </c>
      <c r="AK188" s="5" t="str">
        <f>VLOOKUP($F188,DDE!$A:$AJ,AK$1,FALSE)</f>
        <v xml:space="preserve"> -</v>
      </c>
      <c r="AL188" s="5">
        <f t="shared" si="46"/>
        <v>16443.399999999998</v>
      </c>
      <c r="AM188" s="5">
        <f>VLOOKUP(X188,cmoney!$A:$M,12,FALSE)</f>
        <v>36</v>
      </c>
    </row>
    <row r="189" spans="1:39" x14ac:dyDescent="0.25">
      <c r="A189" s="5" t="str">
        <f t="shared" si="38"/>
        <v/>
      </c>
      <c r="B189" s="5" t="s">
        <v>811</v>
      </c>
      <c r="C189" s="5" t="s">
        <v>618</v>
      </c>
      <c r="D189" s="5" t="s">
        <v>1071</v>
      </c>
      <c r="E189" s="5">
        <f>VLOOKUP($D189,股期名單!$L:$M,2,FALSE)</f>
        <v>2000</v>
      </c>
      <c r="F189" s="5" t="str">
        <f t="shared" si="37"/>
        <v>PKFB1</v>
      </c>
      <c r="G189" s="7">
        <f t="shared" si="39"/>
        <v>-0.2718840579710145</v>
      </c>
      <c r="H189" s="5">
        <f>VLOOKUP($F189,DDE!$A:$AJ,H$1,FALSE)</f>
        <v>-18.760000000000002</v>
      </c>
      <c r="I189" s="5">
        <f>VLOOKUP($F189,DDE!$A:$AJ,I$1,FALSE)</f>
        <v>16424.64</v>
      </c>
      <c r="J189" s="5" t="str">
        <f>VLOOKUP($F189,DDE!$A:$AJ,J$1,FALSE)</f>
        <v xml:space="preserve"> -</v>
      </c>
      <c r="K189" s="5" t="str">
        <f>VLOOKUP($F189,DDE!$A:$AJ,K$1,FALSE)</f>
        <v xml:space="preserve"> -</v>
      </c>
      <c r="L189" s="5">
        <f>VLOOKUP($F189,DDE!$A:$AJ,L$1,FALSE)</f>
        <v>4020107</v>
      </c>
      <c r="M189" s="5">
        <f>VLOOKUP($F189,DDE!$A:$AJ,M$1,FALSE)</f>
        <v>16329.54</v>
      </c>
      <c r="N189" s="5">
        <f>VLOOKUP($F189,DDE!$A:$AJ,N$1,FALSE)</f>
        <v>16456.939999999999</v>
      </c>
      <c r="O189" s="5">
        <f>VLOOKUP($F189,DDE!$A:$AJ,O$1,FALSE)</f>
        <v>16329.54</v>
      </c>
      <c r="P189" s="5" t="str">
        <f>VLOOKUP($F189,DDE!$A:$AJ,P$1,FALSE)</f>
        <v xml:space="preserve"> -</v>
      </c>
      <c r="Q189" s="5" t="str">
        <f>VLOOKUP($F189,DDE!$A:$AJ,Q$1,FALSE)</f>
        <v xml:space="preserve"> -</v>
      </c>
      <c r="R189" s="5">
        <f t="shared" si="47"/>
        <v>16443.399999999998</v>
      </c>
      <c r="S189" s="5">
        <f>VLOOKUP(D189,cmoney!$A:$M,12,FALSE)</f>
        <v>69</v>
      </c>
      <c r="U189" s="5" t="str">
        <f t="shared" si="40"/>
        <v/>
      </c>
      <c r="V189" s="5" t="str">
        <f t="shared" si="41"/>
        <v>6173</v>
      </c>
      <c r="W189" s="5" t="str">
        <f t="shared" si="42"/>
        <v>信昌電</v>
      </c>
      <c r="X189" s="5" t="str">
        <f t="shared" si="43"/>
        <v>PKF</v>
      </c>
      <c r="Y189" s="49">
        <f>VLOOKUP($X189,股期名單!$L:$M,2,FALSE)</f>
        <v>2000</v>
      </c>
      <c r="Z189" s="5" t="str">
        <f t="shared" si="44"/>
        <v>PKFC1</v>
      </c>
      <c r="AA189" s="7">
        <f t="shared" si="45"/>
        <v>-0.2718840579710145</v>
      </c>
      <c r="AB189" s="5">
        <f>VLOOKUP($F189,DDE!$A:$AJ,AB$1,FALSE)</f>
        <v>-18.760000000000002</v>
      </c>
      <c r="AC189" s="5">
        <f>VLOOKUP($F189,DDE!$A:$AJ,AC$1,FALSE)</f>
        <v>16424.64</v>
      </c>
      <c r="AD189" s="5" t="str">
        <f>VLOOKUP($F189,DDE!$A:$AJ,AD$1,FALSE)</f>
        <v xml:space="preserve"> -</v>
      </c>
      <c r="AE189" s="5" t="str">
        <f>VLOOKUP($F189,DDE!$A:$AJ,AE$1,FALSE)</f>
        <v xml:space="preserve"> -</v>
      </c>
      <c r="AF189" s="5">
        <f>VLOOKUP($F189,DDE!$A:$AJ,AF$1,FALSE)</f>
        <v>4020107</v>
      </c>
      <c r="AG189" s="5">
        <f>VLOOKUP($F189,DDE!$A:$AJ,AG$1,FALSE)</f>
        <v>16329.54</v>
      </c>
      <c r="AH189" s="5">
        <f>VLOOKUP($F189,DDE!$A:$AJ,AH$1,FALSE)</f>
        <v>16456.939999999999</v>
      </c>
      <c r="AI189" s="5">
        <f>VLOOKUP($F189,DDE!$A:$AJ,AI$1,FALSE)</f>
        <v>16329.54</v>
      </c>
      <c r="AJ189" s="5" t="str">
        <f>VLOOKUP($F189,DDE!$A:$AJ,AJ$1,FALSE)</f>
        <v xml:space="preserve"> -</v>
      </c>
      <c r="AK189" s="5" t="str">
        <f>VLOOKUP($F189,DDE!$A:$AJ,AK$1,FALSE)</f>
        <v xml:space="preserve"> -</v>
      </c>
      <c r="AL189" s="5">
        <f t="shared" si="46"/>
        <v>16443.399999999998</v>
      </c>
      <c r="AM189" s="5">
        <f>VLOOKUP(X189,cmoney!$A:$M,12,FALSE)</f>
        <v>69</v>
      </c>
    </row>
    <row r="190" spans="1:39" x14ac:dyDescent="0.25">
      <c r="A190" s="5" t="str">
        <f t="shared" si="38"/>
        <v/>
      </c>
      <c r="B190" s="5" t="s">
        <v>738</v>
      </c>
      <c r="C190" s="5" t="s">
        <v>359</v>
      </c>
      <c r="D190" s="5" t="s">
        <v>1072</v>
      </c>
      <c r="E190" s="5">
        <f>VLOOKUP($D190,股期名單!$L:$M,2,FALSE)</f>
        <v>2000</v>
      </c>
      <c r="F190" s="5" t="str">
        <f t="shared" si="37"/>
        <v>KAFB1</v>
      </c>
      <c r="G190" s="7">
        <f t="shared" si="39"/>
        <v>-0.17586497890295358</v>
      </c>
      <c r="H190" s="5">
        <f>VLOOKUP($F190,DDE!$A:$AJ,H$1,FALSE)</f>
        <v>-20.84</v>
      </c>
      <c r="I190" s="5">
        <f>VLOOKUP($F190,DDE!$A:$AJ,I$1,FALSE)</f>
        <v>16422.560000000001</v>
      </c>
      <c r="J190" s="5" t="str">
        <f>VLOOKUP($F190,DDE!$A:$AJ,J$1,FALSE)</f>
        <v xml:space="preserve"> -</v>
      </c>
      <c r="K190" s="5" t="str">
        <f>VLOOKUP($F190,DDE!$A:$AJ,K$1,FALSE)</f>
        <v xml:space="preserve"> -</v>
      </c>
      <c r="L190" s="5">
        <f>VLOOKUP($F190,DDE!$A:$AJ,L$1,FALSE)</f>
        <v>4024617</v>
      </c>
      <c r="M190" s="5">
        <f>VLOOKUP($F190,DDE!$A:$AJ,M$1,FALSE)</f>
        <v>16329.54</v>
      </c>
      <c r="N190" s="5">
        <f>VLOOKUP($F190,DDE!$A:$AJ,N$1,FALSE)</f>
        <v>16456.939999999999</v>
      </c>
      <c r="O190" s="5">
        <f>VLOOKUP($F190,DDE!$A:$AJ,O$1,FALSE)</f>
        <v>16329.54</v>
      </c>
      <c r="P190" s="5" t="str">
        <f>VLOOKUP($F190,DDE!$A:$AJ,P$1,FALSE)</f>
        <v xml:space="preserve"> -</v>
      </c>
      <c r="Q190" s="5" t="str">
        <f>VLOOKUP($F190,DDE!$A:$AJ,Q$1,FALSE)</f>
        <v xml:space="preserve"> -</v>
      </c>
      <c r="R190" s="5">
        <f t="shared" si="47"/>
        <v>16443.400000000001</v>
      </c>
      <c r="S190" s="5">
        <f>VLOOKUP(D190,cmoney!$A:$M,12,FALSE)</f>
        <v>118.5</v>
      </c>
      <c r="U190" s="5" t="str">
        <f t="shared" si="40"/>
        <v/>
      </c>
      <c r="V190" s="5" t="str">
        <f t="shared" si="41"/>
        <v>6176</v>
      </c>
      <c r="W190" s="5" t="str">
        <f t="shared" si="42"/>
        <v>瑞儀</v>
      </c>
      <c r="X190" s="5" t="str">
        <f t="shared" si="43"/>
        <v>KAF</v>
      </c>
      <c r="Y190" s="49">
        <f>VLOOKUP($X190,股期名單!$L:$M,2,FALSE)</f>
        <v>2000</v>
      </c>
      <c r="Z190" s="5" t="str">
        <f t="shared" si="44"/>
        <v>KAFC1</v>
      </c>
      <c r="AA190" s="7">
        <f t="shared" si="45"/>
        <v>-0.17586497890295358</v>
      </c>
      <c r="AB190" s="5">
        <f>VLOOKUP($F190,DDE!$A:$AJ,AB$1,FALSE)</f>
        <v>-20.84</v>
      </c>
      <c r="AC190" s="5">
        <f>VLOOKUP($F190,DDE!$A:$AJ,AC$1,FALSE)</f>
        <v>16422.560000000001</v>
      </c>
      <c r="AD190" s="5" t="str">
        <f>VLOOKUP($F190,DDE!$A:$AJ,AD$1,FALSE)</f>
        <v xml:space="preserve"> -</v>
      </c>
      <c r="AE190" s="5" t="str">
        <f>VLOOKUP($F190,DDE!$A:$AJ,AE$1,FALSE)</f>
        <v xml:space="preserve"> -</v>
      </c>
      <c r="AF190" s="5">
        <f>VLOOKUP($F190,DDE!$A:$AJ,AF$1,FALSE)</f>
        <v>4024617</v>
      </c>
      <c r="AG190" s="5">
        <f>VLOOKUP($F190,DDE!$A:$AJ,AG$1,FALSE)</f>
        <v>16329.54</v>
      </c>
      <c r="AH190" s="5">
        <f>VLOOKUP($F190,DDE!$A:$AJ,AH$1,FALSE)</f>
        <v>16456.939999999999</v>
      </c>
      <c r="AI190" s="5">
        <f>VLOOKUP($F190,DDE!$A:$AJ,AI$1,FALSE)</f>
        <v>16329.54</v>
      </c>
      <c r="AJ190" s="5" t="str">
        <f>VLOOKUP($F190,DDE!$A:$AJ,AJ$1,FALSE)</f>
        <v xml:space="preserve"> -</v>
      </c>
      <c r="AK190" s="5" t="str">
        <f>VLOOKUP($F190,DDE!$A:$AJ,AK$1,FALSE)</f>
        <v xml:space="preserve"> -</v>
      </c>
      <c r="AL190" s="5">
        <f t="shared" si="46"/>
        <v>16443.400000000001</v>
      </c>
      <c r="AM190" s="5">
        <f>VLOOKUP(X190,cmoney!$A:$M,12,FALSE)</f>
        <v>118.5</v>
      </c>
    </row>
    <row r="191" spans="1:39" x14ac:dyDescent="0.25">
      <c r="A191" s="5" t="str">
        <f t="shared" si="38"/>
        <v/>
      </c>
      <c r="B191" s="5" t="s">
        <v>812</v>
      </c>
      <c r="C191" s="5" t="s">
        <v>621</v>
      </c>
      <c r="D191" s="5" t="s">
        <v>1073</v>
      </c>
      <c r="E191" s="5">
        <f>VLOOKUP($D191,股期名單!$L:$M,2,FALSE)</f>
        <v>2000</v>
      </c>
      <c r="F191" s="5" t="str">
        <f t="shared" si="37"/>
        <v>PLFB1</v>
      </c>
      <c r="G191" s="7">
        <f t="shared" si="39"/>
        <v>-0.43126436781609201</v>
      </c>
      <c r="H191" s="5">
        <f>VLOOKUP($F191,DDE!$A:$AJ,H$1,FALSE)</f>
        <v>-18.760000000000002</v>
      </c>
      <c r="I191" s="5">
        <f>VLOOKUP($F191,DDE!$A:$AJ,I$1,FALSE)</f>
        <v>16424.64</v>
      </c>
      <c r="J191" s="5" t="str">
        <f>VLOOKUP($F191,DDE!$A:$AJ,J$1,FALSE)</f>
        <v xml:space="preserve"> -</v>
      </c>
      <c r="K191" s="5" t="str">
        <f>VLOOKUP($F191,DDE!$A:$AJ,K$1,FALSE)</f>
        <v xml:space="preserve"> -</v>
      </c>
      <c r="L191" s="5">
        <f>VLOOKUP($F191,DDE!$A:$AJ,L$1,FALSE)</f>
        <v>4020107</v>
      </c>
      <c r="M191" s="5">
        <f>VLOOKUP($F191,DDE!$A:$AJ,M$1,FALSE)</f>
        <v>16329.54</v>
      </c>
      <c r="N191" s="5">
        <f>VLOOKUP($F191,DDE!$A:$AJ,N$1,FALSE)</f>
        <v>16456.939999999999</v>
      </c>
      <c r="O191" s="5">
        <f>VLOOKUP($F191,DDE!$A:$AJ,O$1,FALSE)</f>
        <v>16329.54</v>
      </c>
      <c r="P191" s="5" t="str">
        <f>VLOOKUP($F191,DDE!$A:$AJ,P$1,FALSE)</f>
        <v xml:space="preserve"> -</v>
      </c>
      <c r="Q191" s="5" t="str">
        <f>VLOOKUP($F191,DDE!$A:$AJ,Q$1,FALSE)</f>
        <v xml:space="preserve"> -</v>
      </c>
      <c r="R191" s="5">
        <f t="shared" si="47"/>
        <v>16443.399999999998</v>
      </c>
      <c r="S191" s="5">
        <f>VLOOKUP(D191,cmoney!$A:$M,12,FALSE)</f>
        <v>43.5</v>
      </c>
      <c r="U191" s="5" t="str">
        <f t="shared" si="40"/>
        <v/>
      </c>
      <c r="V191" s="5" t="str">
        <f t="shared" si="41"/>
        <v>6182</v>
      </c>
      <c r="W191" s="5" t="str">
        <f t="shared" si="42"/>
        <v>合晶</v>
      </c>
      <c r="X191" s="5" t="str">
        <f t="shared" si="43"/>
        <v>PLF</v>
      </c>
      <c r="Y191" s="49">
        <f>VLOOKUP($X191,股期名單!$L:$M,2,FALSE)</f>
        <v>2000</v>
      </c>
      <c r="Z191" s="5" t="str">
        <f t="shared" si="44"/>
        <v>PLFC1</v>
      </c>
      <c r="AA191" s="7">
        <f t="shared" si="45"/>
        <v>-0.43126436781609201</v>
      </c>
      <c r="AB191" s="5">
        <f>VLOOKUP($F191,DDE!$A:$AJ,AB$1,FALSE)</f>
        <v>-18.760000000000002</v>
      </c>
      <c r="AC191" s="5">
        <f>VLOOKUP($F191,DDE!$A:$AJ,AC$1,FALSE)</f>
        <v>16424.64</v>
      </c>
      <c r="AD191" s="5" t="str">
        <f>VLOOKUP($F191,DDE!$A:$AJ,AD$1,FALSE)</f>
        <v xml:space="preserve"> -</v>
      </c>
      <c r="AE191" s="5" t="str">
        <f>VLOOKUP($F191,DDE!$A:$AJ,AE$1,FALSE)</f>
        <v xml:space="preserve"> -</v>
      </c>
      <c r="AF191" s="5">
        <f>VLOOKUP($F191,DDE!$A:$AJ,AF$1,FALSE)</f>
        <v>4020107</v>
      </c>
      <c r="AG191" s="5">
        <f>VLOOKUP($F191,DDE!$A:$AJ,AG$1,FALSE)</f>
        <v>16329.54</v>
      </c>
      <c r="AH191" s="5">
        <f>VLOOKUP($F191,DDE!$A:$AJ,AH$1,FALSE)</f>
        <v>16456.939999999999</v>
      </c>
      <c r="AI191" s="5">
        <f>VLOOKUP($F191,DDE!$A:$AJ,AI$1,FALSE)</f>
        <v>16329.54</v>
      </c>
      <c r="AJ191" s="5" t="str">
        <f>VLOOKUP($F191,DDE!$A:$AJ,AJ$1,FALSE)</f>
        <v xml:space="preserve"> -</v>
      </c>
      <c r="AK191" s="5" t="str">
        <f>VLOOKUP($F191,DDE!$A:$AJ,AK$1,FALSE)</f>
        <v xml:space="preserve"> -</v>
      </c>
      <c r="AL191" s="5">
        <f t="shared" si="46"/>
        <v>16443.399999999998</v>
      </c>
      <c r="AM191" s="5">
        <f>VLOOKUP(X191,cmoney!$A:$M,12,FALSE)</f>
        <v>43.5</v>
      </c>
    </row>
    <row r="192" spans="1:39" x14ac:dyDescent="0.25">
      <c r="A192" s="5" t="str">
        <f t="shared" si="38"/>
        <v/>
      </c>
      <c r="B192" s="5" t="s">
        <v>739</v>
      </c>
      <c r="C192" s="5" t="s">
        <v>362</v>
      </c>
      <c r="D192" s="5" t="s">
        <v>1074</v>
      </c>
      <c r="E192" s="5">
        <f>VLOOKUP($D192,股期名單!$L:$M,2,FALSE)</f>
        <v>2000</v>
      </c>
      <c r="F192" s="5" t="str">
        <f t="shared" si="37"/>
        <v>KBFB1</v>
      </c>
      <c r="G192" s="7" t="e">
        <f t="shared" si="39"/>
        <v>#VALUE!</v>
      </c>
      <c r="H192" s="5" t="str">
        <f>VLOOKUP($F192,DDE!$A:$AJ,H$1,FALSE)</f>
        <v xml:space="preserve"> </v>
      </c>
      <c r="I192" s="5">
        <f>VLOOKUP($F192,DDE!$A:$AJ,I$1,FALSE)</f>
        <v>20878632</v>
      </c>
      <c r="J192" s="5" t="str">
        <f>VLOOKUP($F192,DDE!$A:$AJ,J$1,FALSE)</f>
        <v xml:space="preserve"> -</v>
      </c>
      <c r="K192" s="5" t="str">
        <f>VLOOKUP($F192,DDE!$A:$AJ,K$1,FALSE)</f>
        <v xml:space="preserve"> -</v>
      </c>
      <c r="L192" s="5">
        <f>VLOOKUP($F192,DDE!$A:$AJ,L$1,FALSE)</f>
        <v>2088371110</v>
      </c>
      <c r="M192" s="5">
        <f>VLOOKUP($F192,DDE!$A:$AJ,M$1,FALSE)</f>
        <v>20803788</v>
      </c>
      <c r="N192" s="5">
        <f>VLOOKUP($F192,DDE!$A:$AJ,N$1,FALSE)</f>
        <v>20804690</v>
      </c>
      <c r="O192" s="5">
        <f>VLOOKUP($F192,DDE!$A:$AJ,O$1,FALSE)</f>
        <v>10989732</v>
      </c>
      <c r="P192" s="5" t="str">
        <f>VLOOKUP($F192,DDE!$A:$AJ,P$1,FALSE)</f>
        <v xml:space="preserve"> -</v>
      </c>
      <c r="Q192" s="5" t="str">
        <f>VLOOKUP($F192,DDE!$A:$AJ,Q$1,FALSE)</f>
        <v xml:space="preserve"> -</v>
      </c>
      <c r="R192" s="5" t="e">
        <f t="shared" si="47"/>
        <v>#VALUE!</v>
      </c>
      <c r="S192" s="5">
        <f>VLOOKUP(D192,cmoney!$A:$M,12,FALSE)</f>
        <v>142.5</v>
      </c>
      <c r="U192" s="5" t="str">
        <f t="shared" si="40"/>
        <v/>
      </c>
      <c r="V192" s="5" t="str">
        <f t="shared" si="41"/>
        <v>6213</v>
      </c>
      <c r="W192" s="5" t="str">
        <f t="shared" si="42"/>
        <v>聯茂</v>
      </c>
      <c r="X192" s="5" t="str">
        <f t="shared" si="43"/>
        <v>KBF</v>
      </c>
      <c r="Y192" s="49">
        <f>VLOOKUP($X192,股期名單!$L:$M,2,FALSE)</f>
        <v>2000</v>
      </c>
      <c r="Z192" s="5" t="str">
        <f t="shared" si="44"/>
        <v>KBFC1</v>
      </c>
      <c r="AA192" s="7" t="e">
        <f t="shared" si="45"/>
        <v>#VALUE!</v>
      </c>
      <c r="AB192" s="5" t="str">
        <f>VLOOKUP($F192,DDE!$A:$AJ,AB$1,FALSE)</f>
        <v xml:space="preserve"> </v>
      </c>
      <c r="AC192" s="5">
        <f>VLOOKUP($F192,DDE!$A:$AJ,AC$1,FALSE)</f>
        <v>20878632</v>
      </c>
      <c r="AD192" s="5" t="str">
        <f>VLOOKUP($F192,DDE!$A:$AJ,AD$1,FALSE)</f>
        <v xml:space="preserve"> -</v>
      </c>
      <c r="AE192" s="5" t="str">
        <f>VLOOKUP($F192,DDE!$A:$AJ,AE$1,FALSE)</f>
        <v xml:space="preserve"> -</v>
      </c>
      <c r="AF192" s="5">
        <f>VLOOKUP($F192,DDE!$A:$AJ,AF$1,FALSE)</f>
        <v>2088371110</v>
      </c>
      <c r="AG192" s="5">
        <f>VLOOKUP($F192,DDE!$A:$AJ,AG$1,FALSE)</f>
        <v>20803788</v>
      </c>
      <c r="AH192" s="5">
        <f>VLOOKUP($F192,DDE!$A:$AJ,AH$1,FALSE)</f>
        <v>20804690</v>
      </c>
      <c r="AI192" s="5">
        <f>VLOOKUP($F192,DDE!$A:$AJ,AI$1,FALSE)</f>
        <v>10989732</v>
      </c>
      <c r="AJ192" s="5" t="str">
        <f>VLOOKUP($F192,DDE!$A:$AJ,AJ$1,FALSE)</f>
        <v xml:space="preserve"> -</v>
      </c>
      <c r="AK192" s="5" t="str">
        <f>VLOOKUP($F192,DDE!$A:$AJ,AK$1,FALSE)</f>
        <v xml:space="preserve"> -</v>
      </c>
      <c r="AL192" s="5" t="e">
        <f t="shared" si="46"/>
        <v>#VALUE!</v>
      </c>
      <c r="AM192" s="5">
        <f>VLOOKUP(X192,cmoney!$A:$M,12,FALSE)</f>
        <v>142.5</v>
      </c>
    </row>
    <row r="193" spans="1:39" x14ac:dyDescent="0.25">
      <c r="A193" s="5" t="str">
        <f t="shared" si="38"/>
        <v/>
      </c>
      <c r="B193" s="5" t="s">
        <v>769</v>
      </c>
      <c r="C193" s="5" t="s">
        <v>452</v>
      </c>
      <c r="D193" s="5" t="s">
        <v>1075</v>
      </c>
      <c r="E193" s="5">
        <f>VLOOKUP($D193,股期名單!$L:$M,2,FALSE)</f>
        <v>2000</v>
      </c>
      <c r="F193" s="5" t="str">
        <f t="shared" si="37"/>
        <v>MPFB1</v>
      </c>
      <c r="G193" s="7">
        <f t="shared" si="39"/>
        <v>0.16346820809248555</v>
      </c>
      <c r="H193" s="5">
        <f>VLOOKUP($F193,DDE!$A:$AJ,H$1,FALSE)</f>
        <v>14.14</v>
      </c>
      <c r="I193" s="5">
        <f>VLOOKUP($F193,DDE!$A:$AJ,I$1,FALSE)</f>
        <v>13900.72</v>
      </c>
      <c r="J193" s="5" t="str">
        <f>VLOOKUP($F193,DDE!$A:$AJ,J$1,FALSE)</f>
        <v xml:space="preserve"> -</v>
      </c>
      <c r="K193" s="5" t="str">
        <f>VLOOKUP($F193,DDE!$A:$AJ,K$1,FALSE)</f>
        <v xml:space="preserve"> -</v>
      </c>
      <c r="L193" s="5">
        <f>VLOOKUP($F193,DDE!$A:$AJ,L$1,FALSE)</f>
        <v>873827</v>
      </c>
      <c r="M193" s="5">
        <f>VLOOKUP($F193,DDE!$A:$AJ,M$1,FALSE)</f>
        <v>13893.03</v>
      </c>
      <c r="N193" s="5">
        <f>VLOOKUP($F193,DDE!$A:$AJ,N$1,FALSE)</f>
        <v>13945.78</v>
      </c>
      <c r="O193" s="5">
        <f>VLOOKUP($F193,DDE!$A:$AJ,O$1,FALSE)</f>
        <v>13875.82</v>
      </c>
      <c r="P193" s="5" t="str">
        <f>VLOOKUP($F193,DDE!$A:$AJ,P$1,FALSE)</f>
        <v xml:space="preserve"> -</v>
      </c>
      <c r="Q193" s="5" t="str">
        <f>VLOOKUP($F193,DDE!$A:$AJ,Q$1,FALSE)</f>
        <v xml:space="preserve"> -</v>
      </c>
      <c r="R193" s="5">
        <f t="shared" si="47"/>
        <v>13886.58</v>
      </c>
      <c r="S193" s="5">
        <f>VLOOKUP(D193,cmoney!$A:$M,12,FALSE)</f>
        <v>86.5</v>
      </c>
      <c r="U193" s="5" t="str">
        <f t="shared" si="40"/>
        <v/>
      </c>
      <c r="V193" s="5" t="str">
        <f t="shared" si="41"/>
        <v>6214</v>
      </c>
      <c r="W193" s="5" t="str">
        <f t="shared" si="42"/>
        <v>精誠</v>
      </c>
      <c r="X193" s="5" t="str">
        <f t="shared" si="43"/>
        <v>MPF</v>
      </c>
      <c r="Y193" s="49">
        <f>VLOOKUP($X193,股期名單!$L:$M,2,FALSE)</f>
        <v>2000</v>
      </c>
      <c r="Z193" s="5" t="str">
        <f t="shared" si="44"/>
        <v>MPFC1</v>
      </c>
      <c r="AA193" s="7">
        <f t="shared" si="45"/>
        <v>0.16346820809248555</v>
      </c>
      <c r="AB193" s="5">
        <f>VLOOKUP($F193,DDE!$A:$AJ,AB$1,FALSE)</f>
        <v>14.14</v>
      </c>
      <c r="AC193" s="5">
        <f>VLOOKUP($F193,DDE!$A:$AJ,AC$1,FALSE)</f>
        <v>13900.72</v>
      </c>
      <c r="AD193" s="5" t="str">
        <f>VLOOKUP($F193,DDE!$A:$AJ,AD$1,FALSE)</f>
        <v xml:space="preserve"> -</v>
      </c>
      <c r="AE193" s="5" t="str">
        <f>VLOOKUP($F193,DDE!$A:$AJ,AE$1,FALSE)</f>
        <v xml:space="preserve"> -</v>
      </c>
      <c r="AF193" s="5">
        <f>VLOOKUP($F193,DDE!$A:$AJ,AF$1,FALSE)</f>
        <v>873827</v>
      </c>
      <c r="AG193" s="5">
        <f>VLOOKUP($F193,DDE!$A:$AJ,AG$1,FALSE)</f>
        <v>13893.03</v>
      </c>
      <c r="AH193" s="5">
        <f>VLOOKUP($F193,DDE!$A:$AJ,AH$1,FALSE)</f>
        <v>13945.78</v>
      </c>
      <c r="AI193" s="5">
        <f>VLOOKUP($F193,DDE!$A:$AJ,AI$1,FALSE)</f>
        <v>13875.82</v>
      </c>
      <c r="AJ193" s="5" t="str">
        <f>VLOOKUP($F193,DDE!$A:$AJ,AJ$1,FALSE)</f>
        <v xml:space="preserve"> -</v>
      </c>
      <c r="AK193" s="5" t="str">
        <f>VLOOKUP($F193,DDE!$A:$AJ,AK$1,FALSE)</f>
        <v xml:space="preserve"> -</v>
      </c>
      <c r="AL193" s="5">
        <f t="shared" si="46"/>
        <v>13886.58</v>
      </c>
      <c r="AM193" s="5">
        <f>VLOOKUP(X193,cmoney!$A:$M,12,FALSE)</f>
        <v>86.5</v>
      </c>
    </row>
    <row r="194" spans="1:39" x14ac:dyDescent="0.25">
      <c r="A194" s="5" t="str">
        <f t="shared" si="38"/>
        <v/>
      </c>
      <c r="B194" s="5" t="s">
        <v>740</v>
      </c>
      <c r="C194" s="5" t="s">
        <v>365</v>
      </c>
      <c r="D194" s="5" t="s">
        <v>1076</v>
      </c>
      <c r="E194" s="5">
        <f>VLOOKUP($D194,股期名單!$L:$M,2,FALSE)</f>
        <v>2000</v>
      </c>
      <c r="F194" s="5" t="str">
        <f t="shared" si="37"/>
        <v>KCFB1</v>
      </c>
      <c r="G194" s="7">
        <f t="shared" si="39"/>
        <v>-0.14291262135922331</v>
      </c>
      <c r="H194" s="5">
        <f>VLOOKUP($F194,DDE!$A:$AJ,H$1,FALSE)</f>
        <v>-14.72</v>
      </c>
      <c r="I194" s="5">
        <f>VLOOKUP($F194,DDE!$A:$AJ,I$1,FALSE)</f>
        <v>16428.68</v>
      </c>
      <c r="J194" s="5" t="str">
        <f>VLOOKUP($F194,DDE!$A:$AJ,J$1,FALSE)</f>
        <v xml:space="preserve"> -</v>
      </c>
      <c r="K194" s="5" t="str">
        <f>VLOOKUP($F194,DDE!$A:$AJ,K$1,FALSE)</f>
        <v xml:space="preserve"> -</v>
      </c>
      <c r="L194" s="5">
        <f>VLOOKUP($F194,DDE!$A:$AJ,L$1,FALSE)</f>
        <v>4022793</v>
      </c>
      <c r="M194" s="5">
        <f>VLOOKUP($F194,DDE!$A:$AJ,M$1,FALSE)</f>
        <v>16329.54</v>
      </c>
      <c r="N194" s="5">
        <f>VLOOKUP($F194,DDE!$A:$AJ,N$1,FALSE)</f>
        <v>16456.939999999999</v>
      </c>
      <c r="O194" s="5">
        <f>VLOOKUP($F194,DDE!$A:$AJ,O$1,FALSE)</f>
        <v>16329.54</v>
      </c>
      <c r="P194" s="5" t="str">
        <f>VLOOKUP($F194,DDE!$A:$AJ,P$1,FALSE)</f>
        <v xml:space="preserve"> -</v>
      </c>
      <c r="Q194" s="5" t="str">
        <f>VLOOKUP($F194,DDE!$A:$AJ,Q$1,FALSE)</f>
        <v xml:space="preserve"> -</v>
      </c>
      <c r="R194" s="5">
        <f t="shared" si="47"/>
        <v>16443.400000000001</v>
      </c>
      <c r="S194" s="5">
        <f>VLOOKUP(D194,cmoney!$A:$M,12,FALSE)</f>
        <v>103</v>
      </c>
      <c r="U194" s="5" t="str">
        <f t="shared" si="40"/>
        <v/>
      </c>
      <c r="V194" s="5" t="str">
        <f t="shared" si="41"/>
        <v>6239</v>
      </c>
      <c r="W194" s="5" t="str">
        <f t="shared" si="42"/>
        <v>力成</v>
      </c>
      <c r="X194" s="5" t="str">
        <f t="shared" si="43"/>
        <v>KCF</v>
      </c>
      <c r="Y194" s="49">
        <f>VLOOKUP($X194,股期名單!$L:$M,2,FALSE)</f>
        <v>2000</v>
      </c>
      <c r="Z194" s="5" t="str">
        <f t="shared" si="44"/>
        <v>KCFC1</v>
      </c>
      <c r="AA194" s="7">
        <f t="shared" si="45"/>
        <v>-0.14291262135922331</v>
      </c>
      <c r="AB194" s="5">
        <f>VLOOKUP($F194,DDE!$A:$AJ,AB$1,FALSE)</f>
        <v>-14.72</v>
      </c>
      <c r="AC194" s="5">
        <f>VLOOKUP($F194,DDE!$A:$AJ,AC$1,FALSE)</f>
        <v>16428.68</v>
      </c>
      <c r="AD194" s="5" t="str">
        <f>VLOOKUP($F194,DDE!$A:$AJ,AD$1,FALSE)</f>
        <v xml:space="preserve"> -</v>
      </c>
      <c r="AE194" s="5" t="str">
        <f>VLOOKUP($F194,DDE!$A:$AJ,AE$1,FALSE)</f>
        <v xml:space="preserve"> -</v>
      </c>
      <c r="AF194" s="5">
        <f>VLOOKUP($F194,DDE!$A:$AJ,AF$1,FALSE)</f>
        <v>4022793</v>
      </c>
      <c r="AG194" s="5">
        <f>VLOOKUP($F194,DDE!$A:$AJ,AG$1,FALSE)</f>
        <v>16329.54</v>
      </c>
      <c r="AH194" s="5">
        <f>VLOOKUP($F194,DDE!$A:$AJ,AH$1,FALSE)</f>
        <v>16456.939999999999</v>
      </c>
      <c r="AI194" s="5">
        <f>VLOOKUP($F194,DDE!$A:$AJ,AI$1,FALSE)</f>
        <v>16329.54</v>
      </c>
      <c r="AJ194" s="5" t="str">
        <f>VLOOKUP($F194,DDE!$A:$AJ,AJ$1,FALSE)</f>
        <v xml:space="preserve"> -</v>
      </c>
      <c r="AK194" s="5" t="str">
        <f>VLOOKUP($F194,DDE!$A:$AJ,AK$1,FALSE)</f>
        <v xml:space="preserve"> -</v>
      </c>
      <c r="AL194" s="5">
        <f t="shared" si="46"/>
        <v>16443.400000000001</v>
      </c>
      <c r="AM194" s="5">
        <f>VLOOKUP(X194,cmoney!$A:$M,12,FALSE)</f>
        <v>103</v>
      </c>
    </row>
    <row r="195" spans="1:39" x14ac:dyDescent="0.25">
      <c r="A195" s="5" t="str">
        <f t="shared" si="38"/>
        <v/>
      </c>
      <c r="B195" s="5" t="s">
        <v>770</v>
      </c>
      <c r="C195" s="5" t="s">
        <v>455</v>
      </c>
      <c r="D195" s="5" t="s">
        <v>1077</v>
      </c>
      <c r="E195" s="5">
        <f>VLOOKUP($D195,股期名單!$L:$M,2,FALSE)</f>
        <v>2000</v>
      </c>
      <c r="F195" s="5" t="str">
        <f t="shared" si="37"/>
        <v>MQFB1</v>
      </c>
      <c r="G195" s="7">
        <f t="shared" si="39"/>
        <v>-0.41884615384615387</v>
      </c>
      <c r="H195" s="5">
        <f>VLOOKUP($F195,DDE!$A:$AJ,H$1,FALSE)</f>
        <v>-21.78</v>
      </c>
      <c r="I195" s="5">
        <f>VLOOKUP($F195,DDE!$A:$AJ,I$1,FALSE)</f>
        <v>16421.62</v>
      </c>
      <c r="J195" s="5" t="str">
        <f>VLOOKUP($F195,DDE!$A:$AJ,J$1,FALSE)</f>
        <v xml:space="preserve"> -</v>
      </c>
      <c r="K195" s="5" t="str">
        <f>VLOOKUP($F195,DDE!$A:$AJ,K$1,FALSE)</f>
        <v xml:space="preserve"> -</v>
      </c>
      <c r="L195" s="5">
        <f>VLOOKUP($F195,DDE!$A:$AJ,L$1,FALSE)</f>
        <v>4027056</v>
      </c>
      <c r="M195" s="5">
        <f>VLOOKUP($F195,DDE!$A:$AJ,M$1,FALSE)</f>
        <v>16329.54</v>
      </c>
      <c r="N195" s="5">
        <f>VLOOKUP($F195,DDE!$A:$AJ,N$1,FALSE)</f>
        <v>16456.939999999999</v>
      </c>
      <c r="O195" s="5">
        <f>VLOOKUP($F195,DDE!$A:$AJ,O$1,FALSE)</f>
        <v>16329.54</v>
      </c>
      <c r="P195" s="5" t="str">
        <f>VLOOKUP($F195,DDE!$A:$AJ,P$1,FALSE)</f>
        <v xml:space="preserve"> -</v>
      </c>
      <c r="Q195" s="5" t="str">
        <f>VLOOKUP($F195,DDE!$A:$AJ,Q$1,FALSE)</f>
        <v xml:space="preserve"> -</v>
      </c>
      <c r="R195" s="5">
        <f t="shared" si="47"/>
        <v>16443.399999999998</v>
      </c>
      <c r="S195" s="5">
        <f>VLOOKUP(D195,cmoney!$A:$M,12,FALSE)</f>
        <v>52</v>
      </c>
      <c r="U195" s="5" t="str">
        <f t="shared" si="40"/>
        <v/>
      </c>
      <c r="V195" s="5" t="str">
        <f t="shared" si="41"/>
        <v>6257</v>
      </c>
      <c r="W195" s="5" t="str">
        <f t="shared" si="42"/>
        <v>矽格</v>
      </c>
      <c r="X195" s="5" t="str">
        <f t="shared" si="43"/>
        <v>MQF</v>
      </c>
      <c r="Y195" s="49">
        <f>VLOOKUP($X195,股期名單!$L:$M,2,FALSE)</f>
        <v>2000</v>
      </c>
      <c r="Z195" s="5" t="str">
        <f t="shared" si="44"/>
        <v>MQFC1</v>
      </c>
      <c r="AA195" s="7">
        <f t="shared" si="45"/>
        <v>-0.41884615384615387</v>
      </c>
      <c r="AB195" s="5">
        <f>VLOOKUP($F195,DDE!$A:$AJ,AB$1,FALSE)</f>
        <v>-21.78</v>
      </c>
      <c r="AC195" s="5">
        <f>VLOOKUP($F195,DDE!$A:$AJ,AC$1,FALSE)</f>
        <v>16421.62</v>
      </c>
      <c r="AD195" s="5" t="str">
        <f>VLOOKUP($F195,DDE!$A:$AJ,AD$1,FALSE)</f>
        <v xml:space="preserve"> -</v>
      </c>
      <c r="AE195" s="5" t="str">
        <f>VLOOKUP($F195,DDE!$A:$AJ,AE$1,FALSE)</f>
        <v xml:space="preserve"> -</v>
      </c>
      <c r="AF195" s="5">
        <f>VLOOKUP($F195,DDE!$A:$AJ,AF$1,FALSE)</f>
        <v>4027056</v>
      </c>
      <c r="AG195" s="5">
        <f>VLOOKUP($F195,DDE!$A:$AJ,AG$1,FALSE)</f>
        <v>16329.54</v>
      </c>
      <c r="AH195" s="5">
        <f>VLOOKUP($F195,DDE!$A:$AJ,AH$1,FALSE)</f>
        <v>16456.939999999999</v>
      </c>
      <c r="AI195" s="5">
        <f>VLOOKUP($F195,DDE!$A:$AJ,AI$1,FALSE)</f>
        <v>16329.54</v>
      </c>
      <c r="AJ195" s="5" t="str">
        <f>VLOOKUP($F195,DDE!$A:$AJ,AJ$1,FALSE)</f>
        <v xml:space="preserve"> -</v>
      </c>
      <c r="AK195" s="5" t="str">
        <f>VLOOKUP($F195,DDE!$A:$AJ,AK$1,FALSE)</f>
        <v xml:space="preserve"> -</v>
      </c>
      <c r="AL195" s="5">
        <f t="shared" si="46"/>
        <v>16443.399999999998</v>
      </c>
      <c r="AM195" s="5">
        <f>VLOOKUP(X195,cmoney!$A:$M,12,FALSE)</f>
        <v>52</v>
      </c>
    </row>
    <row r="196" spans="1:39" x14ac:dyDescent="0.25">
      <c r="A196" s="5" t="str">
        <f t="shared" si="38"/>
        <v/>
      </c>
      <c r="B196" s="5" t="s">
        <v>754</v>
      </c>
      <c r="C196" s="5" t="s">
        <v>407</v>
      </c>
      <c r="D196" s="5" t="s">
        <v>1078</v>
      </c>
      <c r="E196" s="5">
        <f>VLOOKUP($D196,股期名單!$L:$M,2,FALSE)</f>
        <v>2000</v>
      </c>
      <c r="F196" s="5" t="str">
        <f t="shared" si="37"/>
        <v>LIFB1</v>
      </c>
      <c r="G196" s="7">
        <f t="shared" si="39"/>
        <v>5.5019455252918292E-2</v>
      </c>
      <c r="H196" s="5">
        <f>VLOOKUP($F196,DDE!$A:$AJ,H$1,FALSE)</f>
        <v>7.07</v>
      </c>
      <c r="I196" s="5">
        <f>VLOOKUP($F196,DDE!$A:$AJ,I$1,FALSE)</f>
        <v>13893.65</v>
      </c>
      <c r="J196" s="5" t="str">
        <f>VLOOKUP($F196,DDE!$A:$AJ,J$1,FALSE)</f>
        <v xml:space="preserve"> -</v>
      </c>
      <c r="K196" s="5" t="str">
        <f>VLOOKUP($F196,DDE!$A:$AJ,K$1,FALSE)</f>
        <v xml:space="preserve"> -</v>
      </c>
      <c r="L196" s="5">
        <f>VLOOKUP($F196,DDE!$A:$AJ,L$1,FALSE)</f>
        <v>871785</v>
      </c>
      <c r="M196" s="5">
        <f>VLOOKUP($F196,DDE!$A:$AJ,M$1,FALSE)</f>
        <v>13893.03</v>
      </c>
      <c r="N196" s="5">
        <f>VLOOKUP($F196,DDE!$A:$AJ,N$1,FALSE)</f>
        <v>13945.78</v>
      </c>
      <c r="O196" s="5">
        <f>VLOOKUP($F196,DDE!$A:$AJ,O$1,FALSE)</f>
        <v>13875.82</v>
      </c>
      <c r="P196" s="5" t="str">
        <f>VLOOKUP($F196,DDE!$A:$AJ,P$1,FALSE)</f>
        <v xml:space="preserve"> -</v>
      </c>
      <c r="Q196" s="5" t="str">
        <f>VLOOKUP($F196,DDE!$A:$AJ,Q$1,FALSE)</f>
        <v xml:space="preserve"> -</v>
      </c>
      <c r="R196" s="5">
        <f t="shared" si="47"/>
        <v>13886.58</v>
      </c>
      <c r="S196" s="5">
        <f>VLOOKUP(D196,cmoney!$A:$M,12,FALSE)</f>
        <v>128.5</v>
      </c>
      <c r="U196" s="5" t="str">
        <f t="shared" si="40"/>
        <v/>
      </c>
      <c r="V196" s="5" t="str">
        <f t="shared" si="41"/>
        <v>6269</v>
      </c>
      <c r="W196" s="5" t="str">
        <f t="shared" si="42"/>
        <v>台郡</v>
      </c>
      <c r="X196" s="5" t="str">
        <f t="shared" si="43"/>
        <v>LIF</v>
      </c>
      <c r="Y196" s="49">
        <f>VLOOKUP($X196,股期名單!$L:$M,2,FALSE)</f>
        <v>2000</v>
      </c>
      <c r="Z196" s="5" t="str">
        <f t="shared" si="44"/>
        <v>LIFC1</v>
      </c>
      <c r="AA196" s="7">
        <f t="shared" si="45"/>
        <v>5.5019455252918292E-2</v>
      </c>
      <c r="AB196" s="5">
        <f>VLOOKUP($F196,DDE!$A:$AJ,AB$1,FALSE)</f>
        <v>7.07</v>
      </c>
      <c r="AC196" s="5">
        <f>VLOOKUP($F196,DDE!$A:$AJ,AC$1,FALSE)</f>
        <v>13893.65</v>
      </c>
      <c r="AD196" s="5" t="str">
        <f>VLOOKUP($F196,DDE!$A:$AJ,AD$1,FALSE)</f>
        <v xml:space="preserve"> -</v>
      </c>
      <c r="AE196" s="5" t="str">
        <f>VLOOKUP($F196,DDE!$A:$AJ,AE$1,FALSE)</f>
        <v xml:space="preserve"> -</v>
      </c>
      <c r="AF196" s="5">
        <f>VLOOKUP($F196,DDE!$A:$AJ,AF$1,FALSE)</f>
        <v>871785</v>
      </c>
      <c r="AG196" s="5">
        <f>VLOOKUP($F196,DDE!$A:$AJ,AG$1,FALSE)</f>
        <v>13893.03</v>
      </c>
      <c r="AH196" s="5">
        <f>VLOOKUP($F196,DDE!$A:$AJ,AH$1,FALSE)</f>
        <v>13945.78</v>
      </c>
      <c r="AI196" s="5">
        <f>VLOOKUP($F196,DDE!$A:$AJ,AI$1,FALSE)</f>
        <v>13875.82</v>
      </c>
      <c r="AJ196" s="5" t="str">
        <f>VLOOKUP($F196,DDE!$A:$AJ,AJ$1,FALSE)</f>
        <v xml:space="preserve"> -</v>
      </c>
      <c r="AK196" s="5" t="str">
        <f>VLOOKUP($F196,DDE!$A:$AJ,AK$1,FALSE)</f>
        <v xml:space="preserve"> -</v>
      </c>
      <c r="AL196" s="5">
        <f t="shared" si="46"/>
        <v>13886.58</v>
      </c>
      <c r="AM196" s="5">
        <f>VLOOKUP(X196,cmoney!$A:$M,12,FALSE)</f>
        <v>128.5</v>
      </c>
    </row>
    <row r="197" spans="1:39" x14ac:dyDescent="0.25">
      <c r="A197" s="5" t="str">
        <f t="shared" si="38"/>
        <v/>
      </c>
      <c r="B197" s="5" t="s">
        <v>741</v>
      </c>
      <c r="C197" s="5" t="s">
        <v>368</v>
      </c>
      <c r="D197" s="5" t="s">
        <v>1079</v>
      </c>
      <c r="E197" s="5">
        <f>VLOOKUP($D197,股期名單!$L:$M,2,FALSE)</f>
        <v>2000</v>
      </c>
      <c r="F197" s="5" t="str">
        <f t="shared" si="37"/>
        <v>KDFB1</v>
      </c>
      <c r="G197" s="7">
        <f t="shared" si="39"/>
        <v>2.8947368421052631E-2</v>
      </c>
      <c r="H197" s="5">
        <f>VLOOKUP($F197,DDE!$A:$AJ,H$1,FALSE)</f>
        <v>6.6</v>
      </c>
      <c r="I197" s="5">
        <f>VLOOKUP($F197,DDE!$A:$AJ,I$1,FALSE)</f>
        <v>13893.18</v>
      </c>
      <c r="J197" s="5" t="str">
        <f>VLOOKUP($F197,DDE!$A:$AJ,J$1,FALSE)</f>
        <v xml:space="preserve"> -</v>
      </c>
      <c r="K197" s="5" t="str">
        <f>VLOOKUP($F197,DDE!$A:$AJ,K$1,FALSE)</f>
        <v xml:space="preserve"> -</v>
      </c>
      <c r="L197" s="5">
        <f>VLOOKUP($F197,DDE!$A:$AJ,L$1,FALSE)</f>
        <v>872505</v>
      </c>
      <c r="M197" s="5">
        <f>VLOOKUP($F197,DDE!$A:$AJ,M$1,FALSE)</f>
        <v>13893.03</v>
      </c>
      <c r="N197" s="5">
        <f>VLOOKUP($F197,DDE!$A:$AJ,N$1,FALSE)</f>
        <v>13945.78</v>
      </c>
      <c r="O197" s="5">
        <f>VLOOKUP($F197,DDE!$A:$AJ,O$1,FALSE)</f>
        <v>13875.82</v>
      </c>
      <c r="P197" s="5" t="str">
        <f>VLOOKUP($F197,DDE!$A:$AJ,P$1,FALSE)</f>
        <v xml:space="preserve"> -</v>
      </c>
      <c r="Q197" s="5" t="str">
        <f>VLOOKUP($F197,DDE!$A:$AJ,Q$1,FALSE)</f>
        <v xml:space="preserve"> -</v>
      </c>
      <c r="R197" s="5">
        <f t="shared" si="47"/>
        <v>13886.58</v>
      </c>
      <c r="S197" s="5">
        <f>VLOOKUP(D197,cmoney!$A:$M,12,FALSE)</f>
        <v>228</v>
      </c>
      <c r="U197" s="5" t="str">
        <f t="shared" si="40"/>
        <v/>
      </c>
      <c r="V197" s="5" t="str">
        <f t="shared" si="41"/>
        <v>6271</v>
      </c>
      <c r="W197" s="5" t="str">
        <f t="shared" si="42"/>
        <v>同欣電</v>
      </c>
      <c r="X197" s="5" t="str">
        <f t="shared" si="43"/>
        <v>KDF</v>
      </c>
      <c r="Y197" s="49">
        <f>VLOOKUP($X197,股期名單!$L:$M,2,FALSE)</f>
        <v>2000</v>
      </c>
      <c r="Z197" s="5" t="str">
        <f t="shared" si="44"/>
        <v>KDFC1</v>
      </c>
      <c r="AA197" s="7">
        <f t="shared" si="45"/>
        <v>2.8947368421052631E-2</v>
      </c>
      <c r="AB197" s="5">
        <f>VLOOKUP($F197,DDE!$A:$AJ,AB$1,FALSE)</f>
        <v>6.6</v>
      </c>
      <c r="AC197" s="5">
        <f>VLOOKUP($F197,DDE!$A:$AJ,AC$1,FALSE)</f>
        <v>13893.18</v>
      </c>
      <c r="AD197" s="5" t="str">
        <f>VLOOKUP($F197,DDE!$A:$AJ,AD$1,FALSE)</f>
        <v xml:space="preserve"> -</v>
      </c>
      <c r="AE197" s="5" t="str">
        <f>VLOOKUP($F197,DDE!$A:$AJ,AE$1,FALSE)</f>
        <v xml:space="preserve"> -</v>
      </c>
      <c r="AF197" s="5">
        <f>VLOOKUP($F197,DDE!$A:$AJ,AF$1,FALSE)</f>
        <v>872505</v>
      </c>
      <c r="AG197" s="5">
        <f>VLOOKUP($F197,DDE!$A:$AJ,AG$1,FALSE)</f>
        <v>13893.03</v>
      </c>
      <c r="AH197" s="5">
        <f>VLOOKUP($F197,DDE!$A:$AJ,AH$1,FALSE)</f>
        <v>13945.78</v>
      </c>
      <c r="AI197" s="5">
        <f>VLOOKUP($F197,DDE!$A:$AJ,AI$1,FALSE)</f>
        <v>13875.82</v>
      </c>
      <c r="AJ197" s="5" t="str">
        <f>VLOOKUP($F197,DDE!$A:$AJ,AJ$1,FALSE)</f>
        <v xml:space="preserve"> -</v>
      </c>
      <c r="AK197" s="5" t="str">
        <f>VLOOKUP($F197,DDE!$A:$AJ,AK$1,FALSE)</f>
        <v xml:space="preserve"> -</v>
      </c>
      <c r="AL197" s="5">
        <f t="shared" si="46"/>
        <v>13886.58</v>
      </c>
      <c r="AM197" s="5">
        <f>VLOOKUP(X197,cmoney!$A:$M,12,FALSE)</f>
        <v>228</v>
      </c>
    </row>
    <row r="198" spans="1:39" x14ac:dyDescent="0.25">
      <c r="A198" s="5" t="str">
        <f t="shared" si="38"/>
        <v/>
      </c>
      <c r="B198" s="5" t="s">
        <v>799</v>
      </c>
      <c r="C198" s="5" t="s">
        <v>576</v>
      </c>
      <c r="D198" s="5" t="s">
        <v>1080</v>
      </c>
      <c r="E198" s="5">
        <f>VLOOKUP($D198,股期名單!$L:$M,2,FALSE)</f>
        <v>2000</v>
      </c>
      <c r="F198" s="5" t="str">
        <f t="shared" si="37"/>
        <v>OVFB1</v>
      </c>
      <c r="G198" s="7">
        <f t="shared" si="39"/>
        <v>-0.17012244897959183</v>
      </c>
      <c r="H198" s="5">
        <f>VLOOKUP($F198,DDE!$A:$AJ,H$1,FALSE)</f>
        <v>-20.84</v>
      </c>
      <c r="I198" s="5">
        <f>VLOOKUP($F198,DDE!$A:$AJ,I$1,FALSE)</f>
        <v>16422.560000000001</v>
      </c>
      <c r="J198" s="5" t="str">
        <f>VLOOKUP($F198,DDE!$A:$AJ,J$1,FALSE)</f>
        <v xml:space="preserve"> -</v>
      </c>
      <c r="K198" s="5" t="str">
        <f>VLOOKUP($F198,DDE!$A:$AJ,K$1,FALSE)</f>
        <v xml:space="preserve"> -</v>
      </c>
      <c r="L198" s="5">
        <f>VLOOKUP($F198,DDE!$A:$AJ,L$1,FALSE)</f>
        <v>4024617</v>
      </c>
      <c r="M198" s="5">
        <f>VLOOKUP($F198,DDE!$A:$AJ,M$1,FALSE)</f>
        <v>16329.54</v>
      </c>
      <c r="N198" s="5">
        <f>VLOOKUP($F198,DDE!$A:$AJ,N$1,FALSE)</f>
        <v>16456.939999999999</v>
      </c>
      <c r="O198" s="5">
        <f>VLOOKUP($F198,DDE!$A:$AJ,O$1,FALSE)</f>
        <v>16329.54</v>
      </c>
      <c r="P198" s="5" t="str">
        <f>VLOOKUP($F198,DDE!$A:$AJ,P$1,FALSE)</f>
        <v xml:space="preserve"> -</v>
      </c>
      <c r="Q198" s="5" t="str">
        <f>VLOOKUP($F198,DDE!$A:$AJ,Q$1,FALSE)</f>
        <v xml:space="preserve"> -</v>
      </c>
      <c r="R198" s="5">
        <f t="shared" si="47"/>
        <v>16443.400000000001</v>
      </c>
      <c r="S198" s="5">
        <f>VLOOKUP(D198,cmoney!$A:$M,12,FALSE)</f>
        <v>122.5</v>
      </c>
      <c r="U198" s="5" t="str">
        <f t="shared" si="40"/>
        <v/>
      </c>
      <c r="V198" s="5" t="str">
        <f t="shared" si="41"/>
        <v>6274</v>
      </c>
      <c r="W198" s="5" t="str">
        <f t="shared" si="42"/>
        <v>台燿</v>
      </c>
      <c r="X198" s="5" t="str">
        <f t="shared" si="43"/>
        <v>OVF</v>
      </c>
      <c r="Y198" s="49">
        <f>VLOOKUP($X198,股期名單!$L:$M,2,FALSE)</f>
        <v>2000</v>
      </c>
      <c r="Z198" s="5" t="str">
        <f t="shared" si="44"/>
        <v>OVFC1</v>
      </c>
      <c r="AA198" s="7">
        <f t="shared" si="45"/>
        <v>-0.17012244897959183</v>
      </c>
      <c r="AB198" s="5">
        <f>VLOOKUP($F198,DDE!$A:$AJ,AB$1,FALSE)</f>
        <v>-20.84</v>
      </c>
      <c r="AC198" s="5">
        <f>VLOOKUP($F198,DDE!$A:$AJ,AC$1,FALSE)</f>
        <v>16422.560000000001</v>
      </c>
      <c r="AD198" s="5" t="str">
        <f>VLOOKUP($F198,DDE!$A:$AJ,AD$1,FALSE)</f>
        <v xml:space="preserve"> -</v>
      </c>
      <c r="AE198" s="5" t="str">
        <f>VLOOKUP($F198,DDE!$A:$AJ,AE$1,FALSE)</f>
        <v xml:space="preserve"> -</v>
      </c>
      <c r="AF198" s="5">
        <f>VLOOKUP($F198,DDE!$A:$AJ,AF$1,FALSE)</f>
        <v>4024617</v>
      </c>
      <c r="AG198" s="5">
        <f>VLOOKUP($F198,DDE!$A:$AJ,AG$1,FALSE)</f>
        <v>16329.54</v>
      </c>
      <c r="AH198" s="5">
        <f>VLOOKUP($F198,DDE!$A:$AJ,AH$1,FALSE)</f>
        <v>16456.939999999999</v>
      </c>
      <c r="AI198" s="5">
        <f>VLOOKUP($F198,DDE!$A:$AJ,AI$1,FALSE)</f>
        <v>16329.54</v>
      </c>
      <c r="AJ198" s="5" t="str">
        <f>VLOOKUP($F198,DDE!$A:$AJ,AJ$1,FALSE)</f>
        <v xml:space="preserve"> -</v>
      </c>
      <c r="AK198" s="5" t="str">
        <f>VLOOKUP($F198,DDE!$A:$AJ,AK$1,FALSE)</f>
        <v xml:space="preserve"> -</v>
      </c>
      <c r="AL198" s="5">
        <f t="shared" si="46"/>
        <v>16443.400000000001</v>
      </c>
      <c r="AM198" s="5">
        <f>VLOOKUP(X198,cmoney!$A:$M,12,FALSE)</f>
        <v>122.5</v>
      </c>
    </row>
    <row r="199" spans="1:39" x14ac:dyDescent="0.25">
      <c r="A199" s="5" t="str">
        <f t="shared" si="38"/>
        <v/>
      </c>
      <c r="B199" s="5" t="s">
        <v>1081</v>
      </c>
      <c r="C199" s="5" t="s">
        <v>839</v>
      </c>
      <c r="D199" s="5" t="s">
        <v>1082</v>
      </c>
      <c r="E199" s="5">
        <f>VLOOKUP($D199,股期名單!$L:$M,2,FALSE)</f>
        <v>2000</v>
      </c>
      <c r="F199" s="5" t="str">
        <f t="shared" si="37"/>
        <v>KEFB1</v>
      </c>
      <c r="G199" s="7">
        <f t="shared" si="39"/>
        <v>-0.12317991631799163</v>
      </c>
      <c r="H199" s="5">
        <f>VLOOKUP($F199,DDE!$A:$AJ,H$1,FALSE)</f>
        <v>-14.72</v>
      </c>
      <c r="I199" s="5">
        <f>VLOOKUP($F199,DDE!$A:$AJ,I$1,FALSE)</f>
        <v>16428.68</v>
      </c>
      <c r="J199" s="5" t="str">
        <f>VLOOKUP($F199,DDE!$A:$AJ,J$1,FALSE)</f>
        <v xml:space="preserve"> -</v>
      </c>
      <c r="K199" s="5" t="str">
        <f>VLOOKUP($F199,DDE!$A:$AJ,K$1,FALSE)</f>
        <v xml:space="preserve"> -</v>
      </c>
      <c r="L199" s="5">
        <f>VLOOKUP($F199,DDE!$A:$AJ,L$1,FALSE)</f>
        <v>4022793</v>
      </c>
      <c r="M199" s="5">
        <f>VLOOKUP($F199,DDE!$A:$AJ,M$1,FALSE)</f>
        <v>16329.54</v>
      </c>
      <c r="N199" s="5">
        <f>VLOOKUP($F199,DDE!$A:$AJ,N$1,FALSE)</f>
        <v>16456.939999999999</v>
      </c>
      <c r="O199" s="5">
        <f>VLOOKUP($F199,DDE!$A:$AJ,O$1,FALSE)</f>
        <v>16329.54</v>
      </c>
      <c r="P199" s="5" t="str">
        <f>VLOOKUP($F199,DDE!$A:$AJ,P$1,FALSE)</f>
        <v xml:space="preserve"> -</v>
      </c>
      <c r="Q199" s="5" t="str">
        <f>VLOOKUP($F199,DDE!$A:$AJ,Q$1,FALSE)</f>
        <v xml:space="preserve"> -</v>
      </c>
      <c r="R199" s="5">
        <f t="shared" si="47"/>
        <v>16443.400000000001</v>
      </c>
      <c r="S199" s="5">
        <f>VLOOKUP(D199,cmoney!$A:$M,12,FALSE)</f>
        <v>119.5</v>
      </c>
      <c r="U199" s="5" t="str">
        <f t="shared" si="40"/>
        <v/>
      </c>
      <c r="V199" s="5" t="str">
        <f t="shared" si="41"/>
        <v>6278</v>
      </c>
      <c r="W199" s="5" t="str">
        <f t="shared" si="42"/>
        <v>台表科</v>
      </c>
      <c r="X199" s="5" t="str">
        <f t="shared" si="43"/>
        <v>KEF</v>
      </c>
      <c r="Y199" s="49">
        <f>VLOOKUP($X199,股期名單!$L:$M,2,FALSE)</f>
        <v>2000</v>
      </c>
      <c r="Z199" s="5" t="str">
        <f t="shared" si="44"/>
        <v>KEFC1</v>
      </c>
      <c r="AA199" s="7">
        <f t="shared" si="45"/>
        <v>-0.12317991631799163</v>
      </c>
      <c r="AB199" s="5">
        <f>VLOOKUP($F199,DDE!$A:$AJ,AB$1,FALSE)</f>
        <v>-14.72</v>
      </c>
      <c r="AC199" s="5">
        <f>VLOOKUP($F199,DDE!$A:$AJ,AC$1,FALSE)</f>
        <v>16428.68</v>
      </c>
      <c r="AD199" s="5" t="str">
        <f>VLOOKUP($F199,DDE!$A:$AJ,AD$1,FALSE)</f>
        <v xml:space="preserve"> -</v>
      </c>
      <c r="AE199" s="5" t="str">
        <f>VLOOKUP($F199,DDE!$A:$AJ,AE$1,FALSE)</f>
        <v xml:space="preserve"> -</v>
      </c>
      <c r="AF199" s="5">
        <f>VLOOKUP($F199,DDE!$A:$AJ,AF$1,FALSE)</f>
        <v>4022793</v>
      </c>
      <c r="AG199" s="5">
        <f>VLOOKUP($F199,DDE!$A:$AJ,AG$1,FALSE)</f>
        <v>16329.54</v>
      </c>
      <c r="AH199" s="5">
        <f>VLOOKUP($F199,DDE!$A:$AJ,AH$1,FALSE)</f>
        <v>16456.939999999999</v>
      </c>
      <c r="AI199" s="5">
        <f>VLOOKUP($F199,DDE!$A:$AJ,AI$1,FALSE)</f>
        <v>16329.54</v>
      </c>
      <c r="AJ199" s="5" t="str">
        <f>VLOOKUP($F199,DDE!$A:$AJ,AJ$1,FALSE)</f>
        <v xml:space="preserve"> -</v>
      </c>
      <c r="AK199" s="5" t="str">
        <f>VLOOKUP($F199,DDE!$A:$AJ,AK$1,FALSE)</f>
        <v xml:space="preserve"> -</v>
      </c>
      <c r="AL199" s="5">
        <f t="shared" si="46"/>
        <v>16443.400000000001</v>
      </c>
      <c r="AM199" s="5">
        <f>VLOOKUP(X199,cmoney!$A:$M,12,FALSE)</f>
        <v>119.5</v>
      </c>
    </row>
    <row r="200" spans="1:39" x14ac:dyDescent="0.25">
      <c r="A200" s="5" t="str">
        <f t="shared" si="38"/>
        <v/>
      </c>
      <c r="B200" s="5" t="s">
        <v>792</v>
      </c>
      <c r="C200" s="5" t="s">
        <v>541</v>
      </c>
      <c r="D200" s="5" t="s">
        <v>1083</v>
      </c>
      <c r="E200" s="5">
        <f>VLOOKUP($D200,股期名單!$L:$M,2,FALSE)</f>
        <v>2000</v>
      </c>
      <c r="F200" s="5" t="str">
        <f t="shared" si="37"/>
        <v>OHFB1</v>
      </c>
      <c r="G200" s="7">
        <f t="shared" si="39"/>
        <v>5.4771784232365145E-2</v>
      </c>
      <c r="H200" s="5">
        <f>VLOOKUP($F200,DDE!$A:$AJ,H$1,FALSE)</f>
        <v>6.6</v>
      </c>
      <c r="I200" s="5">
        <f>VLOOKUP($F200,DDE!$A:$AJ,I$1,FALSE)</f>
        <v>13893.18</v>
      </c>
      <c r="J200" s="5" t="str">
        <f>VLOOKUP($F200,DDE!$A:$AJ,J$1,FALSE)</f>
        <v xml:space="preserve"> -</v>
      </c>
      <c r="K200" s="5" t="str">
        <f>VLOOKUP($F200,DDE!$A:$AJ,K$1,FALSE)</f>
        <v xml:space="preserve"> -</v>
      </c>
      <c r="L200" s="5">
        <f>VLOOKUP($F200,DDE!$A:$AJ,L$1,FALSE)</f>
        <v>872505</v>
      </c>
      <c r="M200" s="5">
        <f>VLOOKUP($F200,DDE!$A:$AJ,M$1,FALSE)</f>
        <v>13893.03</v>
      </c>
      <c r="N200" s="5">
        <f>VLOOKUP($F200,DDE!$A:$AJ,N$1,FALSE)</f>
        <v>13945.78</v>
      </c>
      <c r="O200" s="5">
        <f>VLOOKUP($F200,DDE!$A:$AJ,O$1,FALSE)</f>
        <v>13875.82</v>
      </c>
      <c r="P200" s="5" t="str">
        <f>VLOOKUP($F200,DDE!$A:$AJ,P$1,FALSE)</f>
        <v xml:space="preserve"> -</v>
      </c>
      <c r="Q200" s="5" t="str">
        <f>VLOOKUP($F200,DDE!$A:$AJ,Q$1,FALSE)</f>
        <v xml:space="preserve"> -</v>
      </c>
      <c r="R200" s="5">
        <f t="shared" si="47"/>
        <v>13886.58</v>
      </c>
      <c r="S200" s="5">
        <f>VLOOKUP(D200,cmoney!$A:$M,12,FALSE)</f>
        <v>120.5</v>
      </c>
      <c r="U200" s="5" t="str">
        <f t="shared" si="40"/>
        <v/>
      </c>
      <c r="V200" s="5" t="str">
        <f t="shared" si="41"/>
        <v>6279</v>
      </c>
      <c r="W200" s="5" t="str">
        <f t="shared" si="42"/>
        <v>胡連</v>
      </c>
      <c r="X200" s="5" t="str">
        <f t="shared" si="43"/>
        <v>OHF</v>
      </c>
      <c r="Y200" s="49">
        <f>VLOOKUP($X200,股期名單!$L:$M,2,FALSE)</f>
        <v>2000</v>
      </c>
      <c r="Z200" s="5" t="str">
        <f t="shared" si="44"/>
        <v>OHFC1</v>
      </c>
      <c r="AA200" s="7">
        <f t="shared" si="45"/>
        <v>5.4771784232365145E-2</v>
      </c>
      <c r="AB200" s="5">
        <f>VLOOKUP($F200,DDE!$A:$AJ,AB$1,FALSE)</f>
        <v>6.6</v>
      </c>
      <c r="AC200" s="5">
        <f>VLOOKUP($F200,DDE!$A:$AJ,AC$1,FALSE)</f>
        <v>13893.18</v>
      </c>
      <c r="AD200" s="5" t="str">
        <f>VLOOKUP($F200,DDE!$A:$AJ,AD$1,FALSE)</f>
        <v xml:space="preserve"> -</v>
      </c>
      <c r="AE200" s="5" t="str">
        <f>VLOOKUP($F200,DDE!$A:$AJ,AE$1,FALSE)</f>
        <v xml:space="preserve"> -</v>
      </c>
      <c r="AF200" s="5">
        <f>VLOOKUP($F200,DDE!$A:$AJ,AF$1,FALSE)</f>
        <v>872505</v>
      </c>
      <c r="AG200" s="5">
        <f>VLOOKUP($F200,DDE!$A:$AJ,AG$1,FALSE)</f>
        <v>13893.03</v>
      </c>
      <c r="AH200" s="5">
        <f>VLOOKUP($F200,DDE!$A:$AJ,AH$1,FALSE)</f>
        <v>13945.78</v>
      </c>
      <c r="AI200" s="5">
        <f>VLOOKUP($F200,DDE!$A:$AJ,AI$1,FALSE)</f>
        <v>13875.82</v>
      </c>
      <c r="AJ200" s="5" t="str">
        <f>VLOOKUP($F200,DDE!$A:$AJ,AJ$1,FALSE)</f>
        <v xml:space="preserve"> -</v>
      </c>
      <c r="AK200" s="5" t="str">
        <f>VLOOKUP($F200,DDE!$A:$AJ,AK$1,FALSE)</f>
        <v xml:space="preserve"> -</v>
      </c>
      <c r="AL200" s="5">
        <f t="shared" si="46"/>
        <v>13886.58</v>
      </c>
      <c r="AM200" s="5">
        <f>VLOOKUP(X200,cmoney!$A:$M,12,FALSE)</f>
        <v>120.5</v>
      </c>
    </row>
    <row r="201" spans="1:39" x14ac:dyDescent="0.25">
      <c r="A201" s="5" t="str">
        <f t="shared" si="38"/>
        <v/>
      </c>
      <c r="B201" s="5" t="s">
        <v>742</v>
      </c>
      <c r="C201" s="5" t="s">
        <v>371</v>
      </c>
      <c r="D201" s="5" t="s">
        <v>1084</v>
      </c>
      <c r="E201" s="5">
        <f>VLOOKUP($D201,股期名單!$L:$M,2,FALSE)</f>
        <v>2000</v>
      </c>
      <c r="F201" s="5" t="str">
        <f t="shared" si="37"/>
        <v>KFFB1</v>
      </c>
      <c r="G201" s="7">
        <f t="shared" si="39"/>
        <v>-0.49395973154362416</v>
      </c>
      <c r="H201" s="5">
        <f>VLOOKUP($F201,DDE!$A:$AJ,H$1,FALSE)</f>
        <v>-14.72</v>
      </c>
      <c r="I201" s="5">
        <f>VLOOKUP($F201,DDE!$A:$AJ,I$1,FALSE)</f>
        <v>16428.68</v>
      </c>
      <c r="J201" s="5" t="str">
        <f>VLOOKUP($F201,DDE!$A:$AJ,J$1,FALSE)</f>
        <v xml:space="preserve"> -</v>
      </c>
      <c r="K201" s="5" t="str">
        <f>VLOOKUP($F201,DDE!$A:$AJ,K$1,FALSE)</f>
        <v xml:space="preserve"> -</v>
      </c>
      <c r="L201" s="5">
        <f>VLOOKUP($F201,DDE!$A:$AJ,L$1,FALSE)</f>
        <v>4022793</v>
      </c>
      <c r="M201" s="5">
        <f>VLOOKUP($F201,DDE!$A:$AJ,M$1,FALSE)</f>
        <v>16329.54</v>
      </c>
      <c r="N201" s="5">
        <f>VLOOKUP($F201,DDE!$A:$AJ,N$1,FALSE)</f>
        <v>16456.939999999999</v>
      </c>
      <c r="O201" s="5">
        <f>VLOOKUP($F201,DDE!$A:$AJ,O$1,FALSE)</f>
        <v>16329.54</v>
      </c>
      <c r="P201" s="5" t="str">
        <f>VLOOKUP($F201,DDE!$A:$AJ,P$1,FALSE)</f>
        <v xml:space="preserve"> -</v>
      </c>
      <c r="Q201" s="5" t="str">
        <f>VLOOKUP($F201,DDE!$A:$AJ,Q$1,FALSE)</f>
        <v xml:space="preserve"> -</v>
      </c>
      <c r="R201" s="5">
        <f t="shared" si="47"/>
        <v>16443.400000000001</v>
      </c>
      <c r="S201" s="5">
        <f>VLOOKUP(D201,cmoney!$A:$M,12,FALSE)</f>
        <v>29.8</v>
      </c>
      <c r="U201" s="5" t="str">
        <f t="shared" si="40"/>
        <v/>
      </c>
      <c r="V201" s="5" t="str">
        <f t="shared" si="41"/>
        <v>6282</v>
      </c>
      <c r="W201" s="5" t="str">
        <f t="shared" si="42"/>
        <v>康舒</v>
      </c>
      <c r="X201" s="5" t="str">
        <f t="shared" si="43"/>
        <v>KFF</v>
      </c>
      <c r="Y201" s="49">
        <f>VLOOKUP($X201,股期名單!$L:$M,2,FALSE)</f>
        <v>2000</v>
      </c>
      <c r="Z201" s="5" t="str">
        <f t="shared" si="44"/>
        <v>KFFC1</v>
      </c>
      <c r="AA201" s="7">
        <f t="shared" si="45"/>
        <v>-0.49395973154362416</v>
      </c>
      <c r="AB201" s="5">
        <f>VLOOKUP($F201,DDE!$A:$AJ,AB$1,FALSE)</f>
        <v>-14.72</v>
      </c>
      <c r="AC201" s="5">
        <f>VLOOKUP($F201,DDE!$A:$AJ,AC$1,FALSE)</f>
        <v>16428.68</v>
      </c>
      <c r="AD201" s="5" t="str">
        <f>VLOOKUP($F201,DDE!$A:$AJ,AD$1,FALSE)</f>
        <v xml:space="preserve"> -</v>
      </c>
      <c r="AE201" s="5" t="str">
        <f>VLOOKUP($F201,DDE!$A:$AJ,AE$1,FALSE)</f>
        <v xml:space="preserve"> -</v>
      </c>
      <c r="AF201" s="5">
        <f>VLOOKUP($F201,DDE!$A:$AJ,AF$1,FALSE)</f>
        <v>4022793</v>
      </c>
      <c r="AG201" s="5">
        <f>VLOOKUP($F201,DDE!$A:$AJ,AG$1,FALSE)</f>
        <v>16329.54</v>
      </c>
      <c r="AH201" s="5">
        <f>VLOOKUP($F201,DDE!$A:$AJ,AH$1,FALSE)</f>
        <v>16456.939999999999</v>
      </c>
      <c r="AI201" s="5">
        <f>VLOOKUP($F201,DDE!$A:$AJ,AI$1,FALSE)</f>
        <v>16329.54</v>
      </c>
      <c r="AJ201" s="5" t="str">
        <f>VLOOKUP($F201,DDE!$A:$AJ,AJ$1,FALSE)</f>
        <v xml:space="preserve"> -</v>
      </c>
      <c r="AK201" s="5" t="str">
        <f>VLOOKUP($F201,DDE!$A:$AJ,AK$1,FALSE)</f>
        <v xml:space="preserve"> -</v>
      </c>
      <c r="AL201" s="5">
        <f t="shared" si="46"/>
        <v>16443.400000000001</v>
      </c>
      <c r="AM201" s="5">
        <f>VLOOKUP(X201,cmoney!$A:$M,12,FALSE)</f>
        <v>29.8</v>
      </c>
    </row>
    <row r="202" spans="1:39" x14ac:dyDescent="0.25">
      <c r="A202" s="5" t="str">
        <f t="shared" si="38"/>
        <v/>
      </c>
      <c r="B202" s="5" t="s">
        <v>743</v>
      </c>
      <c r="C202" s="5" t="s">
        <v>374</v>
      </c>
      <c r="D202" s="5" t="s">
        <v>1085</v>
      </c>
      <c r="E202" s="5">
        <f>VLOOKUP($D202,股期名單!$L:$M,2,FALSE)</f>
        <v>2000</v>
      </c>
      <c r="F202" s="5" t="str">
        <f t="shared" si="37"/>
        <v>KGFB1</v>
      </c>
      <c r="G202" s="7">
        <f t="shared" si="39"/>
        <v>-0.23898089171974524</v>
      </c>
      <c r="H202" s="5">
        <f>VLOOKUP($F202,DDE!$A:$AJ,H$1,FALSE)</f>
        <v>-18.760000000000002</v>
      </c>
      <c r="I202" s="5">
        <f>VLOOKUP($F202,DDE!$A:$AJ,I$1,FALSE)</f>
        <v>16424.64</v>
      </c>
      <c r="J202" s="5" t="str">
        <f>VLOOKUP($F202,DDE!$A:$AJ,J$1,FALSE)</f>
        <v xml:space="preserve"> -</v>
      </c>
      <c r="K202" s="5" t="str">
        <f>VLOOKUP($F202,DDE!$A:$AJ,K$1,FALSE)</f>
        <v xml:space="preserve"> -</v>
      </c>
      <c r="L202" s="5">
        <f>VLOOKUP($F202,DDE!$A:$AJ,L$1,FALSE)</f>
        <v>4020107</v>
      </c>
      <c r="M202" s="5">
        <f>VLOOKUP($F202,DDE!$A:$AJ,M$1,FALSE)</f>
        <v>16329.54</v>
      </c>
      <c r="N202" s="5">
        <f>VLOOKUP($F202,DDE!$A:$AJ,N$1,FALSE)</f>
        <v>16456.939999999999</v>
      </c>
      <c r="O202" s="5">
        <f>VLOOKUP($F202,DDE!$A:$AJ,O$1,FALSE)</f>
        <v>16329.54</v>
      </c>
      <c r="P202" s="5" t="str">
        <f>VLOOKUP($F202,DDE!$A:$AJ,P$1,FALSE)</f>
        <v xml:space="preserve"> -</v>
      </c>
      <c r="Q202" s="5" t="str">
        <f>VLOOKUP($F202,DDE!$A:$AJ,Q$1,FALSE)</f>
        <v xml:space="preserve"> -</v>
      </c>
      <c r="R202" s="5">
        <f t="shared" si="47"/>
        <v>16443.399999999998</v>
      </c>
      <c r="S202" s="5">
        <f>VLOOKUP(D202,cmoney!$A:$M,12,FALSE)</f>
        <v>78.5</v>
      </c>
      <c r="U202" s="5" t="str">
        <f t="shared" si="40"/>
        <v/>
      </c>
      <c r="V202" s="5" t="str">
        <f t="shared" si="41"/>
        <v>6285</v>
      </c>
      <c r="W202" s="5" t="str">
        <f t="shared" si="42"/>
        <v>啟碁</v>
      </c>
      <c r="X202" s="5" t="str">
        <f t="shared" si="43"/>
        <v>KGF</v>
      </c>
      <c r="Y202" s="49">
        <f>VLOOKUP($X202,股期名單!$L:$M,2,FALSE)</f>
        <v>2000</v>
      </c>
      <c r="Z202" s="5" t="str">
        <f t="shared" si="44"/>
        <v>KGFC1</v>
      </c>
      <c r="AA202" s="7">
        <f t="shared" si="45"/>
        <v>-0.23898089171974524</v>
      </c>
      <c r="AB202" s="5">
        <f>VLOOKUP($F202,DDE!$A:$AJ,AB$1,FALSE)</f>
        <v>-18.760000000000002</v>
      </c>
      <c r="AC202" s="5">
        <f>VLOOKUP($F202,DDE!$A:$AJ,AC$1,FALSE)</f>
        <v>16424.64</v>
      </c>
      <c r="AD202" s="5" t="str">
        <f>VLOOKUP($F202,DDE!$A:$AJ,AD$1,FALSE)</f>
        <v xml:space="preserve"> -</v>
      </c>
      <c r="AE202" s="5" t="str">
        <f>VLOOKUP($F202,DDE!$A:$AJ,AE$1,FALSE)</f>
        <v xml:space="preserve"> -</v>
      </c>
      <c r="AF202" s="5">
        <f>VLOOKUP($F202,DDE!$A:$AJ,AF$1,FALSE)</f>
        <v>4020107</v>
      </c>
      <c r="AG202" s="5">
        <f>VLOOKUP($F202,DDE!$A:$AJ,AG$1,FALSE)</f>
        <v>16329.54</v>
      </c>
      <c r="AH202" s="5">
        <f>VLOOKUP($F202,DDE!$A:$AJ,AH$1,FALSE)</f>
        <v>16456.939999999999</v>
      </c>
      <c r="AI202" s="5">
        <f>VLOOKUP($F202,DDE!$A:$AJ,AI$1,FALSE)</f>
        <v>16329.54</v>
      </c>
      <c r="AJ202" s="5" t="str">
        <f>VLOOKUP($F202,DDE!$A:$AJ,AJ$1,FALSE)</f>
        <v xml:space="preserve"> -</v>
      </c>
      <c r="AK202" s="5" t="str">
        <f>VLOOKUP($F202,DDE!$A:$AJ,AK$1,FALSE)</f>
        <v xml:space="preserve"> -</v>
      </c>
      <c r="AL202" s="5">
        <f t="shared" si="46"/>
        <v>16443.399999999998</v>
      </c>
      <c r="AM202" s="5">
        <f>VLOOKUP(X202,cmoney!$A:$M,12,FALSE)</f>
        <v>78.5</v>
      </c>
    </row>
    <row r="203" spans="1:39" x14ac:dyDescent="0.25">
      <c r="A203" s="5" t="str">
        <f t="shared" si="38"/>
        <v/>
      </c>
      <c r="B203" s="5" t="s">
        <v>794</v>
      </c>
      <c r="C203" s="5" t="s">
        <v>561</v>
      </c>
      <c r="D203" s="5" t="s">
        <v>1086</v>
      </c>
      <c r="E203" s="5">
        <f>VLOOKUP($D203,股期名單!$L:$M,2,FALSE)</f>
        <v>2000</v>
      </c>
      <c r="F203" s="5" t="str">
        <f t="shared" si="37"/>
        <v>OQFB1</v>
      </c>
      <c r="G203" s="7" t="e">
        <f t="shared" si="39"/>
        <v>#VALUE!</v>
      </c>
      <c r="H203" s="5" t="str">
        <f>VLOOKUP($F203,DDE!$A:$AJ,H$1,FALSE)</f>
        <v xml:space="preserve"> </v>
      </c>
      <c r="I203" s="5">
        <f>VLOOKUP($F203,DDE!$A:$AJ,I$1,FALSE)</f>
        <v>20878632</v>
      </c>
      <c r="J203" s="5" t="str">
        <f>VLOOKUP($F203,DDE!$A:$AJ,J$1,FALSE)</f>
        <v xml:space="preserve"> -</v>
      </c>
      <c r="K203" s="5" t="str">
        <f>VLOOKUP($F203,DDE!$A:$AJ,K$1,FALSE)</f>
        <v xml:space="preserve"> -</v>
      </c>
      <c r="L203" s="5">
        <f>VLOOKUP($F203,DDE!$A:$AJ,L$1,FALSE)</f>
        <v>2088371110</v>
      </c>
      <c r="M203" s="5">
        <f>VLOOKUP($F203,DDE!$A:$AJ,M$1,FALSE)</f>
        <v>20803788</v>
      </c>
      <c r="N203" s="5">
        <f>VLOOKUP($F203,DDE!$A:$AJ,N$1,FALSE)</f>
        <v>20804690</v>
      </c>
      <c r="O203" s="5">
        <f>VLOOKUP($F203,DDE!$A:$AJ,O$1,FALSE)</f>
        <v>10989732</v>
      </c>
      <c r="P203" s="5" t="str">
        <f>VLOOKUP($F203,DDE!$A:$AJ,P$1,FALSE)</f>
        <v xml:space="preserve"> -</v>
      </c>
      <c r="Q203" s="5" t="str">
        <f>VLOOKUP($F203,DDE!$A:$AJ,Q$1,FALSE)</f>
        <v xml:space="preserve"> -</v>
      </c>
      <c r="R203" s="5" t="e">
        <f t="shared" ref="R203:R208" si="48">IF(L203&gt;0,I203-H203,"")</f>
        <v>#VALUE!</v>
      </c>
      <c r="S203" s="5">
        <f>VLOOKUP(D203,cmoney!$A:$M,12,FALSE)</f>
        <v>259.5</v>
      </c>
      <c r="U203" s="5" t="str">
        <f t="shared" si="40"/>
        <v/>
      </c>
      <c r="V203" s="5" t="str">
        <f t="shared" si="41"/>
        <v>6414</v>
      </c>
      <c r="W203" s="5" t="str">
        <f t="shared" si="42"/>
        <v>樺漢</v>
      </c>
      <c r="X203" s="5" t="str">
        <f t="shared" si="43"/>
        <v>OQF</v>
      </c>
      <c r="Y203" s="49">
        <f>VLOOKUP($X203,股期名單!$L:$M,2,FALSE)</f>
        <v>2000</v>
      </c>
      <c r="Z203" s="5" t="str">
        <f t="shared" si="44"/>
        <v>OQFC1</v>
      </c>
      <c r="AA203" s="7" t="e">
        <f t="shared" si="45"/>
        <v>#VALUE!</v>
      </c>
      <c r="AB203" s="5" t="str">
        <f>VLOOKUP($F203,DDE!$A:$AJ,AB$1,FALSE)</f>
        <v xml:space="preserve"> </v>
      </c>
      <c r="AC203" s="5">
        <f>VLOOKUP($F203,DDE!$A:$AJ,AC$1,FALSE)</f>
        <v>20878632</v>
      </c>
      <c r="AD203" s="5" t="str">
        <f>VLOOKUP($F203,DDE!$A:$AJ,AD$1,FALSE)</f>
        <v xml:space="preserve"> -</v>
      </c>
      <c r="AE203" s="5" t="str">
        <f>VLOOKUP($F203,DDE!$A:$AJ,AE$1,FALSE)</f>
        <v xml:space="preserve"> -</v>
      </c>
      <c r="AF203" s="5">
        <f>VLOOKUP($F203,DDE!$A:$AJ,AF$1,FALSE)</f>
        <v>2088371110</v>
      </c>
      <c r="AG203" s="5">
        <f>VLOOKUP($F203,DDE!$A:$AJ,AG$1,FALSE)</f>
        <v>20803788</v>
      </c>
      <c r="AH203" s="5">
        <f>VLOOKUP($F203,DDE!$A:$AJ,AH$1,FALSE)</f>
        <v>20804690</v>
      </c>
      <c r="AI203" s="5">
        <f>VLOOKUP($F203,DDE!$A:$AJ,AI$1,FALSE)</f>
        <v>10989732</v>
      </c>
      <c r="AJ203" s="5" t="str">
        <f>VLOOKUP($F203,DDE!$A:$AJ,AJ$1,FALSE)</f>
        <v xml:space="preserve"> -</v>
      </c>
      <c r="AK203" s="5" t="str">
        <f>VLOOKUP($F203,DDE!$A:$AJ,AK$1,FALSE)</f>
        <v xml:space="preserve"> -</v>
      </c>
      <c r="AL203" s="5" t="e">
        <f t="shared" si="46"/>
        <v>#VALUE!</v>
      </c>
      <c r="AM203" s="5">
        <f>VLOOKUP(X203,cmoney!$A:$M,12,FALSE)</f>
        <v>259.5</v>
      </c>
    </row>
    <row r="204" spans="1:39" x14ac:dyDescent="0.25">
      <c r="A204" s="5" t="str">
        <f t="shared" si="38"/>
        <v/>
      </c>
      <c r="B204" s="5" t="s">
        <v>814</v>
      </c>
      <c r="C204" s="5" t="s">
        <v>628</v>
      </c>
      <c r="D204" s="5" t="s">
        <v>1087</v>
      </c>
      <c r="E204" s="5">
        <f>VLOOKUP($D204,股期名單!$L:$M,2,FALSE)</f>
        <v>2000</v>
      </c>
      <c r="F204" s="5" t="str">
        <f t="shared" ref="F204:F225" si="49">$D204&amp;$E$1&amp;$F$1</f>
        <v>POFB1</v>
      </c>
      <c r="G204" s="7">
        <f t="shared" si="39"/>
        <v>-0.11949044585987262</v>
      </c>
      <c r="H204" s="5">
        <f>VLOOKUP($F204,DDE!$A:$AJ,H$1,FALSE)</f>
        <v>-18.760000000000002</v>
      </c>
      <c r="I204" s="5">
        <f>VLOOKUP($F204,DDE!$A:$AJ,I$1,FALSE)</f>
        <v>16424.64</v>
      </c>
      <c r="J204" s="5" t="str">
        <f>VLOOKUP($F204,DDE!$A:$AJ,J$1,FALSE)</f>
        <v xml:space="preserve"> -</v>
      </c>
      <c r="K204" s="5" t="str">
        <f>VLOOKUP($F204,DDE!$A:$AJ,K$1,FALSE)</f>
        <v xml:space="preserve"> -</v>
      </c>
      <c r="L204" s="5">
        <f>VLOOKUP($F204,DDE!$A:$AJ,L$1,FALSE)</f>
        <v>4020107</v>
      </c>
      <c r="M204" s="5">
        <f>VLOOKUP($F204,DDE!$A:$AJ,M$1,FALSE)</f>
        <v>16329.54</v>
      </c>
      <c r="N204" s="5">
        <f>VLOOKUP($F204,DDE!$A:$AJ,N$1,FALSE)</f>
        <v>16456.939999999999</v>
      </c>
      <c r="O204" s="5">
        <f>VLOOKUP($F204,DDE!$A:$AJ,O$1,FALSE)</f>
        <v>16329.54</v>
      </c>
      <c r="P204" s="5" t="str">
        <f>VLOOKUP($F204,DDE!$A:$AJ,P$1,FALSE)</f>
        <v xml:space="preserve"> -</v>
      </c>
      <c r="Q204" s="5" t="str">
        <f>VLOOKUP($F204,DDE!$A:$AJ,Q$1,FALSE)</f>
        <v xml:space="preserve"> -</v>
      </c>
      <c r="R204" s="5">
        <f t="shared" si="48"/>
        <v>16443.399999999998</v>
      </c>
      <c r="S204" s="5">
        <f>VLOOKUP(D204,cmoney!$A:$M,12,FALSE)</f>
        <v>157</v>
      </c>
      <c r="U204" s="5" t="str">
        <f t="shared" si="40"/>
        <v/>
      </c>
      <c r="V204" s="5" t="str">
        <f t="shared" si="41"/>
        <v>6462</v>
      </c>
      <c r="W204" s="5" t="str">
        <f t="shared" si="42"/>
        <v>神盾</v>
      </c>
      <c r="X204" s="5" t="str">
        <f t="shared" si="43"/>
        <v>POF</v>
      </c>
      <c r="Y204" s="49">
        <f>VLOOKUP($X204,股期名單!$L:$M,2,FALSE)</f>
        <v>2000</v>
      </c>
      <c r="Z204" s="5" t="str">
        <f t="shared" si="44"/>
        <v>POFC1</v>
      </c>
      <c r="AA204" s="7">
        <f t="shared" si="45"/>
        <v>-0.11949044585987262</v>
      </c>
      <c r="AB204" s="5">
        <f>VLOOKUP($F204,DDE!$A:$AJ,AB$1,FALSE)</f>
        <v>-18.760000000000002</v>
      </c>
      <c r="AC204" s="5">
        <f>VLOOKUP($F204,DDE!$A:$AJ,AC$1,FALSE)</f>
        <v>16424.64</v>
      </c>
      <c r="AD204" s="5" t="str">
        <f>VLOOKUP($F204,DDE!$A:$AJ,AD$1,FALSE)</f>
        <v xml:space="preserve"> -</v>
      </c>
      <c r="AE204" s="5" t="str">
        <f>VLOOKUP($F204,DDE!$A:$AJ,AE$1,FALSE)</f>
        <v xml:space="preserve"> -</v>
      </c>
      <c r="AF204" s="5">
        <f>VLOOKUP($F204,DDE!$A:$AJ,AF$1,FALSE)</f>
        <v>4020107</v>
      </c>
      <c r="AG204" s="5">
        <f>VLOOKUP($F204,DDE!$A:$AJ,AG$1,FALSE)</f>
        <v>16329.54</v>
      </c>
      <c r="AH204" s="5">
        <f>VLOOKUP($F204,DDE!$A:$AJ,AH$1,FALSE)</f>
        <v>16456.939999999999</v>
      </c>
      <c r="AI204" s="5">
        <f>VLOOKUP($F204,DDE!$A:$AJ,AI$1,FALSE)</f>
        <v>16329.54</v>
      </c>
      <c r="AJ204" s="5" t="str">
        <f>VLOOKUP($F204,DDE!$A:$AJ,AJ$1,FALSE)</f>
        <v xml:space="preserve"> -</v>
      </c>
      <c r="AK204" s="5" t="str">
        <f>VLOOKUP($F204,DDE!$A:$AJ,AK$1,FALSE)</f>
        <v xml:space="preserve"> -</v>
      </c>
      <c r="AL204" s="5">
        <f t="shared" si="46"/>
        <v>16443.399999999998</v>
      </c>
      <c r="AM204" s="5">
        <f>VLOOKUP(X204,cmoney!$A:$M,12,FALSE)</f>
        <v>157</v>
      </c>
    </row>
    <row r="205" spans="1:39" x14ac:dyDescent="0.25">
      <c r="A205" s="5" t="str">
        <f t="shared" si="38"/>
        <v/>
      </c>
      <c r="B205" s="5" t="s">
        <v>800</v>
      </c>
      <c r="C205" s="5" t="s">
        <v>579</v>
      </c>
      <c r="D205" s="5" t="s">
        <v>1088</v>
      </c>
      <c r="E205" s="5">
        <f>VLOOKUP($D205,股期名單!$L:$M,2,FALSE)</f>
        <v>2000</v>
      </c>
      <c r="F205" s="5" t="str">
        <f t="shared" si="49"/>
        <v>OWFB1</v>
      </c>
      <c r="G205" s="7" t="e">
        <f t="shared" si="39"/>
        <v>#VALUE!</v>
      </c>
      <c r="H205" s="5" t="str">
        <f>VLOOKUP($F205,DDE!$A:$AJ,H$1,FALSE)</f>
        <v xml:space="preserve"> </v>
      </c>
      <c r="I205" s="5">
        <f>VLOOKUP($F205,DDE!$A:$AJ,I$1,FALSE)</f>
        <v>20878632</v>
      </c>
      <c r="J205" s="5" t="str">
        <f>VLOOKUP($F205,DDE!$A:$AJ,J$1,FALSE)</f>
        <v xml:space="preserve"> -</v>
      </c>
      <c r="K205" s="5" t="str">
        <f>VLOOKUP($F205,DDE!$A:$AJ,K$1,FALSE)</f>
        <v xml:space="preserve"> -</v>
      </c>
      <c r="L205" s="5">
        <f>VLOOKUP($F205,DDE!$A:$AJ,L$1,FALSE)</f>
        <v>2088371110</v>
      </c>
      <c r="M205" s="5">
        <f>VLOOKUP($F205,DDE!$A:$AJ,M$1,FALSE)</f>
        <v>20803788</v>
      </c>
      <c r="N205" s="5">
        <f>VLOOKUP($F205,DDE!$A:$AJ,N$1,FALSE)</f>
        <v>20804690</v>
      </c>
      <c r="O205" s="5">
        <f>VLOOKUP($F205,DDE!$A:$AJ,O$1,FALSE)</f>
        <v>10989732</v>
      </c>
      <c r="P205" s="5" t="str">
        <f>VLOOKUP($F205,DDE!$A:$AJ,P$1,FALSE)</f>
        <v xml:space="preserve"> -</v>
      </c>
      <c r="Q205" s="5" t="str">
        <f>VLOOKUP($F205,DDE!$A:$AJ,Q$1,FALSE)</f>
        <v xml:space="preserve"> -</v>
      </c>
      <c r="R205" s="5" t="e">
        <f t="shared" si="48"/>
        <v>#VALUE!</v>
      </c>
      <c r="S205" s="5">
        <f>VLOOKUP(D205,cmoney!$A:$M,12,FALSE)</f>
        <v>783</v>
      </c>
      <c r="U205" s="5" t="str">
        <f t="shared" si="40"/>
        <v/>
      </c>
      <c r="V205" s="5" t="str">
        <f t="shared" si="41"/>
        <v>6488</v>
      </c>
      <c r="W205" s="5" t="str">
        <f t="shared" si="42"/>
        <v>環球晶</v>
      </c>
      <c r="X205" s="5" t="str">
        <f t="shared" si="43"/>
        <v>OWF</v>
      </c>
      <c r="Y205" s="49">
        <f>VLOOKUP($X205,股期名單!$L:$M,2,FALSE)</f>
        <v>2000</v>
      </c>
      <c r="Z205" s="5" t="str">
        <f t="shared" si="44"/>
        <v>OWFC1</v>
      </c>
      <c r="AA205" s="7" t="e">
        <f t="shared" si="45"/>
        <v>#VALUE!</v>
      </c>
      <c r="AB205" s="5" t="str">
        <f>VLOOKUP($F205,DDE!$A:$AJ,AB$1,FALSE)</f>
        <v xml:space="preserve"> </v>
      </c>
      <c r="AC205" s="5">
        <f>VLOOKUP($F205,DDE!$A:$AJ,AC$1,FALSE)</f>
        <v>20878632</v>
      </c>
      <c r="AD205" s="5" t="str">
        <f>VLOOKUP($F205,DDE!$A:$AJ,AD$1,FALSE)</f>
        <v xml:space="preserve"> -</v>
      </c>
      <c r="AE205" s="5" t="str">
        <f>VLOOKUP($F205,DDE!$A:$AJ,AE$1,FALSE)</f>
        <v xml:space="preserve"> -</v>
      </c>
      <c r="AF205" s="5">
        <f>VLOOKUP($F205,DDE!$A:$AJ,AF$1,FALSE)</f>
        <v>2088371110</v>
      </c>
      <c r="AG205" s="5">
        <f>VLOOKUP($F205,DDE!$A:$AJ,AG$1,FALSE)</f>
        <v>20803788</v>
      </c>
      <c r="AH205" s="5">
        <f>VLOOKUP($F205,DDE!$A:$AJ,AH$1,FALSE)</f>
        <v>20804690</v>
      </c>
      <c r="AI205" s="5">
        <f>VLOOKUP($F205,DDE!$A:$AJ,AI$1,FALSE)</f>
        <v>10989732</v>
      </c>
      <c r="AJ205" s="5" t="str">
        <f>VLOOKUP($F205,DDE!$A:$AJ,AJ$1,FALSE)</f>
        <v xml:space="preserve"> -</v>
      </c>
      <c r="AK205" s="5" t="str">
        <f>VLOOKUP($F205,DDE!$A:$AJ,AK$1,FALSE)</f>
        <v xml:space="preserve"> -</v>
      </c>
      <c r="AL205" s="5" t="e">
        <f t="shared" si="46"/>
        <v>#VALUE!</v>
      </c>
      <c r="AM205" s="5">
        <f>VLOOKUP(X205,cmoney!$A:$M,12,FALSE)</f>
        <v>783</v>
      </c>
    </row>
    <row r="206" spans="1:39" x14ac:dyDescent="0.25">
      <c r="A206" s="5" t="str">
        <f t="shared" si="38"/>
        <v>小型</v>
      </c>
      <c r="B206" s="5" t="s">
        <v>800</v>
      </c>
      <c r="C206" s="5" t="s">
        <v>579</v>
      </c>
      <c r="D206" s="5" t="s">
        <v>1089</v>
      </c>
      <c r="E206" s="5">
        <f>VLOOKUP($D206,股期名單!$L:$M,2,FALSE)</f>
        <v>100</v>
      </c>
      <c r="F206" s="5" t="str">
        <f t="shared" si="49"/>
        <v>PBFB1</v>
      </c>
      <c r="G206" s="7">
        <f t="shared" si="39"/>
        <v>-2.781609195402299E-2</v>
      </c>
      <c r="H206" s="5">
        <f>VLOOKUP($F206,DDE!$A:$AJ,H$1,FALSE)</f>
        <v>-21.78</v>
      </c>
      <c r="I206" s="5">
        <f>VLOOKUP($F206,DDE!$A:$AJ,I$1,FALSE)</f>
        <v>16421.62</v>
      </c>
      <c r="J206" s="5" t="str">
        <f>VLOOKUP($F206,DDE!$A:$AJ,J$1,FALSE)</f>
        <v xml:space="preserve"> -</v>
      </c>
      <c r="K206" s="5" t="str">
        <f>VLOOKUP($F206,DDE!$A:$AJ,K$1,FALSE)</f>
        <v xml:space="preserve"> -</v>
      </c>
      <c r="L206" s="5">
        <f>VLOOKUP($F206,DDE!$A:$AJ,L$1,FALSE)</f>
        <v>4027056</v>
      </c>
      <c r="M206" s="5">
        <f>VLOOKUP($F206,DDE!$A:$AJ,M$1,FALSE)</f>
        <v>16329.54</v>
      </c>
      <c r="N206" s="5">
        <f>VLOOKUP($F206,DDE!$A:$AJ,N$1,FALSE)</f>
        <v>16456.939999999999</v>
      </c>
      <c r="O206" s="5">
        <f>VLOOKUP($F206,DDE!$A:$AJ,O$1,FALSE)</f>
        <v>16329.54</v>
      </c>
      <c r="P206" s="5" t="str">
        <f>VLOOKUP($F206,DDE!$A:$AJ,P$1,FALSE)</f>
        <v xml:space="preserve"> -</v>
      </c>
      <c r="Q206" s="5" t="str">
        <f>VLOOKUP($F206,DDE!$A:$AJ,Q$1,FALSE)</f>
        <v xml:space="preserve"> -</v>
      </c>
      <c r="R206" s="5">
        <f t="shared" si="48"/>
        <v>16443.399999999998</v>
      </c>
      <c r="S206" s="5">
        <f>VLOOKUP(D206,cmoney!$A:$M,12,FALSE)</f>
        <v>783</v>
      </c>
      <c r="U206" s="5" t="str">
        <f t="shared" si="40"/>
        <v>小型</v>
      </c>
      <c r="V206" s="5" t="str">
        <f t="shared" si="41"/>
        <v>6488</v>
      </c>
      <c r="W206" s="5" t="str">
        <f t="shared" si="42"/>
        <v>環球晶</v>
      </c>
      <c r="X206" s="5" t="str">
        <f t="shared" si="43"/>
        <v>PBF</v>
      </c>
      <c r="Y206" s="49">
        <f>VLOOKUP($X206,股期名單!$L:$M,2,FALSE)</f>
        <v>100</v>
      </c>
      <c r="Z206" s="5" t="str">
        <f t="shared" si="44"/>
        <v>PBFC1</v>
      </c>
      <c r="AA206" s="7">
        <f t="shared" si="45"/>
        <v>-2.781609195402299E-2</v>
      </c>
      <c r="AB206" s="5">
        <f>VLOOKUP($F206,DDE!$A:$AJ,AB$1,FALSE)</f>
        <v>-21.78</v>
      </c>
      <c r="AC206" s="5">
        <f>VLOOKUP($F206,DDE!$A:$AJ,AC$1,FALSE)</f>
        <v>16421.62</v>
      </c>
      <c r="AD206" s="5" t="str">
        <f>VLOOKUP($F206,DDE!$A:$AJ,AD$1,FALSE)</f>
        <v xml:space="preserve"> -</v>
      </c>
      <c r="AE206" s="5" t="str">
        <f>VLOOKUP($F206,DDE!$A:$AJ,AE$1,FALSE)</f>
        <v xml:space="preserve"> -</v>
      </c>
      <c r="AF206" s="5">
        <f>VLOOKUP($F206,DDE!$A:$AJ,AF$1,FALSE)</f>
        <v>4027056</v>
      </c>
      <c r="AG206" s="5">
        <f>VLOOKUP($F206,DDE!$A:$AJ,AG$1,FALSE)</f>
        <v>16329.54</v>
      </c>
      <c r="AH206" s="5">
        <f>VLOOKUP($F206,DDE!$A:$AJ,AH$1,FALSE)</f>
        <v>16456.939999999999</v>
      </c>
      <c r="AI206" s="5">
        <f>VLOOKUP($F206,DDE!$A:$AJ,AI$1,FALSE)</f>
        <v>16329.54</v>
      </c>
      <c r="AJ206" s="5" t="str">
        <f>VLOOKUP($F206,DDE!$A:$AJ,AJ$1,FALSE)</f>
        <v xml:space="preserve"> -</v>
      </c>
      <c r="AK206" s="5" t="str">
        <f>VLOOKUP($F206,DDE!$A:$AJ,AK$1,FALSE)</f>
        <v xml:space="preserve"> -</v>
      </c>
      <c r="AL206" s="5">
        <f t="shared" si="46"/>
        <v>16443.399999999998</v>
      </c>
      <c r="AM206" s="5">
        <f>VLOOKUP(X206,cmoney!$A:$M,12,FALSE)</f>
        <v>783</v>
      </c>
    </row>
    <row r="207" spans="1:39" x14ac:dyDescent="0.25">
      <c r="A207" s="5" t="str">
        <f t="shared" si="38"/>
        <v/>
      </c>
      <c r="B207" s="5" t="s">
        <v>801</v>
      </c>
      <c r="C207" s="5" t="s">
        <v>582</v>
      </c>
      <c r="D207" s="5" t="s">
        <v>1090</v>
      </c>
      <c r="E207" s="5">
        <f>VLOOKUP($D207,股期名單!$L:$M,2,FALSE)</f>
        <v>2000</v>
      </c>
      <c r="F207" s="5" t="str">
        <f t="shared" si="49"/>
        <v>OXFB1</v>
      </c>
      <c r="G207" s="7">
        <f t="shared" si="39"/>
        <v>7.374301675977653E-3</v>
      </c>
      <c r="H207" s="5">
        <f>VLOOKUP($F207,DDE!$A:$AJ,H$1,FALSE)</f>
        <v>6.6</v>
      </c>
      <c r="I207" s="5">
        <f>VLOOKUP($F207,DDE!$A:$AJ,I$1,FALSE)</f>
        <v>13893.18</v>
      </c>
      <c r="J207" s="5" t="str">
        <f>VLOOKUP($F207,DDE!$A:$AJ,J$1,FALSE)</f>
        <v xml:space="preserve"> -</v>
      </c>
      <c r="K207" s="5" t="str">
        <f>VLOOKUP($F207,DDE!$A:$AJ,K$1,FALSE)</f>
        <v xml:space="preserve"> -</v>
      </c>
      <c r="L207" s="5">
        <f>VLOOKUP($F207,DDE!$A:$AJ,L$1,FALSE)</f>
        <v>872505</v>
      </c>
      <c r="M207" s="5">
        <f>VLOOKUP($F207,DDE!$A:$AJ,M$1,FALSE)</f>
        <v>13893.03</v>
      </c>
      <c r="N207" s="5">
        <f>VLOOKUP($F207,DDE!$A:$AJ,N$1,FALSE)</f>
        <v>13945.78</v>
      </c>
      <c r="O207" s="5">
        <f>VLOOKUP($F207,DDE!$A:$AJ,O$1,FALSE)</f>
        <v>13875.82</v>
      </c>
      <c r="P207" s="5" t="str">
        <f>VLOOKUP($F207,DDE!$A:$AJ,P$1,FALSE)</f>
        <v xml:space="preserve"> -</v>
      </c>
      <c r="Q207" s="5" t="str">
        <f>VLOOKUP($F207,DDE!$A:$AJ,Q$1,FALSE)</f>
        <v xml:space="preserve"> -</v>
      </c>
      <c r="R207" s="5">
        <f t="shared" si="48"/>
        <v>13886.58</v>
      </c>
      <c r="S207" s="5">
        <f>VLOOKUP(D207,cmoney!$A:$M,12,FALSE)</f>
        <v>895</v>
      </c>
      <c r="U207" s="5" t="str">
        <f t="shared" si="40"/>
        <v/>
      </c>
      <c r="V207" s="5" t="str">
        <f t="shared" si="41"/>
        <v>6510</v>
      </c>
      <c r="W207" s="5" t="str">
        <f t="shared" si="42"/>
        <v>精測</v>
      </c>
      <c r="X207" s="5" t="str">
        <f t="shared" si="43"/>
        <v>OXF</v>
      </c>
      <c r="Y207" s="49">
        <f>VLOOKUP($X207,股期名單!$L:$M,2,FALSE)</f>
        <v>2000</v>
      </c>
      <c r="Z207" s="5" t="str">
        <f t="shared" si="44"/>
        <v>OXFC1</v>
      </c>
      <c r="AA207" s="7">
        <f t="shared" si="45"/>
        <v>7.374301675977653E-3</v>
      </c>
      <c r="AB207" s="5">
        <f>VLOOKUP($F207,DDE!$A:$AJ,AB$1,FALSE)</f>
        <v>6.6</v>
      </c>
      <c r="AC207" s="5">
        <f>VLOOKUP($F207,DDE!$A:$AJ,AC$1,FALSE)</f>
        <v>13893.18</v>
      </c>
      <c r="AD207" s="5" t="str">
        <f>VLOOKUP($F207,DDE!$A:$AJ,AD$1,FALSE)</f>
        <v xml:space="preserve"> -</v>
      </c>
      <c r="AE207" s="5" t="str">
        <f>VLOOKUP($F207,DDE!$A:$AJ,AE$1,FALSE)</f>
        <v xml:space="preserve"> -</v>
      </c>
      <c r="AF207" s="5">
        <f>VLOOKUP($F207,DDE!$A:$AJ,AF$1,FALSE)</f>
        <v>872505</v>
      </c>
      <c r="AG207" s="5">
        <f>VLOOKUP($F207,DDE!$A:$AJ,AG$1,FALSE)</f>
        <v>13893.03</v>
      </c>
      <c r="AH207" s="5">
        <f>VLOOKUP($F207,DDE!$A:$AJ,AH$1,FALSE)</f>
        <v>13945.78</v>
      </c>
      <c r="AI207" s="5">
        <f>VLOOKUP($F207,DDE!$A:$AJ,AI$1,FALSE)</f>
        <v>13875.82</v>
      </c>
      <c r="AJ207" s="5" t="str">
        <f>VLOOKUP($F207,DDE!$A:$AJ,AJ$1,FALSE)</f>
        <v xml:space="preserve"> -</v>
      </c>
      <c r="AK207" s="5" t="str">
        <f>VLOOKUP($F207,DDE!$A:$AJ,AK$1,FALSE)</f>
        <v xml:space="preserve"> -</v>
      </c>
      <c r="AL207" s="5">
        <f t="shared" si="46"/>
        <v>13886.58</v>
      </c>
      <c r="AM207" s="5">
        <f>VLOOKUP(X207,cmoney!$A:$M,12,FALSE)</f>
        <v>895</v>
      </c>
    </row>
    <row r="208" spans="1:39" x14ac:dyDescent="0.25">
      <c r="A208" s="5" t="str">
        <f t="shared" si="38"/>
        <v>小型</v>
      </c>
      <c r="B208" s="5" t="s">
        <v>801</v>
      </c>
      <c r="C208" s="5" t="s">
        <v>582</v>
      </c>
      <c r="D208" s="5" t="s">
        <v>1091</v>
      </c>
      <c r="E208" s="5">
        <f>VLOOKUP($D208,股期名單!$L:$M,2,FALSE)</f>
        <v>100</v>
      </c>
      <c r="F208" s="5" t="str">
        <f t="shared" si="49"/>
        <v>OYFB1</v>
      </c>
      <c r="G208" s="7">
        <f t="shared" si="39"/>
        <v>-1.6446927374301677E-2</v>
      </c>
      <c r="H208" s="5">
        <f>VLOOKUP($F208,DDE!$A:$AJ,H$1,FALSE)</f>
        <v>-14.72</v>
      </c>
      <c r="I208" s="5">
        <f>VLOOKUP($F208,DDE!$A:$AJ,I$1,FALSE)</f>
        <v>16428.68</v>
      </c>
      <c r="J208" s="5" t="str">
        <f>VLOOKUP($F208,DDE!$A:$AJ,J$1,FALSE)</f>
        <v xml:space="preserve"> -</v>
      </c>
      <c r="K208" s="5" t="str">
        <f>VLOOKUP($F208,DDE!$A:$AJ,K$1,FALSE)</f>
        <v xml:space="preserve"> -</v>
      </c>
      <c r="L208" s="5">
        <f>VLOOKUP($F208,DDE!$A:$AJ,L$1,FALSE)</f>
        <v>4022793</v>
      </c>
      <c r="M208" s="5">
        <f>VLOOKUP($F208,DDE!$A:$AJ,M$1,FALSE)</f>
        <v>16329.54</v>
      </c>
      <c r="N208" s="5">
        <f>VLOOKUP($F208,DDE!$A:$AJ,N$1,FALSE)</f>
        <v>16456.939999999999</v>
      </c>
      <c r="O208" s="5">
        <f>VLOOKUP($F208,DDE!$A:$AJ,O$1,FALSE)</f>
        <v>16329.54</v>
      </c>
      <c r="P208" s="5" t="str">
        <f>VLOOKUP($F208,DDE!$A:$AJ,P$1,FALSE)</f>
        <v xml:space="preserve"> -</v>
      </c>
      <c r="Q208" s="5" t="str">
        <f>VLOOKUP($F208,DDE!$A:$AJ,Q$1,FALSE)</f>
        <v xml:space="preserve"> -</v>
      </c>
      <c r="R208" s="5">
        <f t="shared" si="48"/>
        <v>16443.400000000001</v>
      </c>
      <c r="S208" s="5">
        <f>VLOOKUP(D208,cmoney!$A:$M,12,FALSE)</f>
        <v>895</v>
      </c>
      <c r="U208" s="5" t="str">
        <f t="shared" si="40"/>
        <v>小型</v>
      </c>
      <c r="V208" s="5" t="str">
        <f t="shared" si="41"/>
        <v>6510</v>
      </c>
      <c r="W208" s="5" t="str">
        <f t="shared" si="42"/>
        <v>精測</v>
      </c>
      <c r="X208" s="5" t="str">
        <f t="shared" si="43"/>
        <v>OYF</v>
      </c>
      <c r="Y208" s="49">
        <f>VLOOKUP($X208,股期名單!$L:$M,2,FALSE)</f>
        <v>100</v>
      </c>
      <c r="Z208" s="5" t="str">
        <f t="shared" si="44"/>
        <v>OYFC1</v>
      </c>
      <c r="AA208" s="7">
        <f t="shared" si="45"/>
        <v>-1.6446927374301677E-2</v>
      </c>
      <c r="AB208" s="5">
        <f>VLOOKUP($F208,DDE!$A:$AJ,AB$1,FALSE)</f>
        <v>-14.72</v>
      </c>
      <c r="AC208" s="5">
        <f>VLOOKUP($F208,DDE!$A:$AJ,AC$1,FALSE)</f>
        <v>16428.68</v>
      </c>
      <c r="AD208" s="5" t="str">
        <f>VLOOKUP($F208,DDE!$A:$AJ,AD$1,FALSE)</f>
        <v xml:space="preserve"> -</v>
      </c>
      <c r="AE208" s="5" t="str">
        <f>VLOOKUP($F208,DDE!$A:$AJ,AE$1,FALSE)</f>
        <v xml:space="preserve"> -</v>
      </c>
      <c r="AF208" s="5">
        <f>VLOOKUP($F208,DDE!$A:$AJ,AF$1,FALSE)</f>
        <v>4022793</v>
      </c>
      <c r="AG208" s="5">
        <f>VLOOKUP($F208,DDE!$A:$AJ,AG$1,FALSE)</f>
        <v>16329.54</v>
      </c>
      <c r="AH208" s="5">
        <f>VLOOKUP($F208,DDE!$A:$AJ,AH$1,FALSE)</f>
        <v>16456.939999999999</v>
      </c>
      <c r="AI208" s="5">
        <f>VLOOKUP($F208,DDE!$A:$AJ,AI$1,FALSE)</f>
        <v>16329.54</v>
      </c>
      <c r="AJ208" s="5" t="str">
        <f>VLOOKUP($F208,DDE!$A:$AJ,AJ$1,FALSE)</f>
        <v xml:space="preserve"> -</v>
      </c>
      <c r="AK208" s="5" t="str">
        <f>VLOOKUP($F208,DDE!$A:$AJ,AK$1,FALSE)</f>
        <v xml:space="preserve"> -</v>
      </c>
      <c r="AL208" s="5">
        <f t="shared" si="46"/>
        <v>16443.400000000001</v>
      </c>
      <c r="AM208" s="5">
        <f>VLOOKUP(X208,cmoney!$A:$M,12,FALSE)</f>
        <v>895</v>
      </c>
    </row>
    <row r="209" spans="1:39" x14ac:dyDescent="0.25">
      <c r="A209" s="5" t="str">
        <f t="shared" si="38"/>
        <v/>
      </c>
      <c r="B209" s="5" t="s">
        <v>1092</v>
      </c>
      <c r="C209" s="5" t="s">
        <v>852</v>
      </c>
      <c r="D209" s="5" t="s">
        <v>1093</v>
      </c>
      <c r="E209" s="5">
        <f>VLOOKUP($D209,股期名單!$L:$M,2,FALSE)</f>
        <v>2000</v>
      </c>
      <c r="F209" s="5" t="str">
        <f t="shared" si="49"/>
        <v>PVFB1</v>
      </c>
      <c r="G209" s="7" t="e">
        <f t="shared" si="39"/>
        <v>#VALUE!</v>
      </c>
      <c r="H209" s="5" t="str">
        <f>VLOOKUP($F209,DDE!$A:$AJ,H$1,FALSE)</f>
        <v xml:space="preserve"> </v>
      </c>
      <c r="I209" s="5">
        <f>VLOOKUP($F209,DDE!$A:$AJ,I$1,FALSE)</f>
        <v>20878632</v>
      </c>
      <c r="J209" s="5" t="str">
        <f>VLOOKUP($F209,DDE!$A:$AJ,J$1,FALSE)</f>
        <v xml:space="preserve"> -</v>
      </c>
      <c r="K209" s="5" t="str">
        <f>VLOOKUP($F209,DDE!$A:$AJ,K$1,FALSE)</f>
        <v xml:space="preserve"> -</v>
      </c>
      <c r="L209" s="5">
        <f>VLOOKUP($F209,DDE!$A:$AJ,L$1,FALSE)</f>
        <v>2088371110</v>
      </c>
      <c r="M209" s="5">
        <f>VLOOKUP($F209,DDE!$A:$AJ,M$1,FALSE)</f>
        <v>20803788</v>
      </c>
      <c r="N209" s="5">
        <f>VLOOKUP($F209,DDE!$A:$AJ,N$1,FALSE)</f>
        <v>20804690</v>
      </c>
      <c r="O209" s="5">
        <f>VLOOKUP($F209,DDE!$A:$AJ,O$1,FALSE)</f>
        <v>10989732</v>
      </c>
      <c r="P209" s="5" t="str">
        <f>VLOOKUP($F209,DDE!$A:$AJ,P$1,FALSE)</f>
        <v xml:space="preserve"> -</v>
      </c>
      <c r="Q209" s="5" t="str">
        <f>VLOOKUP($F209,DDE!$A:$AJ,Q$1,FALSE)</f>
        <v xml:space="preserve"> -</v>
      </c>
      <c r="R209" s="5" t="e">
        <f t="shared" ref="R209:R225" si="50">IF(L209&gt;0,I209-H209,"")</f>
        <v>#VALUE!</v>
      </c>
      <c r="S209" s="5">
        <f>VLOOKUP(D209,cmoney!$A:$M,12,FALSE)</f>
        <v>849</v>
      </c>
      <c r="U209" s="5" t="str">
        <f t="shared" si="40"/>
        <v/>
      </c>
      <c r="V209" s="5" t="str">
        <f t="shared" si="41"/>
        <v>6669</v>
      </c>
      <c r="W209" s="5" t="str">
        <f t="shared" si="42"/>
        <v>緯穎</v>
      </c>
      <c r="X209" s="5" t="str">
        <f t="shared" si="43"/>
        <v>PVF</v>
      </c>
      <c r="Y209" s="49">
        <f>VLOOKUP($X209,股期名單!$L:$M,2,FALSE)</f>
        <v>2000</v>
      </c>
      <c r="Z209" s="5" t="str">
        <f t="shared" si="44"/>
        <v>PVFC1</v>
      </c>
      <c r="AA209" s="7" t="e">
        <f t="shared" si="45"/>
        <v>#VALUE!</v>
      </c>
      <c r="AB209" s="5" t="str">
        <f>VLOOKUP($F209,DDE!$A:$AJ,AB$1,FALSE)</f>
        <v xml:space="preserve"> </v>
      </c>
      <c r="AC209" s="5">
        <f>VLOOKUP($F209,DDE!$A:$AJ,AC$1,FALSE)</f>
        <v>20878632</v>
      </c>
      <c r="AD209" s="5" t="str">
        <f>VLOOKUP($F209,DDE!$A:$AJ,AD$1,FALSE)</f>
        <v xml:space="preserve"> -</v>
      </c>
      <c r="AE209" s="5" t="str">
        <f>VLOOKUP($F209,DDE!$A:$AJ,AE$1,FALSE)</f>
        <v xml:space="preserve"> -</v>
      </c>
      <c r="AF209" s="5">
        <f>VLOOKUP($F209,DDE!$A:$AJ,AF$1,FALSE)</f>
        <v>2088371110</v>
      </c>
      <c r="AG209" s="5">
        <f>VLOOKUP($F209,DDE!$A:$AJ,AG$1,FALSE)</f>
        <v>20803788</v>
      </c>
      <c r="AH209" s="5">
        <f>VLOOKUP($F209,DDE!$A:$AJ,AH$1,FALSE)</f>
        <v>20804690</v>
      </c>
      <c r="AI209" s="5">
        <f>VLOOKUP($F209,DDE!$A:$AJ,AI$1,FALSE)</f>
        <v>10989732</v>
      </c>
      <c r="AJ209" s="5" t="str">
        <f>VLOOKUP($F209,DDE!$A:$AJ,AJ$1,FALSE)</f>
        <v xml:space="preserve"> -</v>
      </c>
      <c r="AK209" s="5" t="str">
        <f>VLOOKUP($F209,DDE!$A:$AJ,AK$1,FALSE)</f>
        <v xml:space="preserve"> -</v>
      </c>
      <c r="AL209" s="5" t="e">
        <f t="shared" si="46"/>
        <v>#VALUE!</v>
      </c>
      <c r="AM209" s="5">
        <f>VLOOKUP(X209,cmoney!$A:$M,12,FALSE)</f>
        <v>849</v>
      </c>
    </row>
    <row r="210" spans="1:39" x14ac:dyDescent="0.25">
      <c r="A210" s="5" t="str">
        <f t="shared" ref="A210:A225" si="51">IF(E210=10000,"ETF",IF(E210&lt;&gt;2000,"小型",""))</f>
        <v>小型</v>
      </c>
      <c r="B210" s="5" t="s">
        <v>1092</v>
      </c>
      <c r="C210" s="5" t="s">
        <v>852</v>
      </c>
      <c r="D210" s="5" t="s">
        <v>1094</v>
      </c>
      <c r="E210" s="5">
        <f>VLOOKUP($D210,股期名單!$L:$M,2,FALSE)</f>
        <v>100</v>
      </c>
      <c r="F210" s="5" t="str">
        <f t="shared" si="49"/>
        <v>PWFB1</v>
      </c>
      <c r="G210" s="7">
        <f t="shared" ref="G210:G225" si="52">IF(S210&lt;&gt;"",H210/S210,"")</f>
        <v>-2.4546525323910481E-2</v>
      </c>
      <c r="H210" s="5">
        <f>VLOOKUP($F210,DDE!$A:$AJ,H$1,FALSE)</f>
        <v>-20.84</v>
      </c>
      <c r="I210" s="5">
        <f>VLOOKUP($F210,DDE!$A:$AJ,I$1,FALSE)</f>
        <v>16422.560000000001</v>
      </c>
      <c r="J210" s="5" t="str">
        <f>VLOOKUP($F210,DDE!$A:$AJ,J$1,FALSE)</f>
        <v xml:space="preserve"> -</v>
      </c>
      <c r="K210" s="5" t="str">
        <f>VLOOKUP($F210,DDE!$A:$AJ,K$1,FALSE)</f>
        <v xml:space="preserve"> -</v>
      </c>
      <c r="L210" s="5">
        <f>VLOOKUP($F210,DDE!$A:$AJ,L$1,FALSE)</f>
        <v>4024617</v>
      </c>
      <c r="M210" s="5">
        <f>VLOOKUP($F210,DDE!$A:$AJ,M$1,FALSE)</f>
        <v>16329.54</v>
      </c>
      <c r="N210" s="5">
        <f>VLOOKUP($F210,DDE!$A:$AJ,N$1,FALSE)</f>
        <v>16456.939999999999</v>
      </c>
      <c r="O210" s="5">
        <f>VLOOKUP($F210,DDE!$A:$AJ,O$1,FALSE)</f>
        <v>16329.54</v>
      </c>
      <c r="P210" s="5" t="str">
        <f>VLOOKUP($F210,DDE!$A:$AJ,P$1,FALSE)</f>
        <v xml:space="preserve"> -</v>
      </c>
      <c r="Q210" s="5" t="str">
        <f>VLOOKUP($F210,DDE!$A:$AJ,Q$1,FALSE)</f>
        <v xml:space="preserve"> -</v>
      </c>
      <c r="R210" s="5">
        <f t="shared" si="50"/>
        <v>16443.400000000001</v>
      </c>
      <c r="S210" s="5">
        <f>VLOOKUP(D210,cmoney!$A:$M,12,FALSE)</f>
        <v>849</v>
      </c>
      <c r="U210" s="5" t="str">
        <f t="shared" ref="U210:U225" si="53">A210</f>
        <v>小型</v>
      </c>
      <c r="V210" s="5" t="str">
        <f t="shared" ref="V210:V225" si="54">B210</f>
        <v>6669</v>
      </c>
      <c r="W210" s="5" t="str">
        <f t="shared" ref="W210:W225" si="55">C210</f>
        <v>緯穎</v>
      </c>
      <c r="X210" s="5" t="str">
        <f t="shared" ref="X210:X225" si="56">D210</f>
        <v>PWF</v>
      </c>
      <c r="Y210" s="49">
        <f>VLOOKUP($X210,股期名單!$L:$M,2,FALSE)</f>
        <v>100</v>
      </c>
      <c r="Z210" s="5" t="str">
        <f t="shared" ref="Z210:Z225" si="57">$X210&amp;$Y$1&amp;$Z$1</f>
        <v>PWFC1</v>
      </c>
      <c r="AA210" s="7">
        <f t="shared" ref="AA210:AA225" si="58">IF(AM210&lt;&gt;"",AB210/AM210,"")</f>
        <v>-2.4546525323910481E-2</v>
      </c>
      <c r="AB210" s="5">
        <f>VLOOKUP($F210,DDE!$A:$AJ,AB$1,FALSE)</f>
        <v>-20.84</v>
      </c>
      <c r="AC210" s="5">
        <f>VLOOKUP($F210,DDE!$A:$AJ,AC$1,FALSE)</f>
        <v>16422.560000000001</v>
      </c>
      <c r="AD210" s="5" t="str">
        <f>VLOOKUP($F210,DDE!$A:$AJ,AD$1,FALSE)</f>
        <v xml:space="preserve"> -</v>
      </c>
      <c r="AE210" s="5" t="str">
        <f>VLOOKUP($F210,DDE!$A:$AJ,AE$1,FALSE)</f>
        <v xml:space="preserve"> -</v>
      </c>
      <c r="AF210" s="5">
        <f>VLOOKUP($F210,DDE!$A:$AJ,AF$1,FALSE)</f>
        <v>4024617</v>
      </c>
      <c r="AG210" s="5">
        <f>VLOOKUP($F210,DDE!$A:$AJ,AG$1,FALSE)</f>
        <v>16329.54</v>
      </c>
      <c r="AH210" s="5">
        <f>VLOOKUP($F210,DDE!$A:$AJ,AH$1,FALSE)</f>
        <v>16456.939999999999</v>
      </c>
      <c r="AI210" s="5">
        <f>VLOOKUP($F210,DDE!$A:$AJ,AI$1,FALSE)</f>
        <v>16329.54</v>
      </c>
      <c r="AJ210" s="5" t="str">
        <f>VLOOKUP($F210,DDE!$A:$AJ,AJ$1,FALSE)</f>
        <v xml:space="preserve"> -</v>
      </c>
      <c r="AK210" s="5" t="str">
        <f>VLOOKUP($F210,DDE!$A:$AJ,AK$1,FALSE)</f>
        <v xml:space="preserve"> -</v>
      </c>
      <c r="AL210" s="5">
        <f t="shared" ref="AL210:AL225" si="59">IF(AF210&gt;0,AC210-AB210,"")</f>
        <v>16443.400000000001</v>
      </c>
      <c r="AM210" s="5">
        <f>VLOOKUP(X210,cmoney!$A:$M,12,FALSE)</f>
        <v>849</v>
      </c>
    </row>
    <row r="211" spans="1:39" x14ac:dyDescent="0.25">
      <c r="A211" s="5" t="str">
        <f t="shared" si="51"/>
        <v/>
      </c>
      <c r="B211" s="5" t="s">
        <v>744</v>
      </c>
      <c r="C211" s="5" t="s">
        <v>377</v>
      </c>
      <c r="D211" s="5" t="s">
        <v>1095</v>
      </c>
      <c r="E211" s="5">
        <f>VLOOKUP($D211,股期名單!$L:$M,2,FALSE)</f>
        <v>2000</v>
      </c>
      <c r="F211" s="5" t="str">
        <f t="shared" si="49"/>
        <v>KIFB1</v>
      </c>
      <c r="G211" s="7">
        <f t="shared" si="52"/>
        <v>-0.35530303030303034</v>
      </c>
      <c r="H211" s="5">
        <f>VLOOKUP($F211,DDE!$A:$AJ,H$1,FALSE)</f>
        <v>-18.760000000000002</v>
      </c>
      <c r="I211" s="5">
        <f>VLOOKUP($F211,DDE!$A:$AJ,I$1,FALSE)</f>
        <v>16424.64</v>
      </c>
      <c r="J211" s="5" t="str">
        <f>VLOOKUP($F211,DDE!$A:$AJ,J$1,FALSE)</f>
        <v xml:space="preserve"> -</v>
      </c>
      <c r="K211" s="5" t="str">
        <f>VLOOKUP($F211,DDE!$A:$AJ,K$1,FALSE)</f>
        <v xml:space="preserve"> -</v>
      </c>
      <c r="L211" s="5">
        <f>VLOOKUP($F211,DDE!$A:$AJ,L$1,FALSE)</f>
        <v>4020107</v>
      </c>
      <c r="M211" s="5">
        <f>VLOOKUP($F211,DDE!$A:$AJ,M$1,FALSE)</f>
        <v>16329.54</v>
      </c>
      <c r="N211" s="5">
        <f>VLOOKUP($F211,DDE!$A:$AJ,N$1,FALSE)</f>
        <v>16456.939999999999</v>
      </c>
      <c r="O211" s="5">
        <f>VLOOKUP($F211,DDE!$A:$AJ,O$1,FALSE)</f>
        <v>16329.54</v>
      </c>
      <c r="P211" s="5" t="str">
        <f>VLOOKUP($F211,DDE!$A:$AJ,P$1,FALSE)</f>
        <v xml:space="preserve"> -</v>
      </c>
      <c r="Q211" s="5" t="str">
        <f>VLOOKUP($F211,DDE!$A:$AJ,Q$1,FALSE)</f>
        <v xml:space="preserve"> -</v>
      </c>
      <c r="R211" s="5">
        <f t="shared" si="50"/>
        <v>16443.399999999998</v>
      </c>
      <c r="S211" s="5">
        <f>VLOOKUP(D211,cmoney!$A:$M,12,FALSE)</f>
        <v>52.8</v>
      </c>
      <c r="U211" s="5" t="str">
        <f t="shared" si="53"/>
        <v/>
      </c>
      <c r="V211" s="5" t="str">
        <f t="shared" si="54"/>
        <v>8039</v>
      </c>
      <c r="W211" s="5" t="str">
        <f t="shared" si="55"/>
        <v>台虹</v>
      </c>
      <c r="X211" s="5" t="str">
        <f t="shared" si="56"/>
        <v>KIF</v>
      </c>
      <c r="Y211" s="49">
        <f>VLOOKUP($X211,股期名單!$L:$M,2,FALSE)</f>
        <v>2000</v>
      </c>
      <c r="Z211" s="5" t="str">
        <f t="shared" si="57"/>
        <v>KIFC1</v>
      </c>
      <c r="AA211" s="7">
        <f t="shared" si="58"/>
        <v>-0.35530303030303034</v>
      </c>
      <c r="AB211" s="5">
        <f>VLOOKUP($F211,DDE!$A:$AJ,AB$1,FALSE)</f>
        <v>-18.760000000000002</v>
      </c>
      <c r="AC211" s="5">
        <f>VLOOKUP($F211,DDE!$A:$AJ,AC$1,FALSE)</f>
        <v>16424.64</v>
      </c>
      <c r="AD211" s="5" t="str">
        <f>VLOOKUP($F211,DDE!$A:$AJ,AD$1,FALSE)</f>
        <v xml:space="preserve"> -</v>
      </c>
      <c r="AE211" s="5" t="str">
        <f>VLOOKUP($F211,DDE!$A:$AJ,AE$1,FALSE)</f>
        <v xml:space="preserve"> -</v>
      </c>
      <c r="AF211" s="5">
        <f>VLOOKUP($F211,DDE!$A:$AJ,AF$1,FALSE)</f>
        <v>4020107</v>
      </c>
      <c r="AG211" s="5">
        <f>VLOOKUP($F211,DDE!$A:$AJ,AG$1,FALSE)</f>
        <v>16329.54</v>
      </c>
      <c r="AH211" s="5">
        <f>VLOOKUP($F211,DDE!$A:$AJ,AH$1,FALSE)</f>
        <v>16456.939999999999</v>
      </c>
      <c r="AI211" s="5">
        <f>VLOOKUP($F211,DDE!$A:$AJ,AI$1,FALSE)</f>
        <v>16329.54</v>
      </c>
      <c r="AJ211" s="5" t="str">
        <f>VLOOKUP($F211,DDE!$A:$AJ,AJ$1,FALSE)</f>
        <v xml:space="preserve"> -</v>
      </c>
      <c r="AK211" s="5" t="str">
        <f>VLOOKUP($F211,DDE!$A:$AJ,AK$1,FALSE)</f>
        <v xml:space="preserve"> -</v>
      </c>
      <c r="AL211" s="5">
        <f t="shared" si="59"/>
        <v>16443.399999999998</v>
      </c>
      <c r="AM211" s="5">
        <f>VLOOKUP(X211,cmoney!$A:$M,12,FALSE)</f>
        <v>52.8</v>
      </c>
    </row>
    <row r="212" spans="1:39" x14ac:dyDescent="0.25">
      <c r="A212" s="5" t="str">
        <f t="shared" si="51"/>
        <v/>
      </c>
      <c r="B212" s="5" t="s">
        <v>786</v>
      </c>
      <c r="C212" s="5" t="s">
        <v>503</v>
      </c>
      <c r="D212" s="5" t="s">
        <v>1096</v>
      </c>
      <c r="E212" s="5">
        <f>VLOOKUP($D212,股期名單!$L:$M,2,FALSE)</f>
        <v>2000</v>
      </c>
      <c r="F212" s="5" t="str">
        <f t="shared" si="49"/>
        <v>NUFB1</v>
      </c>
      <c r="G212" s="7">
        <f t="shared" si="52"/>
        <v>-0.24575471698113208</v>
      </c>
      <c r="H212" s="5">
        <f>VLOOKUP($F212,DDE!$A:$AJ,H$1,FALSE)</f>
        <v>-20.84</v>
      </c>
      <c r="I212" s="5">
        <f>VLOOKUP($F212,DDE!$A:$AJ,I$1,FALSE)</f>
        <v>16422.560000000001</v>
      </c>
      <c r="J212" s="5" t="str">
        <f>VLOOKUP($F212,DDE!$A:$AJ,J$1,FALSE)</f>
        <v xml:space="preserve"> -</v>
      </c>
      <c r="K212" s="5" t="str">
        <f>VLOOKUP($F212,DDE!$A:$AJ,K$1,FALSE)</f>
        <v xml:space="preserve"> -</v>
      </c>
      <c r="L212" s="5">
        <f>VLOOKUP($F212,DDE!$A:$AJ,L$1,FALSE)</f>
        <v>4024617</v>
      </c>
      <c r="M212" s="5">
        <f>VLOOKUP($F212,DDE!$A:$AJ,M$1,FALSE)</f>
        <v>16329.54</v>
      </c>
      <c r="N212" s="5">
        <f>VLOOKUP($F212,DDE!$A:$AJ,N$1,FALSE)</f>
        <v>16456.939999999999</v>
      </c>
      <c r="O212" s="5">
        <f>VLOOKUP($F212,DDE!$A:$AJ,O$1,FALSE)</f>
        <v>16329.54</v>
      </c>
      <c r="P212" s="5" t="str">
        <f>VLOOKUP($F212,DDE!$A:$AJ,P$1,FALSE)</f>
        <v xml:space="preserve"> -</v>
      </c>
      <c r="Q212" s="5" t="str">
        <f>VLOOKUP($F212,DDE!$A:$AJ,Q$1,FALSE)</f>
        <v xml:space="preserve"> -</v>
      </c>
      <c r="R212" s="5">
        <f t="shared" si="50"/>
        <v>16443.400000000001</v>
      </c>
      <c r="S212" s="5">
        <f>VLOOKUP(D212,cmoney!$A:$M,12,FALSE)</f>
        <v>84.8</v>
      </c>
      <c r="U212" s="5" t="str">
        <f t="shared" si="53"/>
        <v/>
      </c>
      <c r="V212" s="5" t="str">
        <f t="shared" si="54"/>
        <v>8044</v>
      </c>
      <c r="W212" s="5" t="str">
        <f t="shared" si="55"/>
        <v>網家</v>
      </c>
      <c r="X212" s="5" t="str">
        <f t="shared" si="56"/>
        <v>NUF</v>
      </c>
      <c r="Y212" s="49">
        <f>VLOOKUP($X212,股期名單!$L:$M,2,FALSE)</f>
        <v>2000</v>
      </c>
      <c r="Z212" s="5" t="str">
        <f t="shared" si="57"/>
        <v>NUFC1</v>
      </c>
      <c r="AA212" s="7">
        <f t="shared" si="58"/>
        <v>-0.24575471698113208</v>
      </c>
      <c r="AB212" s="5">
        <f>VLOOKUP($F212,DDE!$A:$AJ,AB$1,FALSE)</f>
        <v>-20.84</v>
      </c>
      <c r="AC212" s="5">
        <f>VLOOKUP($F212,DDE!$A:$AJ,AC$1,FALSE)</f>
        <v>16422.560000000001</v>
      </c>
      <c r="AD212" s="5" t="str">
        <f>VLOOKUP($F212,DDE!$A:$AJ,AD$1,FALSE)</f>
        <v xml:space="preserve"> -</v>
      </c>
      <c r="AE212" s="5" t="str">
        <f>VLOOKUP($F212,DDE!$A:$AJ,AE$1,FALSE)</f>
        <v xml:space="preserve"> -</v>
      </c>
      <c r="AF212" s="5">
        <f>VLOOKUP($F212,DDE!$A:$AJ,AF$1,FALSE)</f>
        <v>4024617</v>
      </c>
      <c r="AG212" s="5">
        <f>VLOOKUP($F212,DDE!$A:$AJ,AG$1,FALSE)</f>
        <v>16329.54</v>
      </c>
      <c r="AH212" s="5">
        <f>VLOOKUP($F212,DDE!$A:$AJ,AH$1,FALSE)</f>
        <v>16456.939999999999</v>
      </c>
      <c r="AI212" s="5">
        <f>VLOOKUP($F212,DDE!$A:$AJ,AI$1,FALSE)</f>
        <v>16329.54</v>
      </c>
      <c r="AJ212" s="5" t="str">
        <f>VLOOKUP($F212,DDE!$A:$AJ,AJ$1,FALSE)</f>
        <v xml:space="preserve"> -</v>
      </c>
      <c r="AK212" s="5" t="str">
        <f>VLOOKUP($F212,DDE!$A:$AJ,AK$1,FALSE)</f>
        <v xml:space="preserve"> -</v>
      </c>
      <c r="AL212" s="5">
        <f t="shared" si="59"/>
        <v>16443.400000000001</v>
      </c>
      <c r="AM212" s="5">
        <f>VLOOKUP(X212,cmoney!$A:$M,12,FALSE)</f>
        <v>84.8</v>
      </c>
    </row>
    <row r="213" spans="1:39" x14ac:dyDescent="0.25">
      <c r="A213" s="5" t="str">
        <f t="shared" si="51"/>
        <v/>
      </c>
      <c r="B213" s="5" t="s">
        <v>764</v>
      </c>
      <c r="C213" s="5" t="s">
        <v>437</v>
      </c>
      <c r="D213" s="5" t="s">
        <v>1097</v>
      </c>
      <c r="E213" s="5">
        <f>VLOOKUP($D213,股期名單!$L:$M,2,FALSE)</f>
        <v>2000</v>
      </c>
      <c r="F213" s="5" t="str">
        <f t="shared" si="49"/>
        <v>LYFB1</v>
      </c>
      <c r="G213" s="7">
        <f t="shared" si="52"/>
        <v>2.4548611111111111E-2</v>
      </c>
      <c r="H213" s="5">
        <f>VLOOKUP($F213,DDE!$A:$AJ,H$1,FALSE)</f>
        <v>7.07</v>
      </c>
      <c r="I213" s="5">
        <f>VLOOKUP($F213,DDE!$A:$AJ,I$1,FALSE)</f>
        <v>13893.65</v>
      </c>
      <c r="J213" s="5" t="str">
        <f>VLOOKUP($F213,DDE!$A:$AJ,J$1,FALSE)</f>
        <v xml:space="preserve"> -</v>
      </c>
      <c r="K213" s="5" t="str">
        <f>VLOOKUP($F213,DDE!$A:$AJ,K$1,FALSE)</f>
        <v xml:space="preserve"> -</v>
      </c>
      <c r="L213" s="5">
        <f>VLOOKUP($F213,DDE!$A:$AJ,L$1,FALSE)</f>
        <v>871785</v>
      </c>
      <c r="M213" s="5">
        <f>VLOOKUP($F213,DDE!$A:$AJ,M$1,FALSE)</f>
        <v>13893.03</v>
      </c>
      <c r="N213" s="5">
        <f>VLOOKUP($F213,DDE!$A:$AJ,N$1,FALSE)</f>
        <v>13945.78</v>
      </c>
      <c r="O213" s="5">
        <f>VLOOKUP($F213,DDE!$A:$AJ,O$1,FALSE)</f>
        <v>13875.82</v>
      </c>
      <c r="P213" s="5" t="str">
        <f>VLOOKUP($F213,DDE!$A:$AJ,P$1,FALSE)</f>
        <v xml:space="preserve"> -</v>
      </c>
      <c r="Q213" s="5" t="str">
        <f>VLOOKUP($F213,DDE!$A:$AJ,Q$1,FALSE)</f>
        <v xml:space="preserve"> -</v>
      </c>
      <c r="R213" s="5">
        <f t="shared" si="50"/>
        <v>13886.58</v>
      </c>
      <c r="S213" s="5">
        <f>VLOOKUP(D213,cmoney!$A:$M,12,FALSE)</f>
        <v>288</v>
      </c>
      <c r="U213" s="5" t="str">
        <f t="shared" si="53"/>
        <v/>
      </c>
      <c r="V213" s="5" t="str">
        <f t="shared" si="54"/>
        <v>8046</v>
      </c>
      <c r="W213" s="5" t="str">
        <f t="shared" si="55"/>
        <v>南電</v>
      </c>
      <c r="X213" s="5" t="str">
        <f t="shared" si="56"/>
        <v>LYF</v>
      </c>
      <c r="Y213" s="49">
        <f>VLOOKUP($X213,股期名單!$L:$M,2,FALSE)</f>
        <v>2000</v>
      </c>
      <c r="Z213" s="5" t="str">
        <f t="shared" si="57"/>
        <v>LYFC1</v>
      </c>
      <c r="AA213" s="7">
        <f t="shared" si="58"/>
        <v>2.4548611111111111E-2</v>
      </c>
      <c r="AB213" s="5">
        <f>VLOOKUP($F213,DDE!$A:$AJ,AB$1,FALSE)</f>
        <v>7.07</v>
      </c>
      <c r="AC213" s="5">
        <f>VLOOKUP($F213,DDE!$A:$AJ,AC$1,FALSE)</f>
        <v>13893.65</v>
      </c>
      <c r="AD213" s="5" t="str">
        <f>VLOOKUP($F213,DDE!$A:$AJ,AD$1,FALSE)</f>
        <v xml:space="preserve"> -</v>
      </c>
      <c r="AE213" s="5" t="str">
        <f>VLOOKUP($F213,DDE!$A:$AJ,AE$1,FALSE)</f>
        <v xml:space="preserve"> -</v>
      </c>
      <c r="AF213" s="5">
        <f>VLOOKUP($F213,DDE!$A:$AJ,AF$1,FALSE)</f>
        <v>871785</v>
      </c>
      <c r="AG213" s="5">
        <f>VLOOKUP($F213,DDE!$A:$AJ,AG$1,FALSE)</f>
        <v>13893.03</v>
      </c>
      <c r="AH213" s="5">
        <f>VLOOKUP($F213,DDE!$A:$AJ,AH$1,FALSE)</f>
        <v>13945.78</v>
      </c>
      <c r="AI213" s="5">
        <f>VLOOKUP($F213,DDE!$A:$AJ,AI$1,FALSE)</f>
        <v>13875.82</v>
      </c>
      <c r="AJ213" s="5" t="str">
        <f>VLOOKUP($F213,DDE!$A:$AJ,AJ$1,FALSE)</f>
        <v xml:space="preserve"> -</v>
      </c>
      <c r="AK213" s="5" t="str">
        <f>VLOOKUP($F213,DDE!$A:$AJ,AK$1,FALSE)</f>
        <v xml:space="preserve"> -</v>
      </c>
      <c r="AL213" s="5">
        <f t="shared" si="59"/>
        <v>13886.58</v>
      </c>
      <c r="AM213" s="5">
        <f>VLOOKUP(X213,cmoney!$A:$M,12,FALSE)</f>
        <v>288</v>
      </c>
    </row>
    <row r="214" spans="1:39" x14ac:dyDescent="0.25">
      <c r="A214" s="5" t="str">
        <f t="shared" si="51"/>
        <v/>
      </c>
      <c r="B214" s="5" t="s">
        <v>787</v>
      </c>
      <c r="C214" s="5" t="s">
        <v>506</v>
      </c>
      <c r="D214" s="5" t="s">
        <v>1098</v>
      </c>
      <c r="E214" s="5">
        <f>VLOOKUP($D214,股期名單!$L:$M,2,FALSE)</f>
        <v>2000</v>
      </c>
      <c r="F214" s="5" t="str">
        <f t="shared" si="49"/>
        <v>NVFB1</v>
      </c>
      <c r="G214" s="7">
        <f t="shared" si="52"/>
        <v>-0.40231660231660232</v>
      </c>
      <c r="H214" s="5">
        <f>VLOOKUP($F214,DDE!$A:$AJ,H$1,FALSE)</f>
        <v>-20.84</v>
      </c>
      <c r="I214" s="5">
        <f>VLOOKUP($F214,DDE!$A:$AJ,I$1,FALSE)</f>
        <v>16422.560000000001</v>
      </c>
      <c r="J214" s="5" t="str">
        <f>VLOOKUP($F214,DDE!$A:$AJ,J$1,FALSE)</f>
        <v xml:space="preserve"> -</v>
      </c>
      <c r="K214" s="5" t="str">
        <f>VLOOKUP($F214,DDE!$A:$AJ,K$1,FALSE)</f>
        <v xml:space="preserve"> -</v>
      </c>
      <c r="L214" s="5">
        <f>VLOOKUP($F214,DDE!$A:$AJ,L$1,FALSE)</f>
        <v>4024617</v>
      </c>
      <c r="M214" s="5">
        <f>VLOOKUP($F214,DDE!$A:$AJ,M$1,FALSE)</f>
        <v>16329.54</v>
      </c>
      <c r="N214" s="5">
        <f>VLOOKUP($F214,DDE!$A:$AJ,N$1,FALSE)</f>
        <v>16456.939999999999</v>
      </c>
      <c r="O214" s="5">
        <f>VLOOKUP($F214,DDE!$A:$AJ,O$1,FALSE)</f>
        <v>16329.54</v>
      </c>
      <c r="P214" s="5" t="str">
        <f>VLOOKUP($F214,DDE!$A:$AJ,P$1,FALSE)</f>
        <v xml:space="preserve"> -</v>
      </c>
      <c r="Q214" s="5" t="str">
        <f>VLOOKUP($F214,DDE!$A:$AJ,Q$1,FALSE)</f>
        <v xml:space="preserve"> -</v>
      </c>
      <c r="R214" s="5">
        <f t="shared" si="50"/>
        <v>16443.400000000001</v>
      </c>
      <c r="S214" s="5">
        <f>VLOOKUP(D214,cmoney!$A:$M,12,FALSE)</f>
        <v>51.8</v>
      </c>
      <c r="U214" s="5" t="str">
        <f t="shared" si="53"/>
        <v/>
      </c>
      <c r="V214" s="5" t="str">
        <f t="shared" si="54"/>
        <v>8069</v>
      </c>
      <c r="W214" s="5" t="str">
        <f t="shared" si="55"/>
        <v>元太</v>
      </c>
      <c r="X214" s="5" t="str">
        <f t="shared" si="56"/>
        <v>NVF</v>
      </c>
      <c r="Y214" s="49">
        <f>VLOOKUP($X214,股期名單!$L:$M,2,FALSE)</f>
        <v>2000</v>
      </c>
      <c r="Z214" s="5" t="str">
        <f t="shared" si="57"/>
        <v>NVFC1</v>
      </c>
      <c r="AA214" s="7">
        <f t="shared" si="58"/>
        <v>-0.40231660231660232</v>
      </c>
      <c r="AB214" s="5">
        <f>VLOOKUP($F214,DDE!$A:$AJ,AB$1,FALSE)</f>
        <v>-20.84</v>
      </c>
      <c r="AC214" s="5">
        <f>VLOOKUP($F214,DDE!$A:$AJ,AC$1,FALSE)</f>
        <v>16422.560000000001</v>
      </c>
      <c r="AD214" s="5" t="str">
        <f>VLOOKUP($F214,DDE!$A:$AJ,AD$1,FALSE)</f>
        <v xml:space="preserve"> -</v>
      </c>
      <c r="AE214" s="5" t="str">
        <f>VLOOKUP($F214,DDE!$A:$AJ,AE$1,FALSE)</f>
        <v xml:space="preserve"> -</v>
      </c>
      <c r="AF214" s="5">
        <f>VLOOKUP($F214,DDE!$A:$AJ,AF$1,FALSE)</f>
        <v>4024617</v>
      </c>
      <c r="AG214" s="5">
        <f>VLOOKUP($F214,DDE!$A:$AJ,AG$1,FALSE)</f>
        <v>16329.54</v>
      </c>
      <c r="AH214" s="5">
        <f>VLOOKUP($F214,DDE!$A:$AJ,AH$1,FALSE)</f>
        <v>16456.939999999999</v>
      </c>
      <c r="AI214" s="5">
        <f>VLOOKUP($F214,DDE!$A:$AJ,AI$1,FALSE)</f>
        <v>16329.54</v>
      </c>
      <c r="AJ214" s="5" t="str">
        <f>VLOOKUP($F214,DDE!$A:$AJ,AJ$1,FALSE)</f>
        <v xml:space="preserve"> -</v>
      </c>
      <c r="AK214" s="5" t="str">
        <f>VLOOKUP($F214,DDE!$A:$AJ,AK$1,FALSE)</f>
        <v xml:space="preserve"> -</v>
      </c>
      <c r="AL214" s="5">
        <f t="shared" si="59"/>
        <v>16443.400000000001</v>
      </c>
      <c r="AM214" s="5">
        <f>VLOOKUP(X214,cmoney!$A:$M,12,FALSE)</f>
        <v>51.8</v>
      </c>
    </row>
    <row r="215" spans="1:39" x14ac:dyDescent="0.25">
      <c r="A215" s="5" t="str">
        <f t="shared" si="51"/>
        <v/>
      </c>
      <c r="B215" s="5" t="s">
        <v>1099</v>
      </c>
      <c r="C215" s="5" t="s">
        <v>842</v>
      </c>
      <c r="D215" s="5" t="s">
        <v>1100</v>
      </c>
      <c r="E215" s="5">
        <f>VLOOKUP($D215,股期名單!$L:$M,2,FALSE)</f>
        <v>2000</v>
      </c>
      <c r="F215" s="5" t="str">
        <f t="shared" si="49"/>
        <v>PRFB1</v>
      </c>
      <c r="G215" s="7">
        <f t="shared" si="52"/>
        <v>-0.12652818991097922</v>
      </c>
      <c r="H215" s="5">
        <f>VLOOKUP($F215,DDE!$A:$AJ,H$1,FALSE)</f>
        <v>-21.32</v>
      </c>
      <c r="I215" s="5">
        <f>VLOOKUP($F215,DDE!$A:$AJ,I$1,FALSE)</f>
        <v>16422.080000000002</v>
      </c>
      <c r="J215" s="5" t="str">
        <f>VLOOKUP($F215,DDE!$A:$AJ,J$1,FALSE)</f>
        <v xml:space="preserve"> -</v>
      </c>
      <c r="K215" s="5" t="str">
        <f>VLOOKUP($F215,DDE!$A:$AJ,K$1,FALSE)</f>
        <v xml:space="preserve"> -</v>
      </c>
      <c r="L215" s="5">
        <f>VLOOKUP($F215,DDE!$A:$AJ,L$1,FALSE)</f>
        <v>4018459</v>
      </c>
      <c r="M215" s="5">
        <f>VLOOKUP($F215,DDE!$A:$AJ,M$1,FALSE)</f>
        <v>16329.54</v>
      </c>
      <c r="N215" s="5">
        <f>VLOOKUP($F215,DDE!$A:$AJ,N$1,FALSE)</f>
        <v>16456.939999999999</v>
      </c>
      <c r="O215" s="5">
        <f>VLOOKUP($F215,DDE!$A:$AJ,O$1,FALSE)</f>
        <v>16329.54</v>
      </c>
      <c r="P215" s="5" t="str">
        <f>VLOOKUP($F215,DDE!$A:$AJ,P$1,FALSE)</f>
        <v xml:space="preserve"> -</v>
      </c>
      <c r="Q215" s="5" t="str">
        <f>VLOOKUP($F215,DDE!$A:$AJ,Q$1,FALSE)</f>
        <v xml:space="preserve"> -</v>
      </c>
      <c r="R215" s="5">
        <f t="shared" si="50"/>
        <v>16443.400000000001</v>
      </c>
      <c r="S215" s="5">
        <f>VLOOKUP(D215,cmoney!$A:$M,12,FALSE)</f>
        <v>168.5</v>
      </c>
      <c r="U215" s="5" t="str">
        <f t="shared" si="53"/>
        <v/>
      </c>
      <c r="V215" s="5" t="str">
        <f t="shared" si="54"/>
        <v>8086</v>
      </c>
      <c r="W215" s="5" t="str">
        <f t="shared" si="55"/>
        <v>宏捷科</v>
      </c>
      <c r="X215" s="5" t="str">
        <f t="shared" si="56"/>
        <v>PRF</v>
      </c>
      <c r="Y215" s="49">
        <f>VLOOKUP($X215,股期名單!$L:$M,2,FALSE)</f>
        <v>2000</v>
      </c>
      <c r="Z215" s="5" t="str">
        <f t="shared" si="57"/>
        <v>PRFC1</v>
      </c>
      <c r="AA215" s="7">
        <f t="shared" si="58"/>
        <v>-0.12652818991097922</v>
      </c>
      <c r="AB215" s="5">
        <f>VLOOKUP($F215,DDE!$A:$AJ,AB$1,FALSE)</f>
        <v>-21.32</v>
      </c>
      <c r="AC215" s="5">
        <f>VLOOKUP($F215,DDE!$A:$AJ,AC$1,FALSE)</f>
        <v>16422.080000000002</v>
      </c>
      <c r="AD215" s="5" t="str">
        <f>VLOOKUP($F215,DDE!$A:$AJ,AD$1,FALSE)</f>
        <v xml:space="preserve"> -</v>
      </c>
      <c r="AE215" s="5" t="str">
        <f>VLOOKUP($F215,DDE!$A:$AJ,AE$1,FALSE)</f>
        <v xml:space="preserve"> -</v>
      </c>
      <c r="AF215" s="5">
        <f>VLOOKUP($F215,DDE!$A:$AJ,AF$1,FALSE)</f>
        <v>4018459</v>
      </c>
      <c r="AG215" s="5">
        <f>VLOOKUP($F215,DDE!$A:$AJ,AG$1,FALSE)</f>
        <v>16329.54</v>
      </c>
      <c r="AH215" s="5">
        <f>VLOOKUP($F215,DDE!$A:$AJ,AH$1,FALSE)</f>
        <v>16456.939999999999</v>
      </c>
      <c r="AI215" s="5">
        <f>VLOOKUP($F215,DDE!$A:$AJ,AI$1,FALSE)</f>
        <v>16329.54</v>
      </c>
      <c r="AJ215" s="5" t="str">
        <f>VLOOKUP($F215,DDE!$A:$AJ,AJ$1,FALSE)</f>
        <v xml:space="preserve"> -</v>
      </c>
      <c r="AK215" s="5" t="str">
        <f>VLOOKUP($F215,DDE!$A:$AJ,AK$1,FALSE)</f>
        <v xml:space="preserve"> -</v>
      </c>
      <c r="AL215" s="5">
        <f t="shared" si="59"/>
        <v>16443.400000000001</v>
      </c>
      <c r="AM215" s="5">
        <f>VLOOKUP(X215,cmoney!$A:$M,12,FALSE)</f>
        <v>168.5</v>
      </c>
    </row>
    <row r="216" spans="1:39" x14ac:dyDescent="0.25">
      <c r="A216" s="5" t="str">
        <f t="shared" si="51"/>
        <v/>
      </c>
      <c r="B216" s="5" t="s">
        <v>745</v>
      </c>
      <c r="C216" s="5" t="s">
        <v>380</v>
      </c>
      <c r="D216" s="5" t="s">
        <v>1101</v>
      </c>
      <c r="E216" s="5">
        <f>VLOOKUP($D216,股期名單!$L:$M,2,FALSE)</f>
        <v>2000</v>
      </c>
      <c r="F216" s="5" t="str">
        <f t="shared" si="49"/>
        <v>KKFB1</v>
      </c>
      <c r="G216" s="7">
        <f t="shared" si="52"/>
        <v>-0.47483296213808468</v>
      </c>
      <c r="H216" s="5">
        <f>VLOOKUP($F216,DDE!$A:$AJ,H$1,FALSE)</f>
        <v>-21.32</v>
      </c>
      <c r="I216" s="5">
        <f>VLOOKUP($F216,DDE!$A:$AJ,I$1,FALSE)</f>
        <v>16422.080000000002</v>
      </c>
      <c r="J216" s="5" t="str">
        <f>VLOOKUP($F216,DDE!$A:$AJ,J$1,FALSE)</f>
        <v xml:space="preserve"> -</v>
      </c>
      <c r="K216" s="5" t="str">
        <f>VLOOKUP($F216,DDE!$A:$AJ,K$1,FALSE)</f>
        <v xml:space="preserve"> -</v>
      </c>
      <c r="L216" s="5">
        <f>VLOOKUP($F216,DDE!$A:$AJ,L$1,FALSE)</f>
        <v>4018459</v>
      </c>
      <c r="M216" s="5">
        <f>VLOOKUP($F216,DDE!$A:$AJ,M$1,FALSE)</f>
        <v>16329.54</v>
      </c>
      <c r="N216" s="5">
        <f>VLOOKUP($F216,DDE!$A:$AJ,N$1,FALSE)</f>
        <v>16456.939999999999</v>
      </c>
      <c r="O216" s="5">
        <f>VLOOKUP($F216,DDE!$A:$AJ,O$1,FALSE)</f>
        <v>16329.54</v>
      </c>
      <c r="P216" s="5" t="str">
        <f>VLOOKUP($F216,DDE!$A:$AJ,P$1,FALSE)</f>
        <v xml:space="preserve"> -</v>
      </c>
      <c r="Q216" s="5" t="str">
        <f>VLOOKUP($F216,DDE!$A:$AJ,Q$1,FALSE)</f>
        <v xml:space="preserve"> -</v>
      </c>
      <c r="R216" s="5">
        <f t="shared" si="50"/>
        <v>16443.400000000001</v>
      </c>
      <c r="S216" s="5">
        <f>VLOOKUP(D216,cmoney!$A:$M,12,FALSE)</f>
        <v>44.9</v>
      </c>
      <c r="U216" s="5" t="str">
        <f t="shared" si="53"/>
        <v/>
      </c>
      <c r="V216" s="5" t="str">
        <f t="shared" si="54"/>
        <v>8163</v>
      </c>
      <c r="W216" s="5" t="str">
        <f t="shared" si="55"/>
        <v>達方</v>
      </c>
      <c r="X216" s="5" t="str">
        <f t="shared" si="56"/>
        <v>KKF</v>
      </c>
      <c r="Y216" s="49">
        <f>VLOOKUP($X216,股期名單!$L:$M,2,FALSE)</f>
        <v>2000</v>
      </c>
      <c r="Z216" s="5" t="str">
        <f t="shared" si="57"/>
        <v>KKFC1</v>
      </c>
      <c r="AA216" s="7">
        <f t="shared" si="58"/>
        <v>-0.47483296213808468</v>
      </c>
      <c r="AB216" s="5">
        <f>VLOOKUP($F216,DDE!$A:$AJ,AB$1,FALSE)</f>
        <v>-21.32</v>
      </c>
      <c r="AC216" s="5">
        <f>VLOOKUP($F216,DDE!$A:$AJ,AC$1,FALSE)</f>
        <v>16422.080000000002</v>
      </c>
      <c r="AD216" s="5" t="str">
        <f>VLOOKUP($F216,DDE!$A:$AJ,AD$1,FALSE)</f>
        <v xml:space="preserve"> -</v>
      </c>
      <c r="AE216" s="5" t="str">
        <f>VLOOKUP($F216,DDE!$A:$AJ,AE$1,FALSE)</f>
        <v xml:space="preserve"> -</v>
      </c>
      <c r="AF216" s="5">
        <f>VLOOKUP($F216,DDE!$A:$AJ,AF$1,FALSE)</f>
        <v>4018459</v>
      </c>
      <c r="AG216" s="5">
        <f>VLOOKUP($F216,DDE!$A:$AJ,AG$1,FALSE)</f>
        <v>16329.54</v>
      </c>
      <c r="AH216" s="5">
        <f>VLOOKUP($F216,DDE!$A:$AJ,AH$1,FALSE)</f>
        <v>16456.939999999999</v>
      </c>
      <c r="AI216" s="5">
        <f>VLOOKUP($F216,DDE!$A:$AJ,AI$1,FALSE)</f>
        <v>16329.54</v>
      </c>
      <c r="AJ216" s="5" t="str">
        <f>VLOOKUP($F216,DDE!$A:$AJ,AJ$1,FALSE)</f>
        <v xml:space="preserve"> -</v>
      </c>
      <c r="AK216" s="5" t="str">
        <f>VLOOKUP($F216,DDE!$A:$AJ,AK$1,FALSE)</f>
        <v xml:space="preserve"> -</v>
      </c>
      <c r="AL216" s="5">
        <f t="shared" si="59"/>
        <v>16443.400000000001</v>
      </c>
      <c r="AM216" s="5">
        <f>VLOOKUP(X216,cmoney!$A:$M,12,FALSE)</f>
        <v>44.9</v>
      </c>
    </row>
    <row r="217" spans="1:39" x14ac:dyDescent="0.25">
      <c r="A217" s="5" t="str">
        <f t="shared" si="51"/>
        <v/>
      </c>
      <c r="B217" s="5" t="s">
        <v>788</v>
      </c>
      <c r="C217" s="5" t="s">
        <v>509</v>
      </c>
      <c r="D217" s="5" t="s">
        <v>1102</v>
      </c>
      <c r="E217" s="5">
        <f>VLOOKUP($D217,股期名單!$L:$M,2,FALSE)</f>
        <v>2000</v>
      </c>
      <c r="F217" s="5" t="str">
        <f t="shared" si="49"/>
        <v>NWFB1</v>
      </c>
      <c r="G217" s="7">
        <f t="shared" si="52"/>
        <v>-3.3190529875986474E-2</v>
      </c>
      <c r="H217" s="5">
        <f>VLOOKUP($F217,DDE!$A:$AJ,H$1,FALSE)</f>
        <v>-14.72</v>
      </c>
      <c r="I217" s="5">
        <f>VLOOKUP($F217,DDE!$A:$AJ,I$1,FALSE)</f>
        <v>16428.68</v>
      </c>
      <c r="J217" s="5" t="str">
        <f>VLOOKUP($F217,DDE!$A:$AJ,J$1,FALSE)</f>
        <v xml:space="preserve"> -</v>
      </c>
      <c r="K217" s="5" t="str">
        <f>VLOOKUP($F217,DDE!$A:$AJ,K$1,FALSE)</f>
        <v xml:space="preserve"> -</v>
      </c>
      <c r="L217" s="5">
        <f>VLOOKUP($F217,DDE!$A:$AJ,L$1,FALSE)</f>
        <v>4022793</v>
      </c>
      <c r="M217" s="5">
        <f>VLOOKUP($F217,DDE!$A:$AJ,M$1,FALSE)</f>
        <v>16329.54</v>
      </c>
      <c r="N217" s="5">
        <f>VLOOKUP($F217,DDE!$A:$AJ,N$1,FALSE)</f>
        <v>16456.939999999999</v>
      </c>
      <c r="O217" s="5">
        <f>VLOOKUP($F217,DDE!$A:$AJ,O$1,FALSE)</f>
        <v>16329.54</v>
      </c>
      <c r="P217" s="5" t="str">
        <f>VLOOKUP($F217,DDE!$A:$AJ,P$1,FALSE)</f>
        <v xml:space="preserve"> -</v>
      </c>
      <c r="Q217" s="5" t="str">
        <f>VLOOKUP($F217,DDE!$A:$AJ,Q$1,FALSE)</f>
        <v xml:space="preserve"> -</v>
      </c>
      <c r="R217" s="5">
        <f t="shared" si="50"/>
        <v>16443.400000000001</v>
      </c>
      <c r="S217" s="5">
        <f>VLOOKUP(D217,cmoney!$A:$M,12,FALSE)</f>
        <v>443.5</v>
      </c>
      <c r="U217" s="5" t="str">
        <f t="shared" si="53"/>
        <v/>
      </c>
      <c r="V217" s="5" t="str">
        <f t="shared" si="54"/>
        <v>8299</v>
      </c>
      <c r="W217" s="5" t="str">
        <f t="shared" si="55"/>
        <v>群聯</v>
      </c>
      <c r="X217" s="5" t="str">
        <f t="shared" si="56"/>
        <v>NWF</v>
      </c>
      <c r="Y217" s="49">
        <f>VLOOKUP($X217,股期名單!$L:$M,2,FALSE)</f>
        <v>2000</v>
      </c>
      <c r="Z217" s="5" t="str">
        <f t="shared" si="57"/>
        <v>NWFC1</v>
      </c>
      <c r="AA217" s="7">
        <f t="shared" si="58"/>
        <v>-3.3190529875986474E-2</v>
      </c>
      <c r="AB217" s="5">
        <f>VLOOKUP($F217,DDE!$A:$AJ,AB$1,FALSE)</f>
        <v>-14.72</v>
      </c>
      <c r="AC217" s="5">
        <f>VLOOKUP($F217,DDE!$A:$AJ,AC$1,FALSE)</f>
        <v>16428.68</v>
      </c>
      <c r="AD217" s="5" t="str">
        <f>VLOOKUP($F217,DDE!$A:$AJ,AD$1,FALSE)</f>
        <v xml:space="preserve"> -</v>
      </c>
      <c r="AE217" s="5" t="str">
        <f>VLOOKUP($F217,DDE!$A:$AJ,AE$1,FALSE)</f>
        <v xml:space="preserve"> -</v>
      </c>
      <c r="AF217" s="5">
        <f>VLOOKUP($F217,DDE!$A:$AJ,AF$1,FALSE)</f>
        <v>4022793</v>
      </c>
      <c r="AG217" s="5">
        <f>VLOOKUP($F217,DDE!$A:$AJ,AG$1,FALSE)</f>
        <v>16329.54</v>
      </c>
      <c r="AH217" s="5">
        <f>VLOOKUP($F217,DDE!$A:$AJ,AH$1,FALSE)</f>
        <v>16456.939999999999</v>
      </c>
      <c r="AI217" s="5">
        <f>VLOOKUP($F217,DDE!$A:$AJ,AI$1,FALSE)</f>
        <v>16329.54</v>
      </c>
      <c r="AJ217" s="5" t="str">
        <f>VLOOKUP($F217,DDE!$A:$AJ,AJ$1,FALSE)</f>
        <v xml:space="preserve"> -</v>
      </c>
      <c r="AK217" s="5" t="str">
        <f>VLOOKUP($F217,DDE!$A:$AJ,AK$1,FALSE)</f>
        <v xml:space="preserve"> -</v>
      </c>
      <c r="AL217" s="5">
        <f t="shared" si="59"/>
        <v>16443.400000000001</v>
      </c>
      <c r="AM217" s="5">
        <f>VLOOKUP(X217,cmoney!$A:$M,12,FALSE)</f>
        <v>443.5</v>
      </c>
    </row>
    <row r="218" spans="1:39" x14ac:dyDescent="0.25">
      <c r="A218" s="5" t="str">
        <f t="shared" si="51"/>
        <v/>
      </c>
      <c r="B218" s="5" t="s">
        <v>816</v>
      </c>
      <c r="C218" s="5" t="s">
        <v>634</v>
      </c>
      <c r="D218" s="5" t="s">
        <v>1103</v>
      </c>
      <c r="E218" s="5">
        <f>VLOOKUP($D218,股期名單!$L:$M,2,FALSE)</f>
        <v>2000</v>
      </c>
      <c r="F218" s="5" t="str">
        <f t="shared" si="49"/>
        <v>PQFB1</v>
      </c>
      <c r="G218" s="7">
        <f t="shared" si="52"/>
        <v>0.13980263157894737</v>
      </c>
      <c r="H218" s="5">
        <f>VLOOKUP($F218,DDE!$A:$AJ,H$1,FALSE)</f>
        <v>8.5</v>
      </c>
      <c r="I218" s="5">
        <f>VLOOKUP($F218,DDE!$A:$AJ,I$1,FALSE)</f>
        <v>13895.08</v>
      </c>
      <c r="J218" s="5" t="str">
        <f>VLOOKUP($F218,DDE!$A:$AJ,J$1,FALSE)</f>
        <v xml:space="preserve"> -</v>
      </c>
      <c r="K218" s="5" t="str">
        <f>VLOOKUP($F218,DDE!$A:$AJ,K$1,FALSE)</f>
        <v xml:space="preserve"> -</v>
      </c>
      <c r="L218" s="5">
        <f>VLOOKUP($F218,DDE!$A:$AJ,L$1,FALSE)</f>
        <v>871174</v>
      </c>
      <c r="M218" s="5">
        <f>VLOOKUP($F218,DDE!$A:$AJ,M$1,FALSE)</f>
        <v>13893.03</v>
      </c>
      <c r="N218" s="5">
        <f>VLOOKUP($F218,DDE!$A:$AJ,N$1,FALSE)</f>
        <v>13945.78</v>
      </c>
      <c r="O218" s="5">
        <f>VLOOKUP($F218,DDE!$A:$AJ,O$1,FALSE)</f>
        <v>13875.82</v>
      </c>
      <c r="P218" s="5" t="str">
        <f>VLOOKUP($F218,DDE!$A:$AJ,P$1,FALSE)</f>
        <v xml:space="preserve"> -</v>
      </c>
      <c r="Q218" s="5" t="str">
        <f>VLOOKUP($F218,DDE!$A:$AJ,Q$1,FALSE)</f>
        <v xml:space="preserve"> -</v>
      </c>
      <c r="R218" s="5">
        <f t="shared" si="50"/>
        <v>13886.58</v>
      </c>
      <c r="S218" s="5">
        <f>VLOOKUP(D218,cmoney!$A:$M,12,FALSE)</f>
        <v>60.8</v>
      </c>
      <c r="U218" s="5" t="str">
        <f t="shared" si="53"/>
        <v/>
      </c>
      <c r="V218" s="5" t="str">
        <f t="shared" si="54"/>
        <v>8358</v>
      </c>
      <c r="W218" s="5" t="str">
        <f t="shared" si="55"/>
        <v>金居</v>
      </c>
      <c r="X218" s="5" t="str">
        <f t="shared" si="56"/>
        <v>PQF</v>
      </c>
      <c r="Y218" s="49">
        <f>VLOOKUP($X218,股期名單!$L:$M,2,FALSE)</f>
        <v>2000</v>
      </c>
      <c r="Z218" s="5" t="str">
        <f t="shared" si="57"/>
        <v>PQFC1</v>
      </c>
      <c r="AA218" s="7">
        <f t="shared" si="58"/>
        <v>0.13980263157894737</v>
      </c>
      <c r="AB218" s="5">
        <f>VLOOKUP($F218,DDE!$A:$AJ,AB$1,FALSE)</f>
        <v>8.5</v>
      </c>
      <c r="AC218" s="5">
        <f>VLOOKUP($F218,DDE!$A:$AJ,AC$1,FALSE)</f>
        <v>13895.08</v>
      </c>
      <c r="AD218" s="5" t="str">
        <f>VLOOKUP($F218,DDE!$A:$AJ,AD$1,FALSE)</f>
        <v xml:space="preserve"> -</v>
      </c>
      <c r="AE218" s="5" t="str">
        <f>VLOOKUP($F218,DDE!$A:$AJ,AE$1,FALSE)</f>
        <v xml:space="preserve"> -</v>
      </c>
      <c r="AF218" s="5">
        <f>VLOOKUP($F218,DDE!$A:$AJ,AF$1,FALSE)</f>
        <v>871174</v>
      </c>
      <c r="AG218" s="5">
        <f>VLOOKUP($F218,DDE!$A:$AJ,AG$1,FALSE)</f>
        <v>13893.03</v>
      </c>
      <c r="AH218" s="5">
        <f>VLOOKUP($F218,DDE!$A:$AJ,AH$1,FALSE)</f>
        <v>13945.78</v>
      </c>
      <c r="AI218" s="5">
        <f>VLOOKUP($F218,DDE!$A:$AJ,AI$1,FALSE)</f>
        <v>13875.82</v>
      </c>
      <c r="AJ218" s="5" t="str">
        <f>VLOOKUP($F218,DDE!$A:$AJ,AJ$1,FALSE)</f>
        <v xml:space="preserve"> -</v>
      </c>
      <c r="AK218" s="5" t="str">
        <f>VLOOKUP($F218,DDE!$A:$AJ,AK$1,FALSE)</f>
        <v xml:space="preserve"> -</v>
      </c>
      <c r="AL218" s="5">
        <f t="shared" si="59"/>
        <v>13886.58</v>
      </c>
      <c r="AM218" s="5">
        <f>VLOOKUP(X218,cmoney!$A:$M,12,FALSE)</f>
        <v>60.8</v>
      </c>
    </row>
    <row r="219" spans="1:39" x14ac:dyDescent="0.25">
      <c r="A219" s="5" t="str">
        <f t="shared" si="51"/>
        <v/>
      </c>
      <c r="B219" s="5" t="s">
        <v>813</v>
      </c>
      <c r="C219" s="5" t="s">
        <v>624</v>
      </c>
      <c r="D219" s="5" t="s">
        <v>1104</v>
      </c>
      <c r="E219" s="5">
        <f>VLOOKUP($D219,股期名單!$L:$M,2,FALSE)</f>
        <v>2000</v>
      </c>
      <c r="F219" s="5" t="str">
        <f t="shared" si="49"/>
        <v>PMFB1</v>
      </c>
      <c r="G219" s="7">
        <f t="shared" si="52"/>
        <v>-9.1067961165048547E-2</v>
      </c>
      <c r="H219" s="5">
        <f>VLOOKUP($F219,DDE!$A:$AJ,H$1,FALSE)</f>
        <v>-18.760000000000002</v>
      </c>
      <c r="I219" s="5">
        <f>VLOOKUP($F219,DDE!$A:$AJ,I$1,FALSE)</f>
        <v>16424.64</v>
      </c>
      <c r="J219" s="5" t="str">
        <f>VLOOKUP($F219,DDE!$A:$AJ,J$1,FALSE)</f>
        <v xml:space="preserve"> -</v>
      </c>
      <c r="K219" s="5" t="str">
        <f>VLOOKUP($F219,DDE!$A:$AJ,K$1,FALSE)</f>
        <v xml:space="preserve"> -</v>
      </c>
      <c r="L219" s="5">
        <f>VLOOKUP($F219,DDE!$A:$AJ,L$1,FALSE)</f>
        <v>4020107</v>
      </c>
      <c r="M219" s="5">
        <f>VLOOKUP($F219,DDE!$A:$AJ,M$1,FALSE)</f>
        <v>16329.54</v>
      </c>
      <c r="N219" s="5">
        <f>VLOOKUP($F219,DDE!$A:$AJ,N$1,FALSE)</f>
        <v>16456.939999999999</v>
      </c>
      <c r="O219" s="5">
        <f>VLOOKUP($F219,DDE!$A:$AJ,O$1,FALSE)</f>
        <v>16329.54</v>
      </c>
      <c r="P219" s="5" t="str">
        <f>VLOOKUP($F219,DDE!$A:$AJ,P$1,FALSE)</f>
        <v xml:space="preserve"> -</v>
      </c>
      <c r="Q219" s="5" t="str">
        <f>VLOOKUP($F219,DDE!$A:$AJ,Q$1,FALSE)</f>
        <v xml:space="preserve"> -</v>
      </c>
      <c r="R219" s="5">
        <f t="shared" si="50"/>
        <v>16443.399999999998</v>
      </c>
      <c r="S219" s="5">
        <f>VLOOKUP(D219,cmoney!$A:$M,12,FALSE)</f>
        <v>206</v>
      </c>
      <c r="U219" s="5" t="str">
        <f t="shared" si="53"/>
        <v/>
      </c>
      <c r="V219" s="5" t="str">
        <f t="shared" si="54"/>
        <v>8436</v>
      </c>
      <c r="W219" s="5" t="str">
        <f t="shared" si="55"/>
        <v>大江</v>
      </c>
      <c r="X219" s="5" t="str">
        <f t="shared" si="56"/>
        <v>PMF</v>
      </c>
      <c r="Y219" s="49">
        <f>VLOOKUP($X219,股期名單!$L:$M,2,FALSE)</f>
        <v>2000</v>
      </c>
      <c r="Z219" s="5" t="str">
        <f t="shared" si="57"/>
        <v>PMFC1</v>
      </c>
      <c r="AA219" s="7">
        <f t="shared" si="58"/>
        <v>-9.1067961165048547E-2</v>
      </c>
      <c r="AB219" s="5">
        <f>VLOOKUP($F219,DDE!$A:$AJ,AB$1,FALSE)</f>
        <v>-18.760000000000002</v>
      </c>
      <c r="AC219" s="5">
        <f>VLOOKUP($F219,DDE!$A:$AJ,AC$1,FALSE)</f>
        <v>16424.64</v>
      </c>
      <c r="AD219" s="5" t="str">
        <f>VLOOKUP($F219,DDE!$A:$AJ,AD$1,FALSE)</f>
        <v xml:space="preserve"> -</v>
      </c>
      <c r="AE219" s="5" t="str">
        <f>VLOOKUP($F219,DDE!$A:$AJ,AE$1,FALSE)</f>
        <v xml:space="preserve"> -</v>
      </c>
      <c r="AF219" s="5">
        <f>VLOOKUP($F219,DDE!$A:$AJ,AF$1,FALSE)</f>
        <v>4020107</v>
      </c>
      <c r="AG219" s="5">
        <f>VLOOKUP($F219,DDE!$A:$AJ,AG$1,FALSE)</f>
        <v>16329.54</v>
      </c>
      <c r="AH219" s="5">
        <f>VLOOKUP($F219,DDE!$A:$AJ,AH$1,FALSE)</f>
        <v>16456.939999999999</v>
      </c>
      <c r="AI219" s="5">
        <f>VLOOKUP($F219,DDE!$A:$AJ,AI$1,FALSE)</f>
        <v>16329.54</v>
      </c>
      <c r="AJ219" s="5" t="str">
        <f>VLOOKUP($F219,DDE!$A:$AJ,AJ$1,FALSE)</f>
        <v xml:space="preserve"> -</v>
      </c>
      <c r="AK219" s="5" t="str">
        <f>VLOOKUP($F219,DDE!$A:$AJ,AK$1,FALSE)</f>
        <v xml:space="preserve"> -</v>
      </c>
      <c r="AL219" s="5">
        <f t="shared" si="59"/>
        <v>16443.399999999998</v>
      </c>
      <c r="AM219" s="5">
        <f>VLOOKUP(X219,cmoney!$A:$M,12,FALSE)</f>
        <v>206</v>
      </c>
    </row>
    <row r="220" spans="1:39" x14ac:dyDescent="0.25">
      <c r="A220" s="5" t="str">
        <f t="shared" si="51"/>
        <v/>
      </c>
      <c r="B220" s="5" t="s">
        <v>789</v>
      </c>
      <c r="C220" s="5" t="s">
        <v>512</v>
      </c>
      <c r="D220" s="5" t="s">
        <v>1105</v>
      </c>
      <c r="E220" s="5">
        <f>VLOOKUP($D220,股期名單!$L:$M,2,FALSE)</f>
        <v>2000</v>
      </c>
      <c r="F220" s="5" t="str">
        <f t="shared" si="49"/>
        <v>NXFB1</v>
      </c>
      <c r="G220" s="7" t="e">
        <f t="shared" si="52"/>
        <v>#VALUE!</v>
      </c>
      <c r="H220" s="5" t="str">
        <f>VLOOKUP($F220,DDE!$A:$AJ,H$1,FALSE)</f>
        <v xml:space="preserve"> </v>
      </c>
      <c r="I220" s="5">
        <f>VLOOKUP($F220,DDE!$A:$AJ,I$1,FALSE)</f>
        <v>20878632</v>
      </c>
      <c r="J220" s="5" t="str">
        <f>VLOOKUP($F220,DDE!$A:$AJ,J$1,FALSE)</f>
        <v xml:space="preserve"> -</v>
      </c>
      <c r="K220" s="5" t="str">
        <f>VLOOKUP($F220,DDE!$A:$AJ,K$1,FALSE)</f>
        <v xml:space="preserve"> -</v>
      </c>
      <c r="L220" s="5">
        <f>VLOOKUP($F220,DDE!$A:$AJ,L$1,FALSE)</f>
        <v>2088371110</v>
      </c>
      <c r="M220" s="5">
        <f>VLOOKUP($F220,DDE!$A:$AJ,M$1,FALSE)</f>
        <v>20803788</v>
      </c>
      <c r="N220" s="5">
        <f>VLOOKUP($F220,DDE!$A:$AJ,N$1,FALSE)</f>
        <v>20804690</v>
      </c>
      <c r="O220" s="5">
        <f>VLOOKUP($F220,DDE!$A:$AJ,O$1,FALSE)</f>
        <v>10989732</v>
      </c>
      <c r="P220" s="5" t="str">
        <f>VLOOKUP($F220,DDE!$A:$AJ,P$1,FALSE)</f>
        <v xml:space="preserve"> -</v>
      </c>
      <c r="Q220" s="5" t="str">
        <f>VLOOKUP($F220,DDE!$A:$AJ,Q$1,FALSE)</f>
        <v xml:space="preserve"> -</v>
      </c>
      <c r="R220" s="5" t="e">
        <f t="shared" si="50"/>
        <v>#VALUE!</v>
      </c>
      <c r="S220" s="5">
        <f>VLOOKUP(D220,cmoney!$A:$M,12,FALSE)</f>
        <v>63.1</v>
      </c>
      <c r="U220" s="5" t="str">
        <f t="shared" si="53"/>
        <v/>
      </c>
      <c r="V220" s="5" t="str">
        <f t="shared" si="54"/>
        <v>8942</v>
      </c>
      <c r="W220" s="5" t="str">
        <f t="shared" si="55"/>
        <v>森鉅</v>
      </c>
      <c r="X220" s="5" t="str">
        <f t="shared" si="56"/>
        <v>NXF</v>
      </c>
      <c r="Y220" s="49">
        <f>VLOOKUP($X220,股期名單!$L:$M,2,FALSE)</f>
        <v>2000</v>
      </c>
      <c r="Z220" s="5" t="str">
        <f t="shared" si="57"/>
        <v>NXFC1</v>
      </c>
      <c r="AA220" s="7" t="e">
        <f t="shared" si="58"/>
        <v>#VALUE!</v>
      </c>
      <c r="AB220" s="5" t="str">
        <f>VLOOKUP($F220,DDE!$A:$AJ,AB$1,FALSE)</f>
        <v xml:space="preserve"> </v>
      </c>
      <c r="AC220" s="5">
        <f>VLOOKUP($F220,DDE!$A:$AJ,AC$1,FALSE)</f>
        <v>20878632</v>
      </c>
      <c r="AD220" s="5" t="str">
        <f>VLOOKUP($F220,DDE!$A:$AJ,AD$1,FALSE)</f>
        <v xml:space="preserve"> -</v>
      </c>
      <c r="AE220" s="5" t="str">
        <f>VLOOKUP($F220,DDE!$A:$AJ,AE$1,FALSE)</f>
        <v xml:space="preserve"> -</v>
      </c>
      <c r="AF220" s="5">
        <f>VLOOKUP($F220,DDE!$A:$AJ,AF$1,FALSE)</f>
        <v>2088371110</v>
      </c>
      <c r="AG220" s="5">
        <f>VLOOKUP($F220,DDE!$A:$AJ,AG$1,FALSE)</f>
        <v>20803788</v>
      </c>
      <c r="AH220" s="5">
        <f>VLOOKUP($F220,DDE!$A:$AJ,AH$1,FALSE)</f>
        <v>20804690</v>
      </c>
      <c r="AI220" s="5">
        <f>VLOOKUP($F220,DDE!$A:$AJ,AI$1,FALSE)</f>
        <v>10989732</v>
      </c>
      <c r="AJ220" s="5" t="str">
        <f>VLOOKUP($F220,DDE!$A:$AJ,AJ$1,FALSE)</f>
        <v xml:space="preserve"> -</v>
      </c>
      <c r="AK220" s="5" t="str">
        <f>VLOOKUP($F220,DDE!$A:$AJ,AK$1,FALSE)</f>
        <v xml:space="preserve"> -</v>
      </c>
      <c r="AL220" s="5" t="e">
        <f t="shared" si="59"/>
        <v>#VALUE!</v>
      </c>
      <c r="AM220" s="5">
        <f>VLOOKUP(X220,cmoney!$A:$M,12,FALSE)</f>
        <v>63.1</v>
      </c>
    </row>
    <row r="221" spans="1:39" x14ac:dyDescent="0.25">
      <c r="A221" s="5" t="str">
        <f t="shared" si="51"/>
        <v/>
      </c>
      <c r="B221" s="5" t="s">
        <v>746</v>
      </c>
      <c r="C221" s="5" t="s">
        <v>383</v>
      </c>
      <c r="D221" s="5" t="s">
        <v>1106</v>
      </c>
      <c r="E221" s="5">
        <f>VLOOKUP($D221,股期名單!$L:$M,2,FALSE)</f>
        <v>2000</v>
      </c>
      <c r="F221" s="5" t="str">
        <f t="shared" si="49"/>
        <v>KLFB1</v>
      </c>
      <c r="G221" s="7">
        <f t="shared" si="52"/>
        <v>-0.7024711696869852</v>
      </c>
      <c r="H221" s="5">
        <f>VLOOKUP($F221,DDE!$A:$AJ,H$1,FALSE)</f>
        <v>-21.32</v>
      </c>
      <c r="I221" s="5">
        <f>VLOOKUP($F221,DDE!$A:$AJ,I$1,FALSE)</f>
        <v>16422.080000000002</v>
      </c>
      <c r="J221" s="5" t="str">
        <f>VLOOKUP($F221,DDE!$A:$AJ,J$1,FALSE)</f>
        <v xml:space="preserve"> -</v>
      </c>
      <c r="K221" s="5" t="str">
        <f>VLOOKUP($F221,DDE!$A:$AJ,K$1,FALSE)</f>
        <v xml:space="preserve"> -</v>
      </c>
      <c r="L221" s="5">
        <f>VLOOKUP($F221,DDE!$A:$AJ,L$1,FALSE)</f>
        <v>4018459</v>
      </c>
      <c r="M221" s="5">
        <f>VLOOKUP($F221,DDE!$A:$AJ,M$1,FALSE)</f>
        <v>16329.54</v>
      </c>
      <c r="N221" s="5">
        <f>VLOOKUP($F221,DDE!$A:$AJ,N$1,FALSE)</f>
        <v>16456.939999999999</v>
      </c>
      <c r="O221" s="5">
        <f>VLOOKUP($F221,DDE!$A:$AJ,O$1,FALSE)</f>
        <v>16329.54</v>
      </c>
      <c r="P221" s="5" t="str">
        <f>VLOOKUP($F221,DDE!$A:$AJ,P$1,FALSE)</f>
        <v xml:space="preserve"> -</v>
      </c>
      <c r="Q221" s="5" t="str">
        <f>VLOOKUP($F221,DDE!$A:$AJ,Q$1,FALSE)</f>
        <v xml:space="preserve"> -</v>
      </c>
      <c r="R221" s="5">
        <f t="shared" si="50"/>
        <v>16443.400000000001</v>
      </c>
      <c r="S221" s="5">
        <f>VLOOKUP(D221,cmoney!$A:$M,12,FALSE)</f>
        <v>30.35</v>
      </c>
      <c r="U221" s="5" t="str">
        <f t="shared" si="53"/>
        <v/>
      </c>
      <c r="V221" s="5" t="str">
        <f t="shared" si="54"/>
        <v>9904</v>
      </c>
      <c r="W221" s="5" t="str">
        <f t="shared" si="55"/>
        <v>寶成</v>
      </c>
      <c r="X221" s="5" t="str">
        <f t="shared" si="56"/>
        <v>KLF</v>
      </c>
      <c r="Y221" s="49">
        <f>VLOOKUP($X221,股期名單!$L:$M,2,FALSE)</f>
        <v>2000</v>
      </c>
      <c r="Z221" s="5" t="str">
        <f t="shared" si="57"/>
        <v>KLFC1</v>
      </c>
      <c r="AA221" s="7">
        <f t="shared" si="58"/>
        <v>-0.7024711696869852</v>
      </c>
      <c r="AB221" s="5">
        <f>VLOOKUP($F221,DDE!$A:$AJ,AB$1,FALSE)</f>
        <v>-21.32</v>
      </c>
      <c r="AC221" s="5">
        <f>VLOOKUP($F221,DDE!$A:$AJ,AC$1,FALSE)</f>
        <v>16422.080000000002</v>
      </c>
      <c r="AD221" s="5" t="str">
        <f>VLOOKUP($F221,DDE!$A:$AJ,AD$1,FALSE)</f>
        <v xml:space="preserve"> -</v>
      </c>
      <c r="AE221" s="5" t="str">
        <f>VLOOKUP($F221,DDE!$A:$AJ,AE$1,FALSE)</f>
        <v xml:space="preserve"> -</v>
      </c>
      <c r="AF221" s="5">
        <f>VLOOKUP($F221,DDE!$A:$AJ,AF$1,FALSE)</f>
        <v>4018459</v>
      </c>
      <c r="AG221" s="5">
        <f>VLOOKUP($F221,DDE!$A:$AJ,AG$1,FALSE)</f>
        <v>16329.54</v>
      </c>
      <c r="AH221" s="5">
        <f>VLOOKUP($F221,DDE!$A:$AJ,AH$1,FALSE)</f>
        <v>16456.939999999999</v>
      </c>
      <c r="AI221" s="5">
        <f>VLOOKUP($F221,DDE!$A:$AJ,AI$1,FALSE)</f>
        <v>16329.54</v>
      </c>
      <c r="AJ221" s="5" t="str">
        <f>VLOOKUP($F221,DDE!$A:$AJ,AJ$1,FALSE)</f>
        <v xml:space="preserve"> -</v>
      </c>
      <c r="AK221" s="5" t="str">
        <f>VLOOKUP($F221,DDE!$A:$AJ,AK$1,FALSE)</f>
        <v xml:space="preserve"> -</v>
      </c>
      <c r="AL221" s="5">
        <f t="shared" si="59"/>
        <v>16443.400000000001</v>
      </c>
      <c r="AM221" s="5">
        <f>VLOOKUP(X221,cmoney!$A:$M,12,FALSE)</f>
        <v>30.35</v>
      </c>
    </row>
    <row r="222" spans="1:39" x14ac:dyDescent="0.25">
      <c r="A222" s="5" t="str">
        <f t="shared" si="51"/>
        <v/>
      </c>
      <c r="B222" s="5" t="s">
        <v>755</v>
      </c>
      <c r="C222" s="5" t="s">
        <v>410</v>
      </c>
      <c r="D222" s="5" t="s">
        <v>1107</v>
      </c>
      <c r="E222" s="5">
        <f>VLOOKUP($D222,股期名單!$L:$M,2,FALSE)</f>
        <v>2000</v>
      </c>
      <c r="F222" s="5" t="str">
        <f t="shared" si="49"/>
        <v>LMFB1</v>
      </c>
      <c r="G222" s="7">
        <f t="shared" si="52"/>
        <v>-7.2148900169204735E-2</v>
      </c>
      <c r="H222" s="5">
        <f>VLOOKUP($F222,DDE!$A:$AJ,H$1,FALSE)</f>
        <v>-21.32</v>
      </c>
      <c r="I222" s="5">
        <f>VLOOKUP($F222,DDE!$A:$AJ,I$1,FALSE)</f>
        <v>16422.080000000002</v>
      </c>
      <c r="J222" s="5" t="str">
        <f>VLOOKUP($F222,DDE!$A:$AJ,J$1,FALSE)</f>
        <v xml:space="preserve"> -</v>
      </c>
      <c r="K222" s="5" t="str">
        <f>VLOOKUP($F222,DDE!$A:$AJ,K$1,FALSE)</f>
        <v xml:space="preserve"> -</v>
      </c>
      <c r="L222" s="5">
        <f>VLOOKUP($F222,DDE!$A:$AJ,L$1,FALSE)</f>
        <v>4018459</v>
      </c>
      <c r="M222" s="5">
        <f>VLOOKUP($F222,DDE!$A:$AJ,M$1,FALSE)</f>
        <v>16329.54</v>
      </c>
      <c r="N222" s="5">
        <f>VLOOKUP($F222,DDE!$A:$AJ,N$1,FALSE)</f>
        <v>16456.939999999999</v>
      </c>
      <c r="O222" s="5">
        <f>VLOOKUP($F222,DDE!$A:$AJ,O$1,FALSE)</f>
        <v>16329.54</v>
      </c>
      <c r="P222" s="5" t="str">
        <f>VLOOKUP($F222,DDE!$A:$AJ,P$1,FALSE)</f>
        <v xml:space="preserve"> -</v>
      </c>
      <c r="Q222" s="5" t="str">
        <f>VLOOKUP($F222,DDE!$A:$AJ,Q$1,FALSE)</f>
        <v xml:space="preserve"> -</v>
      </c>
      <c r="R222" s="5">
        <f t="shared" si="50"/>
        <v>16443.400000000001</v>
      </c>
      <c r="S222" s="5">
        <f>VLOOKUP(D222,cmoney!$A:$M,12,FALSE)</f>
        <v>295.5</v>
      </c>
      <c r="U222" s="5" t="str">
        <f t="shared" si="53"/>
        <v/>
      </c>
      <c r="V222" s="5" t="str">
        <f t="shared" si="54"/>
        <v>9914</v>
      </c>
      <c r="W222" s="5" t="str">
        <f t="shared" si="55"/>
        <v>美利達</v>
      </c>
      <c r="X222" s="5" t="str">
        <f t="shared" si="56"/>
        <v>LMF</v>
      </c>
      <c r="Y222" s="49">
        <f>VLOOKUP($X222,股期名單!$L:$M,2,FALSE)</f>
        <v>2000</v>
      </c>
      <c r="Z222" s="5" t="str">
        <f t="shared" si="57"/>
        <v>LMFC1</v>
      </c>
      <c r="AA222" s="7">
        <f t="shared" si="58"/>
        <v>-7.2148900169204735E-2</v>
      </c>
      <c r="AB222" s="5">
        <f>VLOOKUP($F222,DDE!$A:$AJ,AB$1,FALSE)</f>
        <v>-21.32</v>
      </c>
      <c r="AC222" s="5">
        <f>VLOOKUP($F222,DDE!$A:$AJ,AC$1,FALSE)</f>
        <v>16422.080000000002</v>
      </c>
      <c r="AD222" s="5" t="str">
        <f>VLOOKUP($F222,DDE!$A:$AJ,AD$1,FALSE)</f>
        <v xml:space="preserve"> -</v>
      </c>
      <c r="AE222" s="5" t="str">
        <f>VLOOKUP($F222,DDE!$A:$AJ,AE$1,FALSE)</f>
        <v xml:space="preserve"> -</v>
      </c>
      <c r="AF222" s="5">
        <f>VLOOKUP($F222,DDE!$A:$AJ,AF$1,FALSE)</f>
        <v>4018459</v>
      </c>
      <c r="AG222" s="5">
        <f>VLOOKUP($F222,DDE!$A:$AJ,AG$1,FALSE)</f>
        <v>16329.54</v>
      </c>
      <c r="AH222" s="5">
        <f>VLOOKUP($F222,DDE!$A:$AJ,AH$1,FALSE)</f>
        <v>16456.939999999999</v>
      </c>
      <c r="AI222" s="5">
        <f>VLOOKUP($F222,DDE!$A:$AJ,AI$1,FALSE)</f>
        <v>16329.54</v>
      </c>
      <c r="AJ222" s="5" t="str">
        <f>VLOOKUP($F222,DDE!$A:$AJ,AJ$1,FALSE)</f>
        <v xml:space="preserve"> -</v>
      </c>
      <c r="AK222" s="5" t="str">
        <f>VLOOKUP($F222,DDE!$A:$AJ,AK$1,FALSE)</f>
        <v xml:space="preserve"> -</v>
      </c>
      <c r="AL222" s="5">
        <f t="shared" si="59"/>
        <v>16443.400000000001</v>
      </c>
      <c r="AM222" s="5">
        <f>VLOOKUP(X222,cmoney!$A:$M,12,FALSE)</f>
        <v>295.5</v>
      </c>
    </row>
    <row r="223" spans="1:39" x14ac:dyDescent="0.25">
      <c r="A223" s="5" t="str">
        <f t="shared" si="51"/>
        <v/>
      </c>
      <c r="B223" s="5" t="s">
        <v>771</v>
      </c>
      <c r="C223" s="5" t="s">
        <v>458</v>
      </c>
      <c r="D223" s="5" t="s">
        <v>1108</v>
      </c>
      <c r="E223" s="5">
        <f>VLOOKUP($D223,股期名單!$L:$M,2,FALSE)</f>
        <v>2000</v>
      </c>
      <c r="F223" s="5" t="str">
        <f t="shared" si="49"/>
        <v>MVFB1</v>
      </c>
      <c r="G223" s="7">
        <f t="shared" si="52"/>
        <v>-0.16978085351787775</v>
      </c>
      <c r="H223" s="5">
        <f>VLOOKUP($F223,DDE!$A:$AJ,H$1,FALSE)</f>
        <v>-14.72</v>
      </c>
      <c r="I223" s="5">
        <f>VLOOKUP($F223,DDE!$A:$AJ,I$1,FALSE)</f>
        <v>16428.68</v>
      </c>
      <c r="J223" s="5" t="str">
        <f>VLOOKUP($F223,DDE!$A:$AJ,J$1,FALSE)</f>
        <v xml:space="preserve"> -</v>
      </c>
      <c r="K223" s="5" t="str">
        <f>VLOOKUP($F223,DDE!$A:$AJ,K$1,FALSE)</f>
        <v xml:space="preserve"> -</v>
      </c>
      <c r="L223" s="5">
        <f>VLOOKUP($F223,DDE!$A:$AJ,L$1,FALSE)</f>
        <v>4022793</v>
      </c>
      <c r="M223" s="5">
        <f>VLOOKUP($F223,DDE!$A:$AJ,M$1,FALSE)</f>
        <v>16329.54</v>
      </c>
      <c r="N223" s="5">
        <f>VLOOKUP($F223,DDE!$A:$AJ,N$1,FALSE)</f>
        <v>16456.939999999999</v>
      </c>
      <c r="O223" s="5">
        <f>VLOOKUP($F223,DDE!$A:$AJ,O$1,FALSE)</f>
        <v>16329.54</v>
      </c>
      <c r="P223" s="5" t="str">
        <f>VLOOKUP($F223,DDE!$A:$AJ,P$1,FALSE)</f>
        <v xml:space="preserve"> -</v>
      </c>
      <c r="Q223" s="5" t="str">
        <f>VLOOKUP($F223,DDE!$A:$AJ,Q$1,FALSE)</f>
        <v xml:space="preserve"> -</v>
      </c>
      <c r="R223" s="5">
        <f t="shared" si="50"/>
        <v>16443.400000000001</v>
      </c>
      <c r="S223" s="5">
        <f>VLOOKUP(D223,cmoney!$A:$M,12,FALSE)</f>
        <v>86.7</v>
      </c>
      <c r="U223" s="5" t="str">
        <f t="shared" si="53"/>
        <v/>
      </c>
      <c r="V223" s="5" t="str">
        <f t="shared" si="54"/>
        <v>9938</v>
      </c>
      <c r="W223" s="5" t="str">
        <f t="shared" si="55"/>
        <v>百和</v>
      </c>
      <c r="X223" s="5" t="str">
        <f t="shared" si="56"/>
        <v>MVF</v>
      </c>
      <c r="Y223" s="49">
        <f>VLOOKUP($X223,股期名單!$L:$M,2,FALSE)</f>
        <v>2000</v>
      </c>
      <c r="Z223" s="5" t="str">
        <f t="shared" si="57"/>
        <v>MVFC1</v>
      </c>
      <c r="AA223" s="7">
        <f t="shared" si="58"/>
        <v>-0.16978085351787775</v>
      </c>
      <c r="AB223" s="5">
        <f>VLOOKUP($F223,DDE!$A:$AJ,AB$1,FALSE)</f>
        <v>-14.72</v>
      </c>
      <c r="AC223" s="5">
        <f>VLOOKUP($F223,DDE!$A:$AJ,AC$1,FALSE)</f>
        <v>16428.68</v>
      </c>
      <c r="AD223" s="5" t="str">
        <f>VLOOKUP($F223,DDE!$A:$AJ,AD$1,FALSE)</f>
        <v xml:space="preserve"> -</v>
      </c>
      <c r="AE223" s="5" t="str">
        <f>VLOOKUP($F223,DDE!$A:$AJ,AE$1,FALSE)</f>
        <v xml:space="preserve"> -</v>
      </c>
      <c r="AF223" s="5">
        <f>VLOOKUP($F223,DDE!$A:$AJ,AF$1,FALSE)</f>
        <v>4022793</v>
      </c>
      <c r="AG223" s="5">
        <f>VLOOKUP($F223,DDE!$A:$AJ,AG$1,FALSE)</f>
        <v>16329.54</v>
      </c>
      <c r="AH223" s="5">
        <f>VLOOKUP($F223,DDE!$A:$AJ,AH$1,FALSE)</f>
        <v>16456.939999999999</v>
      </c>
      <c r="AI223" s="5">
        <f>VLOOKUP($F223,DDE!$A:$AJ,AI$1,FALSE)</f>
        <v>16329.54</v>
      </c>
      <c r="AJ223" s="5" t="str">
        <f>VLOOKUP($F223,DDE!$A:$AJ,AJ$1,FALSE)</f>
        <v xml:space="preserve"> -</v>
      </c>
      <c r="AK223" s="5" t="str">
        <f>VLOOKUP($F223,DDE!$A:$AJ,AK$1,FALSE)</f>
        <v xml:space="preserve"> -</v>
      </c>
      <c r="AL223" s="5">
        <f t="shared" si="59"/>
        <v>16443.400000000001</v>
      </c>
      <c r="AM223" s="5">
        <f>VLOOKUP(X223,cmoney!$A:$M,12,FALSE)</f>
        <v>86.7</v>
      </c>
    </row>
    <row r="224" spans="1:39" x14ac:dyDescent="0.25">
      <c r="A224" s="5" t="str">
        <f t="shared" si="51"/>
        <v/>
      </c>
      <c r="B224" s="5" t="s">
        <v>747</v>
      </c>
      <c r="C224" s="5" t="s">
        <v>386</v>
      </c>
      <c r="D224" s="5" t="s">
        <v>1109</v>
      </c>
      <c r="E224" s="5">
        <f>VLOOKUP($D224,股期名單!$L:$M,2,FALSE)</f>
        <v>2000</v>
      </c>
      <c r="F224" s="5" t="str">
        <f t="shared" si="49"/>
        <v>KOFB1</v>
      </c>
      <c r="G224" s="7">
        <f t="shared" si="52"/>
        <v>-0.34848000000000001</v>
      </c>
      <c r="H224" s="5">
        <f>VLOOKUP($F224,DDE!$A:$AJ,H$1,FALSE)</f>
        <v>-21.78</v>
      </c>
      <c r="I224" s="5">
        <f>VLOOKUP($F224,DDE!$A:$AJ,I$1,FALSE)</f>
        <v>16421.62</v>
      </c>
      <c r="J224" s="5" t="str">
        <f>VLOOKUP($F224,DDE!$A:$AJ,J$1,FALSE)</f>
        <v xml:space="preserve"> -</v>
      </c>
      <c r="K224" s="5" t="str">
        <f>VLOOKUP($F224,DDE!$A:$AJ,K$1,FALSE)</f>
        <v xml:space="preserve"> -</v>
      </c>
      <c r="L224" s="5">
        <f>VLOOKUP($F224,DDE!$A:$AJ,L$1,FALSE)</f>
        <v>4027056</v>
      </c>
      <c r="M224" s="5">
        <f>VLOOKUP($F224,DDE!$A:$AJ,M$1,FALSE)</f>
        <v>16329.54</v>
      </c>
      <c r="N224" s="5">
        <f>VLOOKUP($F224,DDE!$A:$AJ,N$1,FALSE)</f>
        <v>16456.939999999999</v>
      </c>
      <c r="O224" s="5">
        <f>VLOOKUP($F224,DDE!$A:$AJ,O$1,FALSE)</f>
        <v>16329.54</v>
      </c>
      <c r="P224" s="5" t="str">
        <f>VLOOKUP($F224,DDE!$A:$AJ,P$1,FALSE)</f>
        <v xml:space="preserve"> -</v>
      </c>
      <c r="Q224" s="5" t="str">
        <f>VLOOKUP($F224,DDE!$A:$AJ,Q$1,FALSE)</f>
        <v xml:space="preserve"> -</v>
      </c>
      <c r="R224" s="5">
        <f t="shared" si="50"/>
        <v>16443.399999999998</v>
      </c>
      <c r="S224" s="5">
        <f>VLOOKUP(D224,cmoney!$A:$M,12,FALSE)</f>
        <v>62.5</v>
      </c>
      <c r="U224" s="5" t="str">
        <f t="shared" si="53"/>
        <v/>
      </c>
      <c r="V224" s="5" t="str">
        <f t="shared" si="54"/>
        <v>9939</v>
      </c>
      <c r="W224" s="5" t="str">
        <f t="shared" si="55"/>
        <v>宏全</v>
      </c>
      <c r="X224" s="5" t="str">
        <f t="shared" si="56"/>
        <v>KOF</v>
      </c>
      <c r="Y224" s="49">
        <f>VLOOKUP($X224,股期名單!$L:$M,2,FALSE)</f>
        <v>2000</v>
      </c>
      <c r="Z224" s="5" t="str">
        <f t="shared" si="57"/>
        <v>KOFC1</v>
      </c>
      <c r="AA224" s="7">
        <f t="shared" si="58"/>
        <v>-0.34848000000000001</v>
      </c>
      <c r="AB224" s="5">
        <f>VLOOKUP($F224,DDE!$A:$AJ,AB$1,FALSE)</f>
        <v>-21.78</v>
      </c>
      <c r="AC224" s="5">
        <f>VLOOKUP($F224,DDE!$A:$AJ,AC$1,FALSE)</f>
        <v>16421.62</v>
      </c>
      <c r="AD224" s="5" t="str">
        <f>VLOOKUP($F224,DDE!$A:$AJ,AD$1,FALSE)</f>
        <v xml:space="preserve"> -</v>
      </c>
      <c r="AE224" s="5" t="str">
        <f>VLOOKUP($F224,DDE!$A:$AJ,AE$1,FALSE)</f>
        <v xml:space="preserve"> -</v>
      </c>
      <c r="AF224" s="5">
        <f>VLOOKUP($F224,DDE!$A:$AJ,AF$1,FALSE)</f>
        <v>4027056</v>
      </c>
      <c r="AG224" s="5">
        <f>VLOOKUP($F224,DDE!$A:$AJ,AG$1,FALSE)</f>
        <v>16329.54</v>
      </c>
      <c r="AH224" s="5">
        <f>VLOOKUP($F224,DDE!$A:$AJ,AH$1,FALSE)</f>
        <v>16456.939999999999</v>
      </c>
      <c r="AI224" s="5">
        <f>VLOOKUP($F224,DDE!$A:$AJ,AI$1,FALSE)</f>
        <v>16329.54</v>
      </c>
      <c r="AJ224" s="5" t="str">
        <f>VLOOKUP($F224,DDE!$A:$AJ,AJ$1,FALSE)</f>
        <v xml:space="preserve"> -</v>
      </c>
      <c r="AK224" s="5" t="str">
        <f>VLOOKUP($F224,DDE!$A:$AJ,AK$1,FALSE)</f>
        <v xml:space="preserve"> -</v>
      </c>
      <c r="AL224" s="5">
        <f t="shared" si="59"/>
        <v>16443.399999999998</v>
      </c>
      <c r="AM224" s="5">
        <f>VLOOKUP(X224,cmoney!$A:$M,12,FALSE)</f>
        <v>62.5</v>
      </c>
    </row>
    <row r="225" spans="1:39" x14ac:dyDescent="0.25">
      <c r="A225" s="5" t="str">
        <f t="shared" si="51"/>
        <v/>
      </c>
      <c r="B225" s="5" t="s">
        <v>748</v>
      </c>
      <c r="C225" s="5" t="s">
        <v>389</v>
      </c>
      <c r="D225" s="5" t="s">
        <v>1110</v>
      </c>
      <c r="E225" s="5">
        <f>VLOOKUP($D225,股期名單!$L:$M,2,FALSE)</f>
        <v>2000</v>
      </c>
      <c r="F225" s="5" t="str">
        <f t="shared" si="49"/>
        <v>KPFB1</v>
      </c>
      <c r="G225" s="7">
        <f t="shared" si="52"/>
        <v>-0.52105263157894743</v>
      </c>
      <c r="H225" s="5">
        <f>VLOOKUP($F225,DDE!$A:$AJ,H$1,FALSE)</f>
        <v>-21.78</v>
      </c>
      <c r="I225" s="5">
        <f>VLOOKUP($F225,DDE!$A:$AJ,I$1,FALSE)</f>
        <v>16421.62</v>
      </c>
      <c r="J225" s="5" t="str">
        <f>VLOOKUP($F225,DDE!$A:$AJ,J$1,FALSE)</f>
        <v xml:space="preserve"> -</v>
      </c>
      <c r="K225" s="5" t="str">
        <f>VLOOKUP($F225,DDE!$A:$AJ,K$1,FALSE)</f>
        <v xml:space="preserve"> -</v>
      </c>
      <c r="L225" s="5">
        <f>VLOOKUP($F225,DDE!$A:$AJ,L$1,FALSE)</f>
        <v>4027056</v>
      </c>
      <c r="M225" s="5">
        <f>VLOOKUP($F225,DDE!$A:$AJ,M$1,FALSE)</f>
        <v>16329.54</v>
      </c>
      <c r="N225" s="5">
        <f>VLOOKUP($F225,DDE!$A:$AJ,N$1,FALSE)</f>
        <v>16456.939999999999</v>
      </c>
      <c r="O225" s="5">
        <f>VLOOKUP($F225,DDE!$A:$AJ,O$1,FALSE)</f>
        <v>16329.54</v>
      </c>
      <c r="P225" s="5" t="str">
        <f>VLOOKUP($F225,DDE!$A:$AJ,P$1,FALSE)</f>
        <v xml:space="preserve"> -</v>
      </c>
      <c r="Q225" s="5" t="str">
        <f>VLOOKUP($F225,DDE!$A:$AJ,Q$1,FALSE)</f>
        <v xml:space="preserve"> -</v>
      </c>
      <c r="R225" s="5">
        <f t="shared" si="50"/>
        <v>16443.399999999998</v>
      </c>
      <c r="S225" s="5">
        <f>VLOOKUP(D225,cmoney!$A:$M,12,FALSE)</f>
        <v>41.8</v>
      </c>
      <c r="U225" s="5" t="str">
        <f t="shared" si="53"/>
        <v/>
      </c>
      <c r="V225" s="5" t="str">
        <f t="shared" si="54"/>
        <v>9945</v>
      </c>
      <c r="W225" s="5" t="str">
        <f t="shared" si="55"/>
        <v>潤泰新</v>
      </c>
      <c r="X225" s="5" t="str">
        <f t="shared" si="56"/>
        <v>KPF</v>
      </c>
      <c r="Y225" s="49">
        <f>VLOOKUP($X225,股期名單!$L:$M,2,FALSE)</f>
        <v>2000</v>
      </c>
      <c r="Z225" s="5" t="str">
        <f t="shared" si="57"/>
        <v>KPFC1</v>
      </c>
      <c r="AA225" s="7">
        <f t="shared" si="58"/>
        <v>-0.52105263157894743</v>
      </c>
      <c r="AB225" s="5">
        <f>VLOOKUP($F225,DDE!$A:$AJ,AB$1,FALSE)</f>
        <v>-21.78</v>
      </c>
      <c r="AC225" s="5">
        <f>VLOOKUP($F225,DDE!$A:$AJ,AC$1,FALSE)</f>
        <v>16421.62</v>
      </c>
      <c r="AD225" s="5" t="str">
        <f>VLOOKUP($F225,DDE!$A:$AJ,AD$1,FALSE)</f>
        <v xml:space="preserve"> -</v>
      </c>
      <c r="AE225" s="5" t="str">
        <f>VLOOKUP($F225,DDE!$A:$AJ,AE$1,FALSE)</f>
        <v xml:space="preserve"> -</v>
      </c>
      <c r="AF225" s="5">
        <f>VLOOKUP($F225,DDE!$A:$AJ,AF$1,FALSE)</f>
        <v>4027056</v>
      </c>
      <c r="AG225" s="5">
        <f>VLOOKUP($F225,DDE!$A:$AJ,AG$1,FALSE)</f>
        <v>16329.54</v>
      </c>
      <c r="AH225" s="5">
        <f>VLOOKUP($F225,DDE!$A:$AJ,AH$1,FALSE)</f>
        <v>16456.939999999999</v>
      </c>
      <c r="AI225" s="5">
        <f>VLOOKUP($F225,DDE!$A:$AJ,AI$1,FALSE)</f>
        <v>16329.54</v>
      </c>
      <c r="AJ225" s="5" t="str">
        <f>VLOOKUP($F225,DDE!$A:$AJ,AJ$1,FALSE)</f>
        <v xml:space="preserve"> -</v>
      </c>
      <c r="AK225" s="5" t="str">
        <f>VLOOKUP($F225,DDE!$A:$AJ,AK$1,FALSE)</f>
        <v xml:space="preserve"> -</v>
      </c>
      <c r="AL225" s="5">
        <f t="shared" si="59"/>
        <v>16443.399999999998</v>
      </c>
      <c r="AM225" s="5">
        <f>VLOOKUP(X225,cmoney!$A:$M,12,FALSE)</f>
        <v>41.8</v>
      </c>
    </row>
  </sheetData>
  <sortState ref="B5:R203">
    <sortCondition ref="B5:B203"/>
  </sortState>
  <phoneticPr fontId="2" type="noConversion"/>
  <conditionalFormatting sqref="G14:G15 G17:G256">
    <cfRule type="expression" dxfId="5" priority="5">
      <formula>AND($G14&lt;=-3%,$G14&lt;&gt;"")</formula>
    </cfRule>
    <cfRule type="expression" dxfId="4" priority="6">
      <formula>AND($G14&gt;=3%,$G14&lt;&gt;"")</formula>
    </cfRule>
  </conditionalFormatting>
  <conditionalFormatting sqref="AA17:AA225">
    <cfRule type="expression" dxfId="3" priority="3">
      <formula>AND($G17&lt;=-3%,$G17&lt;&gt;"")</formula>
    </cfRule>
    <cfRule type="expression" dxfId="2" priority="4">
      <formula>AND($G17&gt;=3%,$G17&lt;&gt;"")</formula>
    </cfRule>
  </conditionalFormatting>
  <conditionalFormatting sqref="AA5:AA14">
    <cfRule type="expression" dxfId="1" priority="1">
      <formula>AND($G5&lt;=-3%,$G5&lt;&gt;"")</formula>
    </cfRule>
    <cfRule type="expression" dxfId="0" priority="2">
      <formula>AND($G5&gt;=3%,$G5&lt;&gt;"")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DDE</vt:lpstr>
      <vt:lpstr>cmoney</vt:lpstr>
      <vt:lpstr>股期名單</vt:lpstr>
      <vt:lpstr>監控</vt:lpstr>
    </vt:vector>
  </TitlesOfParts>
  <Company>KGI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黃立承</dc:creator>
  <cp:lastModifiedBy>黃立承</cp:lastModifiedBy>
  <dcterms:created xsi:type="dcterms:W3CDTF">2020-04-22T00:23:15Z</dcterms:created>
  <dcterms:modified xsi:type="dcterms:W3CDTF">2021-02-24T05:35:51Z</dcterms:modified>
</cp:coreProperties>
</file>