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8455" windowHeight="12030" firstSheet="4" activeTab="10"/>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6" sheetId="9" r:id="rId8"/>
    <sheet name="Konvertierungsbeispiele" sheetId="11" r:id="rId9"/>
    <sheet name="Exoplanetenparameterableitung" sheetId="12" r:id="rId10"/>
    <sheet name="Autoscaling" sheetId="13" r:id="rId11"/>
  </sheets>
  <calcPr calcId="125725" calcOnSave="0" concurrentCalc="0"/>
</workbook>
</file>

<file path=xl/calcChain.xml><?xml version="1.0" encoding="utf-8"?>
<calcChain xmlns="http://schemas.openxmlformats.org/spreadsheetml/2006/main">
  <c r="G11" i="13"/>
  <c r="D11"/>
  <c r="C9"/>
  <c r="C6"/>
  <c r="E2"/>
  <c r="D2"/>
  <c r="F2"/>
  <c r="E3"/>
  <c r="D3"/>
  <c r="F3"/>
  <c r="E7"/>
  <c r="D7"/>
  <c r="F7"/>
  <c r="G2"/>
  <c r="G3"/>
  <c r="G7"/>
  <c r="K2" i="9"/>
  <c r="K1"/>
  <c r="D14" i="10"/>
  <c r="D13"/>
  <c r="D12"/>
  <c r="D11"/>
  <c r="D10"/>
  <c r="D9"/>
  <c r="D7"/>
  <c r="D6"/>
  <c r="D5"/>
  <c r="D4"/>
  <c r="D3"/>
  <c r="D2"/>
  <c r="D23"/>
  <c r="D24"/>
  <c r="D25"/>
  <c r="D26"/>
  <c r="D27"/>
  <c r="D28"/>
  <c r="D30"/>
  <c r="D31"/>
  <c r="D32"/>
  <c r="D33"/>
  <c r="D34"/>
  <c r="D35"/>
  <c r="D37"/>
  <c r="D38"/>
  <c r="D39"/>
  <c r="D40"/>
  <c r="D41"/>
  <c r="D42"/>
  <c r="D44"/>
  <c r="D45"/>
  <c r="D46"/>
  <c r="D47"/>
  <c r="D48"/>
  <c r="D49"/>
  <c r="D51"/>
  <c r="D52"/>
  <c r="D53"/>
  <c r="D54"/>
  <c r="D55"/>
  <c r="D56"/>
  <c r="D58"/>
  <c r="D59"/>
  <c r="D60"/>
  <c r="D61"/>
  <c r="D62"/>
  <c r="D63"/>
  <c r="D21"/>
  <c r="D20"/>
  <c r="D19"/>
  <c r="D18"/>
  <c r="D17"/>
  <c r="D16"/>
  <c r="D3" i="4"/>
  <c r="C4"/>
  <c r="B4"/>
  <c r="D4"/>
  <c r="B15" i="3"/>
  <c r="B16"/>
  <c r="B17"/>
  <c r="B18"/>
  <c r="H15" i="1"/>
  <c r="H21"/>
  <c r="H9"/>
  <c r="H11"/>
  <c r="H17"/>
  <c r="H22"/>
  <c r="H26"/>
  <c r="H25"/>
  <c r="H24"/>
  <c r="K21"/>
  <c r="K9"/>
  <c r="K11"/>
  <c r="K15"/>
  <c r="K17"/>
  <c r="K22"/>
  <c r="K18"/>
  <c r="K16"/>
  <c r="H16"/>
  <c r="H18"/>
  <c r="B20"/>
  <c r="B21"/>
</calcChain>
</file>

<file path=xl/sharedStrings.xml><?xml version="1.0" encoding="utf-8"?>
<sst xmlns="http://schemas.openxmlformats.org/spreadsheetml/2006/main" count="432" uniqueCount="286">
  <si>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</si>
  <si>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</si>
  <si>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</si>
  <si>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</si>
  <si>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</si>
  <si>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</si>
  <si>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</si>
  <si>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</si>
  <si>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</si>
  <si>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</si>
  <si>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</si>
  <si>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</si>
  <si>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</si>
  <si>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</si>
  <si>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</si>
  <si>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</si>
  <si>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</si>
  <si>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</si>
  <si>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</si>
  <si>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</si>
  <si>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</si>
  <si>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</si>
  <si>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</si>
  <si>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</si>
  <si>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</si>
  <si>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</si>
  <si>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</si>
  <si>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</si>
  <si>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</si>
  <si>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</si>
  <si>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</si>
  <si>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</si>
  <si>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</si>
  <si>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</si>
  <si>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</si>
  <si>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</si>
  <si>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</si>
  <si>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</si>
  <si>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</si>
  <si>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</si>
  <si>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</si>
  <si>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</si>
  <si>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</si>
  <si>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</si>
  <si>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</si>
  <si>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</si>
  <si>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</si>
  <si>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</si>
  <si>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</si>
  <si>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</si>
  <si>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</si>
  <si>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</si>
  <si>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</si>
  <si>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</si>
  <si>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</si>
  <si>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</si>
  <si>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</si>
  <si>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</si>
  <si>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</si>
  <si>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</si>
  <si>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</si>
  <si>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</si>
  <si>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</si>
  <si>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</si>
  <si>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</si>
  <si>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</si>
  <si>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</si>
  <si>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</si>
  <si>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</si>
  <si>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</si>
  <si>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</si>
  <si>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</si>
  <si>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</si>
  <si>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r>
      <t>BJD</t>
    </r>
    <r>
      <rPr>
        <vertAlign val="subscript"/>
        <sz val="11"/>
        <color rgb="FFFF0000"/>
        <rFont val="Calibri"/>
        <family val="2"/>
        <scheme val="minor"/>
      </rPr>
      <t>TDB</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</si>
  <si>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</si>
  <si>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</si>
  <si>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</si>
  <si>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</si>
  <si>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</si>
  <si>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</si>
  <si>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</si>
  <si>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</si>
  <si>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</si>
  <si>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</si>
  <si>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</si>
  <si>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</si>
  <si>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</si>
  <si>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</si>
  <si>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</si>
  <si>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</si>
  <si>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</si>
  <si>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</si>
  <si>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</si>
  <si>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</si>
  <si>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</si>
  <si>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</si>
  <si>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</si>
  <si>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</si>
  <si>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</si>
  <si>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</si>
  <si>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</si>
  <si>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</si>
  <si>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</si>
  <si>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</si>
  <si>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</si>
  <si>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</si>
  <si>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</si>
  <si>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</si>
  <si>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</si>
  <si>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</si>
  <si>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</si>
  <si>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</si>
  <si>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</si>
  <si>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</si>
  <si>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</si>
  <si>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</si>
  <si>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</si>
  <si>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</si>
  <si>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</si>
  <si>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</si>
  <si>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</si>
  <si>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</si>
  <si>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</si>
  <si>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</si>
  <si>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</si>
  <si>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</si>
  <si>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</si>
  <si>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</si>
  <si>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</si>
  <si>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</si>
  <si>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Angular distance along the plane of the orbit from the ascending node to the pericenter.</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</si>
  <si>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</si>
  <si>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</si>
  <si>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</si>
  <si>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</si>
  <si>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</si>
  <si>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</si>
  <si>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</si>
  <si>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</si>
  <si>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</si>
  <si>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</si>
  <si>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</si>
  <si>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</si>
  <si>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Angle between the direction of periapsis and the current position of the body, as seen from the main focus of the ellipse (the point around which the object orbits).</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</si>
  <si>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</si>
  <si>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</si>
  <si>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</si>
  <si>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</si>
  <si>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</si>
  <si>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</si>
  <si>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</si>
  <si>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</si>
  <si>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</si>
  <si>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</si>
  <si>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</si>
  <si>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</si>
  <si>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</si>
  <si>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</si>
  <si>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</si>
  <si>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</si>
  <si>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</si>
  <si>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</si>
  <si>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</si>
  <si>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</si>
  <si>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</si>
  <si>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</si>
  <si>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</si>
  <si>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</si>
  <si>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</si>
  <si>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</si>
  <si>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</si>
  <si>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</si>
  <si>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</si>
  <si>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</si>
  <si>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</si>
  <si>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</si>
  <si>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</si>
  <si>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</si>
  <si>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</si>
  <si>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</si>
  <si>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</si>
  <si>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</si>
  <si>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</si>
  <si>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</si>
  <si>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</si>
  <si>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</si>
  <si>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</si>
  <si>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</si>
  <si>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</si>
  <si>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</si>
  <si>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</si>
  <si>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</si>
  <si>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</si>
  <si>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</si>
  <si>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</si>
  <si>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</si>
  <si>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</si>
  <si>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</si>
  <si>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</si>
  <si>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</si>
  <si>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</si>
  <si>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</si>
  <si>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</si>
  <si>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</si>
  <si>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</si>
  <si>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</si>
  <si>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</si>
  <si>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</si>
  <si>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</si>
  <si>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</si>
  <si>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</si>
  <si>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</si>
  <si>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</si>
  <si>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</si>
  <si>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</si>
  <si>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</si>
  <si>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</si>
  <si>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</si>
  <si>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</si>
  <si>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</si>
  <si>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</si>
  <si>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</si>
  <si>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</si>
  <si>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</si>
  <si>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</si>
  <si>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</si>
  <si>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</si>
  <si>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</si>
  <si>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</si>
  <si>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</si>
  <si>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</si>
  <si>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</si>
  <si>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</si>
  <si>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</si>
  <si>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</si>
  <si>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</si>
  <si>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</si>
  <si>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</si>
  <si>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</si>
  <si>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</si>
  <si>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</si>
  <si>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</si>
  <si>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</si>
  <si>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</si>
  <si>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</si>
  <si>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</si>
  <si>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</si>
  <si>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</si>
  <si>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</si>
  <si>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</si>
  <si>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</si>
  <si>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</si>
  <si>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</si>
  <si>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</si>
  <si>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</si>
  <si>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</si>
  <si>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</si>
  <si>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</si>
  <si>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</si>
  <si>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</si>
  <si>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</si>
  <si>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</si>
  <si>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</si>
  <si>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</si>
  <si>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</si>
  <si>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</si>
  <si>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t>Typische Exoplanet Information.</t>
  </si>
  <si>
    <r>
      <t>a, e, i, ω
Ω=270°, nu=270° @ T</t>
    </r>
    <r>
      <rPr>
        <vertAlign val="subscript"/>
        <sz val="11"/>
        <color theme="1"/>
        <rFont val="Calibri"/>
        <family val="2"/>
        <scheme val="minor"/>
      </rPr>
      <t>T</t>
    </r>
  </si>
  <si>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</si>
  <si>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</si>
  <si>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</si>
  <si>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</si>
  <si>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</si>
  <si>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</si>
  <si>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t>log_scaled_list</t>
  </si>
  <si>
    <t>log_list</t>
  </si>
  <si>
    <t>radius_list_in</t>
  </si>
  <si>
    <t>log 10</t>
  </si>
  <si>
    <t>* p.min_radius / min(log_list)</t>
  </si>
  <si>
    <t>scaled log10 lineary, so the smallest circle has the desired radius</t>
  </si>
  <si>
    <t>p.max_radius</t>
  </si>
  <si>
    <t>max faktor</t>
  </si>
  <si>
    <t>deltas</t>
  </si>
  <si>
    <t>max delta</t>
  </si>
  <si>
    <t>scaled deltas + 1</t>
  </si>
  <si>
    <t>p.min_radius</t>
  </si>
</sst>
</file>

<file path=xl/styles.xml><?xml version="1.0" encoding="utf-8"?>
<styleSheet xmlns="http://schemas.openxmlformats.org/spreadsheetml/2006/main">
  <numFmts count="8">
    <numFmt numFmtId="43" formatCode="_-* #,##0.00\ _€_-;\-* #,##0.00\ _€_-;_-* &quot;-&quot;??\ _€_-;_-@_-"/>
    <numFmt numFmtId="164" formatCode="_-* #,##0\ _€_-;\-* #,##0\ _€_-;_-* &quot;-&quot;??\ _€_-;_-@_-"/>
    <numFmt numFmtId="165" formatCode="0.000000E+00"/>
    <numFmt numFmtId="166" formatCode="0.000"/>
    <numFmt numFmtId="167" formatCode="0.00000E+00"/>
    <numFmt numFmtId="168" formatCode="0.000000"/>
    <numFmt numFmtId="169" formatCode="0.000%"/>
    <numFmt numFmtId="178" formatCode="0.0000"/>
  </numFmts>
  <fonts count="18">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FF0000"/>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onsolas"/>
      <family val="3"/>
    </font>
    <font>
      <sz val="11"/>
      <name val="Calibri"/>
      <family val="2"/>
      <scheme val="minor"/>
    </font>
    <font>
      <sz val="8"/>
      <name val="Consolas"/>
      <family val="3"/>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87">
    <xf numFmtId="0" fontId="0" fillId="0" borderId="0" xfId="0"/>
    <xf numFmtId="164" fontId="0" fillId="0" borderId="0" xfId="1" applyNumberFormat="1" applyFont="1"/>
    <xf numFmtId="164" fontId="0" fillId="0" borderId="0" xfId="0" applyNumberFormat="1"/>
    <xf numFmtId="43"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Font="1"/>
    <xf numFmtId="0" fontId="0" fillId="0" borderId="0" xfId="0" applyAlignment="1">
      <alignment horizontal="left"/>
    </xf>
    <xf numFmtId="0" fontId="6" fillId="0" borderId="0" xfId="0" applyFont="1" applyAlignment="1">
      <alignment horizontal="left"/>
    </xf>
    <xf numFmtId="0" fontId="4" fillId="0" borderId="0" xfId="0" applyFont="1" applyAlignment="1">
      <alignment horizontal="left"/>
    </xf>
    <xf numFmtId="0" fontId="10" fillId="0" borderId="0" xfId="3" applyFont="1" applyAlignment="1" applyProtection="1"/>
    <xf numFmtId="0" fontId="11" fillId="0" borderId="0" xfId="0" applyFont="1"/>
    <xf numFmtId="0" fontId="0" fillId="0" borderId="0" xfId="0" applyFont="1" applyAlignment="1">
      <alignment horizontal="left"/>
    </xf>
    <xf numFmtId="0" fontId="0" fillId="0" borderId="0" xfId="0" applyFill="1"/>
    <xf numFmtId="0" fontId="0" fillId="0" borderId="0" xfId="0" applyFont="1" applyFill="1"/>
    <xf numFmtId="0" fontId="0" fillId="0" borderId="0" xfId="0" applyFont="1" applyFill="1" applyAlignment="1">
      <alignment vertical="top" wrapText="1"/>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Fill="1" applyBorder="1"/>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2" fillId="0" borderId="0" xfId="0" applyFont="1" applyFill="1"/>
    <xf numFmtId="0" fontId="3" fillId="0" borderId="1" xfId="3" applyFill="1" applyBorder="1" applyAlignment="1" applyProtection="1"/>
    <xf numFmtId="0" fontId="0" fillId="0" borderId="1" xfId="0" applyFont="1" applyFill="1" applyBorder="1" applyAlignment="1">
      <alignment vertical="top"/>
    </xf>
    <xf numFmtId="49" fontId="0" fillId="0" borderId="0" xfId="0" applyNumberFormat="1" applyFon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ont="1"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ont="1" applyFill="1" applyBorder="1"/>
    <xf numFmtId="0" fontId="0" fillId="0" borderId="8" xfId="0" applyFont="1" applyFill="1" applyBorder="1" applyAlignment="1">
      <alignment horizontal="center" wrapText="1"/>
    </xf>
    <xf numFmtId="49" fontId="0" fillId="0" borderId="0" xfId="0" applyNumberFormat="1" applyFont="1" applyFill="1" applyBorder="1"/>
    <xf numFmtId="0" fontId="0" fillId="0" borderId="9" xfId="0" applyNumberFormat="1" applyFill="1" applyBorder="1"/>
    <xf numFmtId="0" fontId="0" fillId="0" borderId="10" xfId="0" applyFont="1" applyFill="1" applyBorder="1" applyAlignment="1">
      <alignment horizontal="center" wrapText="1"/>
    </xf>
    <xf numFmtId="49" fontId="0" fillId="0" borderId="11" xfId="0" applyNumberFormat="1" applyFont="1" applyFill="1" applyBorder="1"/>
    <xf numFmtId="0" fontId="0" fillId="0" borderId="12" xfId="0" applyNumberFormat="1" applyFill="1"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0" xfId="0" applyFill="1" applyBorder="1" applyAlignment="1">
      <alignment wrapText="1"/>
    </xf>
    <xf numFmtId="0" fontId="0" fillId="0" borderId="11" xfId="0" applyFill="1" applyBorder="1" applyAlignment="1">
      <alignment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15" fillId="0" borderId="0" xfId="0" applyFont="1" applyAlignment="1">
      <alignment vertical="center"/>
    </xf>
    <xf numFmtId="0" fontId="15" fillId="0" borderId="0" xfId="0" applyFont="1" applyAlignment="1">
      <alignment vertical="center" wrapText="1"/>
    </xf>
    <xf numFmtId="0" fontId="0" fillId="0" borderId="0" xfId="0" applyAlignment="1">
      <alignment vertical="center"/>
    </xf>
    <xf numFmtId="0" fontId="17" fillId="0" borderId="0" xfId="0" applyFont="1" applyAlignment="1">
      <alignment vertical="center" wrapText="1"/>
    </xf>
    <xf numFmtId="0" fontId="16" fillId="0" borderId="0" xfId="0" applyFont="1" applyAlignment="1">
      <alignment vertical="center"/>
    </xf>
    <xf numFmtId="0" fontId="16" fillId="0" borderId="0" xfId="0" applyFont="1" applyAlignment="1">
      <alignment vertical="center" wrapText="1"/>
    </xf>
    <xf numFmtId="178" fontId="0" fillId="0" borderId="0" xfId="0" applyNumberFormat="1" applyAlignment="1">
      <alignment vertical="center"/>
    </xf>
    <xf numFmtId="166" fontId="0" fillId="0" borderId="0" xfId="0" applyNumberFormat="1" applyAlignment="1">
      <alignment vertical="center"/>
    </xf>
    <xf numFmtId="166" fontId="16" fillId="0" borderId="0" xfId="0" applyNumberFormat="1" applyFont="1" applyAlignment="1">
      <alignment vertical="center" wrapText="1"/>
    </xf>
    <xf numFmtId="178" fontId="16" fillId="0" borderId="0" xfId="0" applyNumberFormat="1" applyFont="1" applyAlignment="1">
      <alignment vertical="center" wrapText="1"/>
    </xf>
  </cellXfs>
  <cellStyles count="4">
    <cellStyle name="Dezimal" xfId="1" builtinId="3"/>
    <cellStyle name="Hyperlink" xfId="3" builtinId="8"/>
    <cellStyle name="Prozent" xfId="2" builtinId="5"/>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xdr:cNvGrpSpPr/>
      </xdr:nvGrpSpPr>
      <xdr:grpSpPr>
        <a:xfrm>
          <a:off x="7934325" y="1628775"/>
          <a:ext cx="4761525" cy="4761525"/>
          <a:chOff x="7934325" y="1552575"/>
          <a:chExt cx="4761525" cy="4761525"/>
        </a:xfrm>
      </xdr:grpSpPr>
      <xdr:sp macro="" textlink="">
        <xdr:nvSpPr>
          <xdr:cNvPr id="7" name="Ellipse 6"/>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104775</xdr:colOff>
      <xdr:row>32</xdr:row>
      <xdr:rowOff>9525</xdr:rowOff>
    </xdr:from>
    <xdr:to>
      <xdr:col>7</xdr:col>
      <xdr:colOff>363168</xdr:colOff>
      <xdr:row>51</xdr:row>
      <xdr:rowOff>16533</xdr:rowOff>
    </xdr:to>
    <xdr:pic>
      <xdr:nvPicPr>
        <xdr:cNvPr id="3" name="Grafik 2"/>
        <xdr:cNvPicPr>
          <a:picLocks noChangeAspect="1"/>
        </xdr:cNvPicPr>
      </xdr:nvPicPr>
      <xdr:blipFill>
        <a:blip xmlns:r="http://schemas.openxmlformats.org/officeDocument/2006/relationships" r:embed="rId2"/>
        <a:stretch>
          <a:fillRect/>
        </a:stretch>
      </xdr:blipFill>
      <xdr:spPr>
        <a:xfrm>
          <a:off x="104775" y="611505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Primary eclipse:</a:t>
          </a:r>
          <a:r>
            <a:rPr lang="de-DE" sz="1100" b="0" i="0" baseline="0">
              <a:solidFill>
                <a:schemeClr val="dk1"/>
              </a:solidFill>
              <a:latin typeface="+mn-lt"/>
              <a:ea typeface="+mn-ea"/>
              <a:cs typeface="+mn-cs"/>
            </a:rPr>
            <a:t> planet eclipses star.</a:t>
          </a:r>
        </a:p>
        <a:p>
          <a:r>
            <a:rPr lang="de-DE" sz="1100" b="0" i="0" baseline="0">
              <a:solidFill>
                <a:schemeClr val="dk1"/>
              </a:solidFill>
              <a:latin typeface="+mn-lt"/>
              <a:ea typeface="+mn-ea"/>
              <a:cs typeface="+mn-cs"/>
            </a:rPr>
            <a:t>Secondary eclipse: star eclipses planet.</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7</xdr:row>
      <xdr:rowOff>495300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16</xdr:row>
      <xdr:rowOff>371475</xdr:rowOff>
    </xdr:to>
    <xdr:pic>
      <xdr:nvPicPr>
        <xdr:cNvPr id="5" name="Grafik 4"/>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sheet1.xml><?xml version="1.0" encoding="utf-8"?>
<worksheet xmlns="http://schemas.openxmlformats.org/spreadsheetml/2006/main" xmlns:r="http://schemas.openxmlformats.org/officeDocument/2006/relationships">
  <dimension ref="B9:K26"/>
  <sheetViews>
    <sheetView workbookViewId="0"/>
  </sheetViews>
  <sheetFormatPr baseColWidth="10" defaultRowHeight="15"/>
  <cols>
    <col min="2" max="2" width="14.140625" customWidth="1"/>
    <col min="7" max="7" width="16.85546875" bestFit="1" customWidth="1"/>
    <col min="8" max="8" width="18.140625" customWidth="1"/>
    <col min="10" max="10" width="14.85546875" bestFit="1" customWidth="1"/>
    <col min="11" max="11" width="16" customWidth="1"/>
  </cols>
  <sheetData>
    <row r="9" spans="2:11">
      <c r="G9" t="s">
        <v>4</v>
      </c>
      <c r="H9">
        <f>4*PI()^2</f>
        <v>39.478417604357432</v>
      </c>
      <c r="J9" t="s">
        <v>4</v>
      </c>
      <c r="K9">
        <f>4*PI()^2</f>
        <v>39.478417604357432</v>
      </c>
    </row>
    <row r="10" spans="2:11">
      <c r="G10" t="s">
        <v>5</v>
      </c>
      <c r="H10" s="5">
        <v>149597870000</v>
      </c>
      <c r="J10" t="s">
        <v>5</v>
      </c>
      <c r="K10" s="4">
        <v>149597870000</v>
      </c>
    </row>
    <row r="11" spans="2:11">
      <c r="G11" t="s">
        <v>6</v>
      </c>
      <c r="H11" s="5">
        <f>H10^3</f>
        <v>3.3479289288137507E+33</v>
      </c>
      <c r="J11" t="s">
        <v>6</v>
      </c>
      <c r="K11" s="4">
        <f>K10^3</f>
        <v>3.3479289288137507E+33</v>
      </c>
    </row>
    <row r="12" spans="2:11">
      <c r="B12" s="1">
        <v>12756270</v>
      </c>
      <c r="G12" t="s">
        <v>7</v>
      </c>
      <c r="H12" s="5">
        <v>6.6740800000000003E-11</v>
      </c>
      <c r="J12" t="s">
        <v>7</v>
      </c>
      <c r="K12" s="4">
        <v>6.6740800000000003E-11</v>
      </c>
    </row>
    <row r="13" spans="2:11">
      <c r="B13" s="2">
        <v>6378135</v>
      </c>
      <c r="G13" t="s">
        <v>9</v>
      </c>
      <c r="H13" s="5">
        <v>1.9884E+30</v>
      </c>
      <c r="J13" t="s">
        <v>9</v>
      </c>
      <c r="K13" s="4">
        <v>1.9884E+30</v>
      </c>
    </row>
    <row r="14" spans="2:11">
      <c r="B14" s="2"/>
      <c r="G14" t="s">
        <v>10</v>
      </c>
      <c r="H14" s="5">
        <v>5.9720000000000003E+24</v>
      </c>
      <c r="J14" t="s">
        <v>10</v>
      </c>
      <c r="K14" s="4">
        <v>5.9720000000000003E+24</v>
      </c>
    </row>
    <row r="15" spans="2:11">
      <c r="B15" s="2"/>
      <c r="G15" t="s">
        <v>8</v>
      </c>
      <c r="H15" s="5">
        <f>H13+H14</f>
        <v>1.988405972E+30</v>
      </c>
      <c r="J15" t="s">
        <v>8</v>
      </c>
      <c r="K15" s="4">
        <f>K13+K14</f>
        <v>1.988405972E+30</v>
      </c>
    </row>
    <row r="16" spans="2:11">
      <c r="B16" s="2"/>
      <c r="G16" t="s">
        <v>11</v>
      </c>
      <c r="H16">
        <f>3600*24</f>
        <v>86400</v>
      </c>
      <c r="J16" t="s">
        <v>11</v>
      </c>
      <c r="K16">
        <f>3600*24</f>
        <v>86400</v>
      </c>
    </row>
    <row r="17" spans="2:11">
      <c r="B17" s="2"/>
      <c r="G17" t="s">
        <v>12</v>
      </c>
      <c r="H17">
        <f>SQRT(H9*H11/(H12*H15))</f>
        <v>31558746.865251575</v>
      </c>
      <c r="J17" t="s">
        <v>12</v>
      </c>
      <c r="K17">
        <f>SQRT(K9*K11/(K12*K15))</f>
        <v>31558746.865251575</v>
      </c>
    </row>
    <row r="18" spans="2:11">
      <c r="B18" s="2">
        <v>50000</v>
      </c>
      <c r="C18" t="s">
        <v>0</v>
      </c>
      <c r="G18" t="s">
        <v>13</v>
      </c>
      <c r="H18">
        <f>H17/3600/24</f>
        <v>365.26327390337474</v>
      </c>
      <c r="J18" t="s">
        <v>13</v>
      </c>
      <c r="K18">
        <f>K17/3600/24</f>
        <v>365.26327390337474</v>
      </c>
    </row>
    <row r="19" spans="2:11">
      <c r="B19" s="2">
        <v>30</v>
      </c>
      <c r="C19" t="s">
        <v>1</v>
      </c>
    </row>
    <row r="20" spans="2:11">
      <c r="B20" s="2">
        <f>B18*B19</f>
        <v>1500000</v>
      </c>
      <c r="C20" t="s">
        <v>2</v>
      </c>
    </row>
    <row r="21" spans="2:11">
      <c r="B21" s="3">
        <f>B20/3600/24</f>
        <v>17.361111111111111</v>
      </c>
      <c r="C21" t="s">
        <v>3</v>
      </c>
      <c r="G21" t="s">
        <v>17</v>
      </c>
      <c r="H21" s="4">
        <f>2*PI()*H10</f>
        <v>939951138769.36182</v>
      </c>
      <c r="J21" t="s">
        <v>14</v>
      </c>
      <c r="K21" s="4">
        <f>2*PI()*K10</f>
        <v>939951138769.36182</v>
      </c>
    </row>
    <row r="22" spans="2:11">
      <c r="B22" s="2"/>
      <c r="G22" t="s">
        <v>16</v>
      </c>
      <c r="H22" s="5">
        <f>H21/H17</f>
        <v>29784.171810836851</v>
      </c>
      <c r="J22" t="s">
        <v>15</v>
      </c>
      <c r="K22" s="5">
        <f>K21/K17</f>
        <v>29784.171810836851</v>
      </c>
    </row>
    <row r="23" spans="2:11">
      <c r="B23" s="2"/>
    </row>
    <row r="24" spans="2:11">
      <c r="B24" s="2"/>
      <c r="G24" t="s">
        <v>19</v>
      </c>
      <c r="H24" s="5">
        <f>SQRT(H12*H15/H10)</f>
        <v>29784.171810836851</v>
      </c>
      <c r="I24" s="4"/>
    </row>
    <row r="25" spans="2:11">
      <c r="B25" s="2"/>
      <c r="G25" t="s">
        <v>18</v>
      </c>
      <c r="H25" s="5">
        <f>((H12*H15*H17*H17)/(4*PI()*PI()))^(1/3)</f>
        <v>149597869999.99948</v>
      </c>
    </row>
    <row r="26" spans="2:11">
      <c r="B26" s="2"/>
      <c r="G26" t="s">
        <v>20</v>
      </c>
      <c r="H26" s="5">
        <f>(H12*H15)/(H22*H22)</f>
        <v>149597870000</v>
      </c>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dimension ref="A1:C6"/>
  <sheetViews>
    <sheetView workbookViewId="0">
      <selection activeCell="A14" sqref="A14"/>
    </sheetView>
  </sheetViews>
  <sheetFormatPr baseColWidth="10" defaultRowHeight="15"/>
  <cols>
    <col min="1" max="2" width="44.5703125" customWidth="1"/>
    <col min="3" max="3" width="51.28515625" bestFit="1" customWidth="1"/>
  </cols>
  <sheetData>
    <row r="1" spans="1:3">
      <c r="A1" s="63" t="s">
        <v>244</v>
      </c>
      <c r="B1" s="63" t="s">
        <v>245</v>
      </c>
      <c r="C1" s="63" t="s">
        <v>246</v>
      </c>
    </row>
    <row r="2" spans="1:3" ht="18">
      <c r="A2" s="13" t="s">
        <v>253</v>
      </c>
      <c r="B2" s="40" t="s">
        <v>252</v>
      </c>
      <c r="C2" s="40" t="s">
        <v>251</v>
      </c>
    </row>
    <row r="3" spans="1:3">
      <c r="A3" s="13" t="s">
        <v>239</v>
      </c>
      <c r="B3" s="13" t="s">
        <v>247</v>
      </c>
      <c r="C3" s="13" t="s">
        <v>237</v>
      </c>
    </row>
    <row r="4" spans="1:3">
      <c r="A4" s="13" t="s">
        <v>238</v>
      </c>
      <c r="B4" s="13"/>
      <c r="C4" s="13" t="s">
        <v>240</v>
      </c>
    </row>
    <row r="5" spans="1:3">
      <c r="A5" s="13" t="s">
        <v>241</v>
      </c>
      <c r="B5" s="13" t="s">
        <v>243</v>
      </c>
      <c r="C5" s="13" t="s">
        <v>242</v>
      </c>
    </row>
    <row r="6" spans="1:3">
      <c r="A6" s="13" t="s">
        <v>248</v>
      </c>
      <c r="B6" s="13" t="s">
        <v>249</v>
      </c>
      <c r="C6" s="13" t="s">
        <v>250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dimension ref="A1:G47"/>
  <sheetViews>
    <sheetView tabSelected="1" workbookViewId="0">
      <selection activeCell="C10" sqref="C10"/>
    </sheetView>
  </sheetViews>
  <sheetFormatPr baseColWidth="10" defaultRowHeight="15"/>
  <cols>
    <col min="1" max="1" width="21.42578125" style="81" customWidth="1"/>
    <col min="2" max="2" width="60.7109375" style="81" customWidth="1"/>
    <col min="3" max="3" width="30.85546875" style="82" customWidth="1"/>
    <col min="4" max="4" width="11.42578125" style="79" customWidth="1"/>
    <col min="5" max="6" width="12.28515625" style="79" bestFit="1" customWidth="1"/>
    <col min="7" max="16384" width="11.42578125" style="79"/>
  </cols>
  <sheetData>
    <row r="1" spans="1:7" ht="33" customHeight="1">
      <c r="A1" s="77" t="s">
        <v>276</v>
      </c>
      <c r="B1" s="77"/>
      <c r="C1" s="78"/>
      <c r="D1" s="79">
        <v>100</v>
      </c>
      <c r="E1" s="79">
        <v>1000</v>
      </c>
      <c r="F1" s="79">
        <v>10000</v>
      </c>
      <c r="G1" s="79">
        <v>100000</v>
      </c>
    </row>
    <row r="2" spans="1:7" ht="33" customHeight="1">
      <c r="A2" s="77" t="s">
        <v>275</v>
      </c>
      <c r="B2" s="77" t="s">
        <v>277</v>
      </c>
      <c r="C2" s="78"/>
      <c r="D2" s="84">
        <f>LOG10(D1)</f>
        <v>2</v>
      </c>
      <c r="E2" s="84">
        <f t="shared" ref="E2:G2" si="0">LOG10(E1)</f>
        <v>3</v>
      </c>
      <c r="F2" s="84">
        <f t="shared" si="0"/>
        <v>4</v>
      </c>
      <c r="G2" s="84">
        <f t="shared" si="0"/>
        <v>5</v>
      </c>
    </row>
    <row r="3" spans="1:7" ht="33" customHeight="1">
      <c r="A3" s="77" t="s">
        <v>274</v>
      </c>
      <c r="B3" s="77" t="s">
        <v>278</v>
      </c>
      <c r="C3" s="80" t="s">
        <v>279</v>
      </c>
      <c r="D3" s="83">
        <f>D2*$C$4/MIN($D$2:$F$2)</f>
        <v>10</v>
      </c>
      <c r="E3" s="83">
        <f>E2*$C$4/MIN($D$2:$F$2)</f>
        <v>15</v>
      </c>
      <c r="F3" s="83">
        <f>F2*$C$4/MIN($D$2:$F$2)</f>
        <v>20</v>
      </c>
      <c r="G3" s="83">
        <f>G2*$C$4/MIN($D$2:$F$2)</f>
        <v>25</v>
      </c>
    </row>
    <row r="4" spans="1:7" ht="33" customHeight="1">
      <c r="B4" s="81" t="s">
        <v>285</v>
      </c>
      <c r="C4" s="84">
        <v>10</v>
      </c>
    </row>
    <row r="5" spans="1:7" ht="33" customHeight="1">
      <c r="B5" s="81" t="s">
        <v>280</v>
      </c>
      <c r="C5" s="84">
        <v>20</v>
      </c>
    </row>
    <row r="6" spans="1:7" ht="33" customHeight="1">
      <c r="B6" s="81" t="s">
        <v>281</v>
      </c>
      <c r="C6" s="85">
        <f>$C$5/MAX($D$3:$F$3)</f>
        <v>1</v>
      </c>
      <c r="D6" s="84"/>
      <c r="E6" s="84"/>
      <c r="F6" s="84"/>
      <c r="G6" s="84"/>
    </row>
    <row r="7" spans="1:7" ht="33" customHeight="1">
      <c r="B7" s="81" t="s">
        <v>282</v>
      </c>
      <c r="D7" s="83">
        <f>D3-MIN($D$3:$F$3)</f>
        <v>0</v>
      </c>
      <c r="E7" s="83">
        <f t="shared" ref="E7:F7" si="1">E3-MIN($D$3:$F$3)</f>
        <v>5</v>
      </c>
      <c r="F7" s="83">
        <f t="shared" si="1"/>
        <v>10</v>
      </c>
      <c r="G7" s="83">
        <f t="shared" ref="G7" si="2">G3-MIN($D$3:$F$3)</f>
        <v>15</v>
      </c>
    </row>
    <row r="8" spans="1:7" ht="33" customHeight="1">
      <c r="B8" s="81" t="s">
        <v>284</v>
      </c>
      <c r="D8" s="83">
        <v>1</v>
      </c>
      <c r="E8" s="83"/>
      <c r="F8" s="83"/>
      <c r="G8" s="83"/>
    </row>
    <row r="9" spans="1:7" ht="33" customHeight="1">
      <c r="B9" s="81" t="s">
        <v>283</v>
      </c>
      <c r="C9" s="86">
        <f>MAX($D$7:$F$7)</f>
        <v>10</v>
      </c>
      <c r="D9" s="83"/>
      <c r="E9" s="83"/>
      <c r="F9" s="83"/>
      <c r="G9" s="83"/>
    </row>
    <row r="10" spans="1:7" ht="33" customHeight="1"/>
    <row r="11" spans="1:7" ht="33" customHeight="1">
      <c r="D11" s="84">
        <f>D12/D3</f>
        <v>1</v>
      </c>
      <c r="E11" s="84"/>
      <c r="F11" s="84"/>
      <c r="G11" s="84">
        <f>G12/G3</f>
        <v>0.8</v>
      </c>
    </row>
    <row r="12" spans="1:7" ht="33" customHeight="1">
      <c r="D12" s="79">
        <v>10</v>
      </c>
      <c r="G12" s="79">
        <v>20</v>
      </c>
    </row>
    <row r="13" spans="1:7" ht="33" customHeight="1"/>
    <row r="14" spans="1:7" ht="33" customHeight="1"/>
    <row r="15" spans="1:7" ht="33" customHeight="1"/>
    <row r="16" spans="1:7" ht="33" customHeight="1"/>
    <row r="17" ht="33" customHeight="1"/>
    <row r="18" ht="33" customHeight="1"/>
    <row r="19" ht="33" customHeight="1"/>
    <row r="20" ht="33" customHeight="1"/>
    <row r="21" ht="33" customHeight="1"/>
    <row r="22" ht="33" customHeight="1"/>
    <row r="23" ht="33" customHeight="1"/>
    <row r="24" ht="33" customHeight="1"/>
    <row r="25" ht="33" customHeight="1"/>
    <row r="26" ht="33" customHeight="1"/>
    <row r="27" ht="33" customHeight="1"/>
    <row r="28" ht="33" customHeight="1"/>
    <row r="29" ht="33" customHeight="1"/>
    <row r="30" ht="33" customHeight="1"/>
    <row r="31" ht="33" customHeight="1"/>
    <row r="32"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3:O51"/>
  <sheetViews>
    <sheetView showGridLines="0" zoomScaleNormal="100" workbookViewId="0"/>
  </sheetViews>
  <sheetFormatPr baseColWidth="10" defaultRowHeight="15"/>
  <cols>
    <col min="12" max="12" width="19.7109375" customWidth="1"/>
  </cols>
  <sheetData>
    <row r="3" spans="1:12">
      <c r="K3" s="18"/>
    </row>
    <row r="4" spans="1:12">
      <c r="K4" s="18"/>
    </row>
    <row r="5" spans="1:12">
      <c r="K5" s="18"/>
    </row>
    <row r="6" spans="1:12">
      <c r="L6" s="7"/>
    </row>
    <row r="7" spans="1:12">
      <c r="L7" s="8"/>
    </row>
    <row r="8" spans="1:12">
      <c r="L8" s="9"/>
    </row>
    <row r="13" spans="1:12">
      <c r="A13" s="13" t="s">
        <v>5</v>
      </c>
      <c r="B13" s="13">
        <v>1</v>
      </c>
    </row>
    <row r="14" spans="1:12">
      <c r="A14" s="13" t="s">
        <v>22</v>
      </c>
      <c r="B14" s="14">
        <v>0.9</v>
      </c>
      <c r="I14" s="6"/>
    </row>
    <row r="15" spans="1:12">
      <c r="A15" s="13" t="s">
        <v>21</v>
      </c>
      <c r="B15" s="13">
        <f>2*B13*B14</f>
        <v>1.8</v>
      </c>
      <c r="I15" s="6"/>
    </row>
    <row r="16" spans="1:12">
      <c r="A16" s="13" t="s">
        <v>23</v>
      </c>
      <c r="B16" s="13">
        <f>2*ACOS(1-B15/B13)</f>
        <v>4.9961830895930177</v>
      </c>
      <c r="I16" s="6"/>
    </row>
    <row r="17" spans="1:9">
      <c r="A17" s="13" t="s">
        <v>24</v>
      </c>
      <c r="B17" s="13">
        <f>B13*B13*(B16-SIN(B16))/2</f>
        <v>2.9780915447965088</v>
      </c>
      <c r="I17" s="6"/>
    </row>
    <row r="18" spans="1:9">
      <c r="A18" s="13" t="s">
        <v>25</v>
      </c>
      <c r="B18" s="15">
        <f>B17/(PI()*B13*B13)</f>
        <v>0.94795598066908615</v>
      </c>
      <c r="I18" s="6"/>
    </row>
    <row r="19" spans="1:9">
      <c r="I19" s="6"/>
    </row>
    <row r="20" spans="1:9">
      <c r="I20" s="6"/>
    </row>
    <row r="21" spans="1:9">
      <c r="I21" s="6"/>
    </row>
    <row r="22" spans="1:9">
      <c r="A22" s="16" t="s">
        <v>30</v>
      </c>
      <c r="I22" s="6"/>
    </row>
    <row r="23" spans="1:9">
      <c r="I23" s="6"/>
    </row>
    <row r="24" spans="1:9">
      <c r="I24" s="6"/>
    </row>
    <row r="25" spans="1:9">
      <c r="I25" s="6"/>
    </row>
    <row r="26" spans="1:9">
      <c r="I26" s="6"/>
    </row>
    <row r="27" spans="1:9">
      <c r="I27" s="6"/>
    </row>
    <row r="28" spans="1:9">
      <c r="I28" s="6"/>
    </row>
    <row r="29" spans="1:9">
      <c r="I29" s="6"/>
    </row>
    <row r="30" spans="1:9">
      <c r="I30" s="6"/>
    </row>
    <row r="31" spans="1:9">
      <c r="I31" s="6"/>
    </row>
    <row r="32" spans="1:9">
      <c r="I32" s="6"/>
    </row>
    <row r="33" spans="1:9">
      <c r="I33" s="6"/>
    </row>
    <row r="34" spans="1:9">
      <c r="A34" s="16" t="s">
        <v>31</v>
      </c>
      <c r="I34" s="6"/>
    </row>
    <row r="35" spans="1:9">
      <c r="I35" s="6"/>
    </row>
    <row r="36" spans="1:9">
      <c r="I36" s="6"/>
    </row>
    <row r="37" spans="1:9">
      <c r="I37" s="6"/>
    </row>
    <row r="38" spans="1:9">
      <c r="I38" s="6"/>
    </row>
    <row r="39" spans="1:9">
      <c r="I39" s="6"/>
    </row>
    <row r="40" spans="1:9">
      <c r="I40" s="6"/>
    </row>
    <row r="45" spans="1:9" ht="18">
      <c r="G45" s="26" t="s">
        <v>94</v>
      </c>
      <c r="H45" s="23" t="s">
        <v>91</v>
      </c>
    </row>
    <row r="46" spans="1:9" ht="18">
      <c r="G46" s="26" t="s">
        <v>95</v>
      </c>
      <c r="H46" s="23" t="s">
        <v>90</v>
      </c>
    </row>
    <row r="47" spans="1:9">
      <c r="G47" s="26" t="s">
        <v>93</v>
      </c>
      <c r="H47" s="23" t="s">
        <v>92</v>
      </c>
    </row>
    <row r="49" spans="15:15">
      <c r="O49" s="18"/>
    </row>
    <row r="50" spans="15:15">
      <c r="O50" s="20"/>
    </row>
    <row r="51" spans="15:15">
      <c r="O51" s="19"/>
    </row>
  </sheetData>
  <hyperlinks>
    <hyperlink ref="A22" r:id="rId1"/>
    <hyperlink ref="A34" r:id="rId2" location="Schnittpunkte_zweier_Kreise"/>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dimension ref="A1:A2"/>
  <sheetViews>
    <sheetView workbookViewId="0">
      <selection activeCell="I33" sqref="I33"/>
    </sheetView>
  </sheetViews>
  <sheetFormatPr baseColWidth="10" defaultRowHeight="15"/>
  <sheetData>
    <row r="1" spans="1:1" ht="15.75">
      <c r="A1" s="32" t="s">
        <v>103</v>
      </c>
    </row>
    <row r="2" spans="1:1">
      <c r="A2" s="17" t="s">
        <v>32</v>
      </c>
    </row>
  </sheetData>
  <hyperlinks>
    <hyperlink ref="A2" r:id="rId1" location="Mitte-Rand-Verdunkelung"/>
  </hyperlinks>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dimension ref="A2:D4"/>
  <sheetViews>
    <sheetView workbookViewId="0">
      <selection activeCell="A6" sqref="A6"/>
    </sheetView>
  </sheetViews>
  <sheetFormatPr baseColWidth="10" defaultRowHeight="15"/>
  <cols>
    <col min="1" max="1" width="14.7109375" bestFit="1" customWidth="1"/>
  </cols>
  <sheetData>
    <row r="2" spans="1:4">
      <c r="A2" t="s">
        <v>29</v>
      </c>
      <c r="B2" s="11" t="s">
        <v>26</v>
      </c>
      <c r="C2" s="11" t="s">
        <v>27</v>
      </c>
      <c r="D2" s="11" t="s">
        <v>28</v>
      </c>
    </row>
    <row r="3" spans="1:4">
      <c r="A3">
        <v>0</v>
      </c>
      <c r="B3" s="12">
        <v>88820</v>
      </c>
      <c r="C3">
        <v>0</v>
      </c>
      <c r="D3">
        <f>SQRT(B3^2+C3^2)</f>
        <v>88820</v>
      </c>
    </row>
    <row r="4" spans="1:4">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D63"/>
  <sheetViews>
    <sheetView workbookViewId="0">
      <selection activeCell="A18" sqref="A18"/>
    </sheetView>
  </sheetViews>
  <sheetFormatPr baseColWidth="10" defaultRowHeight="15"/>
  <cols>
    <col min="1" max="1" width="11.42578125" style="45" customWidth="1"/>
    <col min="2" max="2" width="11.42578125" style="45"/>
    <col min="3" max="3" width="31.85546875" style="45" bestFit="1" customWidth="1"/>
    <col min="4" max="4" width="46.28515625" style="45" bestFit="1" customWidth="1"/>
    <col min="5" max="16384" width="11.42578125" style="45"/>
  </cols>
  <sheetData>
    <row r="1" spans="1:4">
      <c r="A1" s="64"/>
      <c r="B1" s="71" t="s">
        <v>105</v>
      </c>
      <c r="C1" s="71"/>
      <c r="D1" s="72"/>
    </row>
    <row r="2" spans="1:4">
      <c r="A2" s="65" t="s">
        <v>47</v>
      </c>
      <c r="B2" s="66" t="s">
        <v>172</v>
      </c>
      <c r="C2" s="73" t="s">
        <v>254</v>
      </c>
      <c r="D2" s="67" t="str">
        <f t="shared" ref="D2:D7" si="0">A2&amp;" = "&amp;B2&amp;"  # "&amp;C2</f>
        <v>a = 0.38709893  # [au] semi-major axis</v>
      </c>
    </row>
    <row r="3" spans="1:4">
      <c r="A3" s="65" t="s">
        <v>45</v>
      </c>
      <c r="B3" s="66" t="s">
        <v>173</v>
      </c>
      <c r="C3" s="73" t="s">
        <v>255</v>
      </c>
      <c r="D3" s="67" t="str">
        <f t="shared" si="0"/>
        <v>e = 0.20563069  # [1] eccentricity</v>
      </c>
    </row>
    <row r="4" spans="1:4">
      <c r="A4" s="65" t="s">
        <v>46</v>
      </c>
      <c r="B4" s="66" t="s">
        <v>185</v>
      </c>
      <c r="C4" s="73" t="s">
        <v>256</v>
      </c>
      <c r="D4" s="67" t="str">
        <f t="shared" si="0"/>
        <v>i = 7.00487  # [deg] inclination</v>
      </c>
    </row>
    <row r="5" spans="1:4">
      <c r="A5" s="65" t="s">
        <v>116</v>
      </c>
      <c r="B5" s="66" t="s">
        <v>186</v>
      </c>
      <c r="C5" s="73" t="s">
        <v>257</v>
      </c>
      <c r="D5" s="67" t="str">
        <f t="shared" si="0"/>
        <v>Ω = 48.33167  # [deg] longitude of ascending node</v>
      </c>
    </row>
    <row r="6" spans="1:4">
      <c r="A6" s="65" t="s">
        <v>142</v>
      </c>
      <c r="B6" s="66" t="s">
        <v>187</v>
      </c>
      <c r="C6" s="73" t="s">
        <v>258</v>
      </c>
      <c r="D6" s="67" t="str">
        <f t="shared" si="0"/>
        <v>ϖ = 77.45645  # [deg] longitude of periapsis</v>
      </c>
    </row>
    <row r="7" spans="1:4" ht="15.75" thickBot="1">
      <c r="A7" s="68" t="s">
        <v>115</v>
      </c>
      <c r="B7" s="69" t="s">
        <v>188</v>
      </c>
      <c r="C7" s="74" t="s">
        <v>259</v>
      </c>
      <c r="D7" s="70" t="str">
        <f t="shared" si="0"/>
        <v>L = 252.25084  # [deg] mean longitude</v>
      </c>
    </row>
    <row r="8" spans="1:4">
      <c r="A8" s="64"/>
      <c r="B8" s="71" t="s">
        <v>106</v>
      </c>
      <c r="C8" s="71"/>
      <c r="D8" s="72"/>
    </row>
    <row r="9" spans="1:4">
      <c r="A9" s="65" t="s">
        <v>47</v>
      </c>
      <c r="B9" s="66" t="s">
        <v>174</v>
      </c>
      <c r="C9" s="73" t="s">
        <v>254</v>
      </c>
      <c r="D9" s="67" t="str">
        <f t="shared" ref="D9:D14" si="1">A9&amp;" = "&amp;B9&amp;"  # "&amp;C9</f>
        <v>a = 0.72333199  # [au] semi-major axis</v>
      </c>
    </row>
    <row r="10" spans="1:4">
      <c r="A10" s="65" t="s">
        <v>45</v>
      </c>
      <c r="B10" s="66" t="s">
        <v>175</v>
      </c>
      <c r="C10" s="73" t="s">
        <v>255</v>
      </c>
      <c r="D10" s="67" t="str">
        <f t="shared" si="1"/>
        <v>e = 0.00677323  # [1] eccentricity</v>
      </c>
    </row>
    <row r="11" spans="1:4">
      <c r="A11" s="65" t="s">
        <v>46</v>
      </c>
      <c r="B11" s="66" t="s">
        <v>189</v>
      </c>
      <c r="C11" s="73" t="s">
        <v>256</v>
      </c>
      <c r="D11" s="67" t="str">
        <f t="shared" si="1"/>
        <v>i = 3.39471  # [deg] inclination</v>
      </c>
    </row>
    <row r="12" spans="1:4">
      <c r="A12" s="65" t="s">
        <v>116</v>
      </c>
      <c r="B12" s="66" t="s">
        <v>190</v>
      </c>
      <c r="C12" s="73" t="s">
        <v>257</v>
      </c>
      <c r="D12" s="67" t="str">
        <f t="shared" si="1"/>
        <v>Ω = 76.68069  # [deg] longitude of ascending node</v>
      </c>
    </row>
    <row r="13" spans="1:4">
      <c r="A13" s="65" t="s">
        <v>142</v>
      </c>
      <c r="B13" s="66" t="s">
        <v>191</v>
      </c>
      <c r="C13" s="73" t="s">
        <v>258</v>
      </c>
      <c r="D13" s="67" t="str">
        <f t="shared" si="1"/>
        <v>ϖ = 131.53298  # [deg] longitude of periapsis</v>
      </c>
    </row>
    <row r="14" spans="1:4" ht="15.75" thickBot="1">
      <c r="A14" s="68" t="s">
        <v>115</v>
      </c>
      <c r="B14" s="69" t="s">
        <v>192</v>
      </c>
      <c r="C14" s="74" t="s">
        <v>259</v>
      </c>
      <c r="D14" s="70" t="str">
        <f t="shared" si="1"/>
        <v>L = 181.97973  # [deg] mean longitude</v>
      </c>
    </row>
    <row r="15" spans="1:4">
      <c r="A15" s="64"/>
      <c r="B15" s="71" t="s">
        <v>107</v>
      </c>
      <c r="C15" s="71"/>
      <c r="D15" s="72"/>
    </row>
    <row r="16" spans="1:4">
      <c r="A16" s="65" t="s">
        <v>47</v>
      </c>
      <c r="B16" s="66" t="s">
        <v>193</v>
      </c>
      <c r="C16" s="73" t="s">
        <v>254</v>
      </c>
      <c r="D16" s="67" t="str">
        <f t="shared" ref="D16:D21" si="2">A16&amp;" = "&amp;B16&amp;"  # "&amp;C16</f>
        <v>a = 1.00000011  # [au] semi-major axis</v>
      </c>
    </row>
    <row r="17" spans="1:4">
      <c r="A17" s="65" t="s">
        <v>45</v>
      </c>
      <c r="B17" s="66" t="s">
        <v>176</v>
      </c>
      <c r="C17" s="73" t="s">
        <v>255</v>
      </c>
      <c r="D17" s="67" t="str">
        <f t="shared" si="2"/>
        <v>e = 0.01671022  # [1] eccentricity</v>
      </c>
    </row>
    <row r="18" spans="1:4">
      <c r="A18" s="65" t="s">
        <v>46</v>
      </c>
      <c r="B18" s="66" t="s">
        <v>177</v>
      </c>
      <c r="C18" s="73" t="s">
        <v>256</v>
      </c>
      <c r="D18" s="67" t="str">
        <f t="shared" si="2"/>
        <v>i = 0.00005  # [deg] inclination</v>
      </c>
    </row>
    <row r="19" spans="1:4">
      <c r="A19" s="65" t="s">
        <v>116</v>
      </c>
      <c r="B19" s="66" t="s">
        <v>194</v>
      </c>
      <c r="C19" s="73" t="s">
        <v>257</v>
      </c>
      <c r="D19" s="67" t="str">
        <f t="shared" si="2"/>
        <v>Ω = -11.26064  # [deg] longitude of ascending node</v>
      </c>
    </row>
    <row r="20" spans="1:4">
      <c r="A20" s="65" t="s">
        <v>142</v>
      </c>
      <c r="B20" s="66" t="s">
        <v>195</v>
      </c>
      <c r="C20" s="73" t="s">
        <v>258</v>
      </c>
      <c r="D20" s="67" t="str">
        <f t="shared" si="2"/>
        <v>ϖ = 102.94719  # [deg] longitude of periapsis</v>
      </c>
    </row>
    <row r="21" spans="1:4" ht="15.75" thickBot="1">
      <c r="A21" s="68" t="s">
        <v>115</v>
      </c>
      <c r="B21" s="69" t="s">
        <v>196</v>
      </c>
      <c r="C21" s="74" t="s">
        <v>259</v>
      </c>
      <c r="D21" s="70" t="str">
        <f t="shared" si="2"/>
        <v>L = 100.46435  # [deg] mean longitude</v>
      </c>
    </row>
    <row r="22" spans="1:4">
      <c r="A22" s="64"/>
      <c r="B22" s="71" t="s">
        <v>108</v>
      </c>
      <c r="C22" s="71"/>
      <c r="D22" s="72"/>
    </row>
    <row r="23" spans="1:4">
      <c r="A23" s="65" t="s">
        <v>47</v>
      </c>
      <c r="B23" s="66" t="s">
        <v>197</v>
      </c>
      <c r="C23" s="73" t="s">
        <v>254</v>
      </c>
      <c r="D23" s="67" t="str">
        <f t="shared" ref="D23:D28" si="3">A23&amp;" = "&amp;B23&amp;"  # "&amp;C23</f>
        <v>a = 1.52366231  # [au] semi-major axis</v>
      </c>
    </row>
    <row r="24" spans="1:4">
      <c r="A24" s="65" t="s">
        <v>45</v>
      </c>
      <c r="B24" s="66" t="s">
        <v>178</v>
      </c>
      <c r="C24" s="73" t="s">
        <v>255</v>
      </c>
      <c r="D24" s="67" t="str">
        <f t="shared" si="3"/>
        <v>e = 0.09341233  # [1] eccentricity</v>
      </c>
    </row>
    <row r="25" spans="1:4">
      <c r="A25" s="65" t="s">
        <v>46</v>
      </c>
      <c r="B25" s="66" t="s">
        <v>198</v>
      </c>
      <c r="C25" s="73" t="s">
        <v>256</v>
      </c>
      <c r="D25" s="67" t="str">
        <f t="shared" si="3"/>
        <v>i = 1.85061  # [deg] inclination</v>
      </c>
    </row>
    <row r="26" spans="1:4">
      <c r="A26" s="65" t="s">
        <v>116</v>
      </c>
      <c r="B26" s="66" t="s">
        <v>199</v>
      </c>
      <c r="C26" s="73" t="s">
        <v>257</v>
      </c>
      <c r="D26" s="67" t="str">
        <f t="shared" si="3"/>
        <v>Ω = 49.57854  # [deg] longitude of ascending node</v>
      </c>
    </row>
    <row r="27" spans="1:4">
      <c r="A27" s="65" t="s">
        <v>142</v>
      </c>
      <c r="B27" s="66" t="s">
        <v>200</v>
      </c>
      <c r="C27" s="73" t="s">
        <v>258</v>
      </c>
      <c r="D27" s="67" t="str">
        <f t="shared" si="3"/>
        <v>ϖ = 336.04084  # [deg] longitude of periapsis</v>
      </c>
    </row>
    <row r="28" spans="1:4" ht="15.75" thickBot="1">
      <c r="A28" s="68" t="s">
        <v>115</v>
      </c>
      <c r="B28" s="69" t="s">
        <v>201</v>
      </c>
      <c r="C28" s="74" t="s">
        <v>259</v>
      </c>
      <c r="D28" s="70" t="str">
        <f t="shared" si="3"/>
        <v>L = 355.45332  # [deg] mean longitude</v>
      </c>
    </row>
    <row r="29" spans="1:4">
      <c r="A29" s="64"/>
      <c r="B29" s="71" t="s">
        <v>109</v>
      </c>
      <c r="C29" s="71"/>
      <c r="D29" s="72"/>
    </row>
    <row r="30" spans="1:4">
      <c r="A30" s="65" t="s">
        <v>47</v>
      </c>
      <c r="B30" s="66" t="s">
        <v>202</v>
      </c>
      <c r="C30" s="73" t="s">
        <v>254</v>
      </c>
      <c r="D30" s="67" t="str">
        <f t="shared" ref="D30:D35" si="4">A30&amp;" = "&amp;B30&amp;"  # "&amp;C30</f>
        <v>a = 5.20336301  # [au] semi-major axis</v>
      </c>
    </row>
    <row r="31" spans="1:4">
      <c r="A31" s="65" t="s">
        <v>45</v>
      </c>
      <c r="B31" s="66" t="s">
        <v>179</v>
      </c>
      <c r="C31" s="73" t="s">
        <v>255</v>
      </c>
      <c r="D31" s="67" t="str">
        <f t="shared" si="4"/>
        <v>e = 0.04839266  # [1] eccentricity</v>
      </c>
    </row>
    <row r="32" spans="1:4">
      <c r="A32" s="65" t="s">
        <v>46</v>
      </c>
      <c r="B32" s="66" t="s">
        <v>203</v>
      </c>
      <c r="C32" s="73" t="s">
        <v>256</v>
      </c>
      <c r="D32" s="67" t="str">
        <f t="shared" si="4"/>
        <v>i = 1.30530  # [deg] inclination</v>
      </c>
    </row>
    <row r="33" spans="1:4">
      <c r="A33" s="65" t="s">
        <v>116</v>
      </c>
      <c r="B33" s="66" t="s">
        <v>204</v>
      </c>
      <c r="C33" s="73" t="s">
        <v>257</v>
      </c>
      <c r="D33" s="67" t="str">
        <f t="shared" si="4"/>
        <v>Ω = 100.55615  # [deg] longitude of ascending node</v>
      </c>
    </row>
    <row r="34" spans="1:4">
      <c r="A34" s="65" t="s">
        <v>142</v>
      </c>
      <c r="B34" s="66" t="s">
        <v>205</v>
      </c>
      <c r="C34" s="73" t="s">
        <v>258</v>
      </c>
      <c r="D34" s="67" t="str">
        <f t="shared" si="4"/>
        <v>ϖ = 14.75385  # [deg] longitude of periapsis</v>
      </c>
    </row>
    <row r="35" spans="1:4" ht="15.75" thickBot="1">
      <c r="A35" s="68" t="s">
        <v>115</v>
      </c>
      <c r="B35" s="69" t="s">
        <v>206</v>
      </c>
      <c r="C35" s="74" t="s">
        <v>259</v>
      </c>
      <c r="D35" s="70" t="str">
        <f t="shared" si="4"/>
        <v>L = 34.40438  # [deg] mean longitude</v>
      </c>
    </row>
    <row r="36" spans="1:4">
      <c r="A36" s="64"/>
      <c r="B36" s="71" t="s">
        <v>110</v>
      </c>
      <c r="C36" s="71"/>
      <c r="D36" s="72"/>
    </row>
    <row r="37" spans="1:4">
      <c r="A37" s="65" t="s">
        <v>47</v>
      </c>
      <c r="B37" s="66" t="s">
        <v>207</v>
      </c>
      <c r="C37" s="73" t="s">
        <v>254</v>
      </c>
      <c r="D37" s="67" t="str">
        <f t="shared" ref="D37:D42" si="5">A37&amp;" = "&amp;B37&amp;"  # "&amp;C37</f>
        <v>a = 9.53707032  # [au] semi-major axis</v>
      </c>
    </row>
    <row r="38" spans="1:4">
      <c r="A38" s="65" t="s">
        <v>45</v>
      </c>
      <c r="B38" s="66" t="s">
        <v>180</v>
      </c>
      <c r="C38" s="73" t="s">
        <v>255</v>
      </c>
      <c r="D38" s="67" t="str">
        <f t="shared" si="5"/>
        <v>e = 0.05415060  # [1] eccentricity</v>
      </c>
    </row>
    <row r="39" spans="1:4">
      <c r="A39" s="65" t="s">
        <v>46</v>
      </c>
      <c r="B39" s="66" t="s">
        <v>208</v>
      </c>
      <c r="C39" s="73" t="s">
        <v>256</v>
      </c>
      <c r="D39" s="67" t="str">
        <f t="shared" si="5"/>
        <v>i = 2.48446  # [deg] inclination</v>
      </c>
    </row>
    <row r="40" spans="1:4">
      <c r="A40" s="65" t="s">
        <v>116</v>
      </c>
      <c r="B40" s="66" t="s">
        <v>209</v>
      </c>
      <c r="C40" s="73" t="s">
        <v>257</v>
      </c>
      <c r="D40" s="67" t="str">
        <f t="shared" si="5"/>
        <v>Ω = 113.71504  # [deg] longitude of ascending node</v>
      </c>
    </row>
    <row r="41" spans="1:4">
      <c r="A41" s="65" t="s">
        <v>142</v>
      </c>
      <c r="B41" s="66" t="s">
        <v>210</v>
      </c>
      <c r="C41" s="73" t="s">
        <v>258</v>
      </c>
      <c r="D41" s="67" t="str">
        <f t="shared" si="5"/>
        <v>ϖ = 92.43194  # [deg] longitude of periapsis</v>
      </c>
    </row>
    <row r="42" spans="1:4" ht="15.75" thickBot="1">
      <c r="A42" s="68" t="s">
        <v>115</v>
      </c>
      <c r="B42" s="69" t="s">
        <v>211</v>
      </c>
      <c r="C42" s="74" t="s">
        <v>259</v>
      </c>
      <c r="D42" s="70" t="str">
        <f t="shared" si="5"/>
        <v>L = 49.94432  # [deg] mean longitude</v>
      </c>
    </row>
    <row r="43" spans="1:4">
      <c r="A43" s="64"/>
      <c r="B43" s="71" t="s">
        <v>111</v>
      </c>
      <c r="C43" s="71"/>
      <c r="D43" s="72"/>
    </row>
    <row r="44" spans="1:4">
      <c r="A44" s="65" t="s">
        <v>47</v>
      </c>
      <c r="B44" s="66" t="s">
        <v>212</v>
      </c>
      <c r="C44" s="73" t="s">
        <v>254</v>
      </c>
      <c r="D44" s="67" t="str">
        <f t="shared" ref="D44:D49" si="6">A44&amp;" = "&amp;B44&amp;"  # "&amp;C44</f>
        <v>a = 19.19126393  # [au] semi-major axis</v>
      </c>
    </row>
    <row r="45" spans="1:4">
      <c r="A45" s="65" t="s">
        <v>45</v>
      </c>
      <c r="B45" s="66" t="s">
        <v>181</v>
      </c>
      <c r="C45" s="73" t="s">
        <v>255</v>
      </c>
      <c r="D45" s="67" t="str">
        <f t="shared" si="6"/>
        <v>e = 0.04716771  # [1] eccentricity</v>
      </c>
    </row>
    <row r="46" spans="1:4">
      <c r="A46" s="65" t="s">
        <v>46</v>
      </c>
      <c r="B46" s="66" t="s">
        <v>182</v>
      </c>
      <c r="C46" s="73" t="s">
        <v>256</v>
      </c>
      <c r="D46" s="67" t="str">
        <f t="shared" si="6"/>
        <v>i = 0.76986  # [deg] inclination</v>
      </c>
    </row>
    <row r="47" spans="1:4">
      <c r="A47" s="65" t="s">
        <v>116</v>
      </c>
      <c r="B47" s="66" t="s">
        <v>213</v>
      </c>
      <c r="C47" s="73" t="s">
        <v>257</v>
      </c>
      <c r="D47" s="67" t="str">
        <f t="shared" si="6"/>
        <v>Ω = 74.22988  # [deg] longitude of ascending node</v>
      </c>
    </row>
    <row r="48" spans="1:4">
      <c r="A48" s="65" t="s">
        <v>142</v>
      </c>
      <c r="B48" s="66" t="s">
        <v>214</v>
      </c>
      <c r="C48" s="73" t="s">
        <v>258</v>
      </c>
      <c r="D48" s="67" t="str">
        <f t="shared" si="6"/>
        <v>ϖ = 170.96424  # [deg] longitude of periapsis</v>
      </c>
    </row>
    <row r="49" spans="1:4" ht="15.75" thickBot="1">
      <c r="A49" s="68" t="s">
        <v>115</v>
      </c>
      <c r="B49" s="69" t="s">
        <v>215</v>
      </c>
      <c r="C49" s="74" t="s">
        <v>259</v>
      </c>
      <c r="D49" s="70" t="str">
        <f t="shared" si="6"/>
        <v>L = 313.23218  # [deg] mean longitude</v>
      </c>
    </row>
    <row r="50" spans="1:4">
      <c r="A50" s="64"/>
      <c r="B50" s="71" t="s">
        <v>112</v>
      </c>
      <c r="C50" s="71"/>
      <c r="D50" s="72"/>
    </row>
    <row r="51" spans="1:4">
      <c r="A51" s="65" t="s">
        <v>47</v>
      </c>
      <c r="B51" s="66" t="s">
        <v>216</v>
      </c>
      <c r="C51" s="73" t="s">
        <v>254</v>
      </c>
      <c r="D51" s="67" t="str">
        <f t="shared" ref="D51:D56" si="7">A51&amp;" = "&amp;B51&amp;"  # "&amp;C51</f>
        <v>a = 30.06896348  # [au] semi-major axis</v>
      </c>
    </row>
    <row r="52" spans="1:4">
      <c r="A52" s="65" t="s">
        <v>45</v>
      </c>
      <c r="B52" s="66" t="s">
        <v>183</v>
      </c>
      <c r="C52" s="73" t="s">
        <v>255</v>
      </c>
      <c r="D52" s="67" t="str">
        <f t="shared" si="7"/>
        <v>e = 0.00858587  # [1] eccentricity</v>
      </c>
    </row>
    <row r="53" spans="1:4">
      <c r="A53" s="65" t="s">
        <v>46</v>
      </c>
      <c r="B53" s="66" t="s">
        <v>217</v>
      </c>
      <c r="C53" s="73" t="s">
        <v>256</v>
      </c>
      <c r="D53" s="67" t="str">
        <f t="shared" si="7"/>
        <v>i = 1.76917  # [deg] inclination</v>
      </c>
    </row>
    <row r="54" spans="1:4">
      <c r="A54" s="65" t="s">
        <v>116</v>
      </c>
      <c r="B54" s="66" t="s">
        <v>218</v>
      </c>
      <c r="C54" s="73" t="s">
        <v>257</v>
      </c>
      <c r="D54" s="67" t="str">
        <f t="shared" si="7"/>
        <v>Ω = 131.72169  # [deg] longitude of ascending node</v>
      </c>
    </row>
    <row r="55" spans="1:4">
      <c r="A55" s="65" t="s">
        <v>142</v>
      </c>
      <c r="B55" s="66" t="s">
        <v>219</v>
      </c>
      <c r="C55" s="73" t="s">
        <v>258</v>
      </c>
      <c r="D55" s="67" t="str">
        <f t="shared" si="7"/>
        <v>ϖ = 44.97135  # [deg] longitude of periapsis</v>
      </c>
    </row>
    <row r="56" spans="1:4" ht="15.75" thickBot="1">
      <c r="A56" s="68" t="s">
        <v>115</v>
      </c>
      <c r="B56" s="69" t="s">
        <v>220</v>
      </c>
      <c r="C56" s="74" t="s">
        <v>259</v>
      </c>
      <c r="D56" s="70" t="str">
        <f t="shared" si="7"/>
        <v>L = 304.88003  # [deg] mean longitude</v>
      </c>
    </row>
    <row r="57" spans="1:4">
      <c r="A57" s="64"/>
      <c r="B57" s="71" t="s">
        <v>113</v>
      </c>
      <c r="C57" s="71"/>
      <c r="D57" s="72"/>
    </row>
    <row r="58" spans="1:4">
      <c r="A58" s="65" t="s">
        <v>47</v>
      </c>
      <c r="B58" s="66" t="s">
        <v>221</v>
      </c>
      <c r="C58" s="73" t="s">
        <v>254</v>
      </c>
      <c r="D58" s="67" t="str">
        <f t="shared" ref="D58:D63" si="8">A58&amp;" = "&amp;B58&amp;"  # "&amp;C58</f>
        <v>a = 39.48168677  # [au] semi-major axis</v>
      </c>
    </row>
    <row r="59" spans="1:4">
      <c r="A59" s="65" t="s">
        <v>45</v>
      </c>
      <c r="B59" s="66" t="s">
        <v>184</v>
      </c>
      <c r="C59" s="73" t="s">
        <v>255</v>
      </c>
      <c r="D59" s="67" t="str">
        <f t="shared" si="8"/>
        <v>e = 0.24880766  # [1] eccentricity</v>
      </c>
    </row>
    <row r="60" spans="1:4">
      <c r="A60" s="65" t="s">
        <v>46</v>
      </c>
      <c r="B60" s="66" t="s">
        <v>222</v>
      </c>
      <c r="C60" s="73" t="s">
        <v>256</v>
      </c>
      <c r="D60" s="67" t="str">
        <f t="shared" si="8"/>
        <v>i = 17.14175  # [deg] inclination</v>
      </c>
    </row>
    <row r="61" spans="1:4">
      <c r="A61" s="65" t="s">
        <v>116</v>
      </c>
      <c r="B61" s="66" t="s">
        <v>223</v>
      </c>
      <c r="C61" s="73" t="s">
        <v>257</v>
      </c>
      <c r="D61" s="67" t="str">
        <f t="shared" si="8"/>
        <v>Ω = 110.30347  # [deg] longitude of ascending node</v>
      </c>
    </row>
    <row r="62" spans="1:4">
      <c r="A62" s="65" t="s">
        <v>142</v>
      </c>
      <c r="B62" s="66" t="s">
        <v>224</v>
      </c>
      <c r="C62" s="73" t="s">
        <v>258</v>
      </c>
      <c r="D62" s="67" t="str">
        <f t="shared" si="8"/>
        <v>ϖ = 224.06676  # [deg] longitude of periapsis</v>
      </c>
    </row>
    <row r="63" spans="1:4" ht="15.75" thickBot="1">
      <c r="A63" s="68" t="s">
        <v>115</v>
      </c>
      <c r="B63" s="69" t="s">
        <v>225</v>
      </c>
      <c r="C63" s="74" t="s">
        <v>259</v>
      </c>
      <c r="D63" s="70"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R24"/>
  <sheetViews>
    <sheetView zoomScaleNormal="100" workbookViewId="0">
      <selection activeCell="E32" sqref="E32"/>
    </sheetView>
  </sheetViews>
  <sheetFormatPr baseColWidth="10" defaultRowHeight="15"/>
  <cols>
    <col min="1" max="1" width="10" customWidth="1"/>
    <col min="2" max="2" width="38.5703125" bestFit="1" customWidth="1"/>
    <col min="3" max="3" width="18.7109375" style="28"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c r="A1" s="17" t="s">
        <v>52</v>
      </c>
    </row>
    <row r="2" spans="1:18">
      <c r="A2" s="17"/>
      <c r="E2" s="21" t="s">
        <v>84</v>
      </c>
      <c r="F2" s="22" t="s">
        <v>50</v>
      </c>
      <c r="G2" s="22" t="s">
        <v>49</v>
      </c>
      <c r="H2" s="22" t="s">
        <v>36</v>
      </c>
      <c r="I2" s="22" t="s">
        <v>50</v>
      </c>
      <c r="J2" s="22" t="s">
        <v>49</v>
      </c>
      <c r="K2" s="22" t="s">
        <v>51</v>
      </c>
      <c r="L2" s="22" t="s">
        <v>50</v>
      </c>
      <c r="M2" s="22" t="s">
        <v>49</v>
      </c>
      <c r="N2" s="22" t="s">
        <v>33</v>
      </c>
      <c r="O2" s="22" t="s">
        <v>50</v>
      </c>
      <c r="P2" s="22" t="s">
        <v>49</v>
      </c>
    </row>
    <row r="3" spans="1:18">
      <c r="A3" t="s">
        <v>76</v>
      </c>
      <c r="B3" s="23" t="s">
        <v>78</v>
      </c>
      <c r="C3" s="29" t="s">
        <v>82</v>
      </c>
      <c r="D3" s="23"/>
      <c r="N3" s="21"/>
    </row>
    <row r="4" spans="1:18">
      <c r="A4" t="s">
        <v>74</v>
      </c>
      <c r="B4" s="23" t="s">
        <v>79</v>
      </c>
      <c r="C4" s="29" t="s">
        <v>65</v>
      </c>
      <c r="D4" s="23"/>
      <c r="N4" s="21"/>
      <c r="R4" s="25"/>
    </row>
    <row r="5" spans="1:18">
      <c r="A5" t="s">
        <v>77</v>
      </c>
      <c r="B5" s="23" t="s">
        <v>80</v>
      </c>
      <c r="C5" s="29" t="s">
        <v>81</v>
      </c>
      <c r="D5" s="23"/>
      <c r="N5" s="21"/>
    </row>
    <row r="6" spans="1:18">
      <c r="A6" t="s">
        <v>86</v>
      </c>
      <c r="B6" s="23" t="s">
        <v>85</v>
      </c>
      <c r="D6" s="17" t="s">
        <v>89</v>
      </c>
      <c r="E6" s="21">
        <v>0.22700000000000001</v>
      </c>
      <c r="F6">
        <v>3.4000000000000002E-2</v>
      </c>
      <c r="G6">
        <v>3.4000000000000002E-2</v>
      </c>
      <c r="N6" s="21"/>
    </row>
    <row r="7" spans="1:18">
      <c r="A7" t="s">
        <v>87</v>
      </c>
      <c r="B7" s="23" t="s">
        <v>88</v>
      </c>
      <c r="D7" s="27" t="s">
        <v>97</v>
      </c>
      <c r="E7" s="21">
        <v>0.29499999999999998</v>
      </c>
      <c r="F7">
        <v>3.5000000000000003E-2</v>
      </c>
      <c r="G7">
        <v>3.5000000000000003E-2</v>
      </c>
      <c r="N7" s="21"/>
    </row>
    <row r="8" spans="1:18">
      <c r="A8" t="s">
        <v>48</v>
      </c>
      <c r="B8" s="23" t="s">
        <v>55</v>
      </c>
      <c r="C8" s="29"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c r="A9" t="s">
        <v>53</v>
      </c>
      <c r="B9" s="23" t="s">
        <v>56</v>
      </c>
      <c r="C9" s="29"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c r="A10" t="s">
        <v>72</v>
      </c>
      <c r="B10" s="23" t="s">
        <v>58</v>
      </c>
      <c r="C10" s="30" t="s">
        <v>73</v>
      </c>
      <c r="D10" s="24"/>
      <c r="H10" s="21">
        <v>2458409.1896899999</v>
      </c>
      <c r="I10">
        <v>8.4000000000000003E-4</v>
      </c>
      <c r="J10">
        <v>8.3000000000000001E-4</v>
      </c>
      <c r="K10" s="21">
        <v>2458415.6343999999</v>
      </c>
      <c r="L10">
        <v>2.2000000000000001E-3</v>
      </c>
      <c r="M10">
        <v>1.4E-3</v>
      </c>
      <c r="N10" s="21">
        <v>2458409.7327999999</v>
      </c>
      <c r="O10">
        <v>2E-3</v>
      </c>
      <c r="P10">
        <v>1.8E-3</v>
      </c>
    </row>
    <row r="11" spans="1:18">
      <c r="A11" t="s">
        <v>47</v>
      </c>
      <c r="B11" s="23" t="s">
        <v>60</v>
      </c>
      <c r="C11" s="29" t="s">
        <v>59</v>
      </c>
      <c r="D11" s="17" t="s">
        <v>98</v>
      </c>
      <c r="E11" s="31" t="s">
        <v>99</v>
      </c>
      <c r="H11" s="21">
        <v>4.8000000000000001E-2</v>
      </c>
      <c r="I11">
        <v>1E-3</v>
      </c>
      <c r="J11">
        <v>1.1000000000000001E-3</v>
      </c>
      <c r="K11" s="21">
        <v>6.7400000000000002E-2</v>
      </c>
      <c r="L11">
        <v>1.4E-3</v>
      </c>
      <c r="M11">
        <v>1.6000000000000001E-3</v>
      </c>
      <c r="N11" s="21">
        <v>0.1027</v>
      </c>
      <c r="O11">
        <v>2.2000000000000001E-3</v>
      </c>
      <c r="P11">
        <v>2.5000000000000001E-3</v>
      </c>
    </row>
    <row r="12" spans="1:18">
      <c r="A12" t="s">
        <v>46</v>
      </c>
      <c r="B12" s="23" t="s">
        <v>61</v>
      </c>
      <c r="C12" s="29" t="s">
        <v>62</v>
      </c>
      <c r="D12" s="17" t="s">
        <v>100</v>
      </c>
      <c r="H12" s="21">
        <v>85.5</v>
      </c>
      <c r="I12">
        <v>1.5</v>
      </c>
      <c r="J12">
        <v>0.5</v>
      </c>
      <c r="K12" s="21">
        <v>86.23</v>
      </c>
      <c r="L12">
        <v>0.26</v>
      </c>
      <c r="M12">
        <v>0.26</v>
      </c>
      <c r="N12" s="21">
        <v>87.43</v>
      </c>
      <c r="O12">
        <v>0.18</v>
      </c>
      <c r="P12">
        <v>0.19</v>
      </c>
    </row>
    <row r="13" spans="1:18">
      <c r="A13" t="s">
        <v>45</v>
      </c>
      <c r="B13" s="23" t="s">
        <v>44</v>
      </c>
      <c r="C13" s="29">
        <v>1</v>
      </c>
      <c r="D13" s="17" t="s">
        <v>96</v>
      </c>
      <c r="H13" s="21" t="s">
        <v>43</v>
      </c>
      <c r="K13" s="21" t="s">
        <v>42</v>
      </c>
      <c r="N13" s="21" t="s">
        <v>41</v>
      </c>
    </row>
    <row r="14" spans="1:18" ht="18">
      <c r="A14" t="s">
        <v>70</v>
      </c>
      <c r="B14" t="s">
        <v>64</v>
      </c>
      <c r="C14" s="29" t="s">
        <v>63</v>
      </c>
      <c r="D14" s="23"/>
      <c r="H14" s="21">
        <v>1572</v>
      </c>
      <c r="I14">
        <v>22</v>
      </c>
      <c r="J14">
        <v>19</v>
      </c>
      <c r="K14" s="21">
        <v>1326</v>
      </c>
      <c r="L14">
        <v>18</v>
      </c>
      <c r="M14">
        <v>16</v>
      </c>
      <c r="N14" s="21">
        <v>1075</v>
      </c>
      <c r="O14">
        <v>15</v>
      </c>
      <c r="P14">
        <v>13</v>
      </c>
    </row>
    <row r="15" spans="1:18">
      <c r="A15" t="s">
        <v>53</v>
      </c>
      <c r="B15" s="23" t="s">
        <v>40</v>
      </c>
      <c r="C15" s="29" t="s">
        <v>74</v>
      </c>
      <c r="D15" s="23"/>
      <c r="H15" s="21">
        <v>1.46E-2</v>
      </c>
      <c r="I15">
        <v>3.5E-4</v>
      </c>
      <c r="J15">
        <v>3.5E-4</v>
      </c>
      <c r="K15" s="21">
        <v>1.358E-2</v>
      </c>
      <c r="L15">
        <v>3.8000000000000002E-4</v>
      </c>
      <c r="M15">
        <v>3.8999999999999999E-4</v>
      </c>
      <c r="N15" s="21">
        <v>1.5140000000000001E-2</v>
      </c>
      <c r="O15">
        <v>5.0000000000000001E-4</v>
      </c>
      <c r="P15">
        <v>4.8999999999999998E-4</v>
      </c>
    </row>
    <row r="16" spans="1:18">
      <c r="A16" t="s">
        <v>47</v>
      </c>
      <c r="B16" s="23" t="s">
        <v>39</v>
      </c>
      <c r="C16" s="29" t="s">
        <v>74</v>
      </c>
      <c r="D16" s="23"/>
      <c r="H16" s="21">
        <v>7.87</v>
      </c>
      <c r="I16">
        <v>0.23</v>
      </c>
      <c r="J16">
        <v>0.24</v>
      </c>
      <c r="K16" s="21">
        <v>11.06</v>
      </c>
      <c r="L16">
        <v>0.32</v>
      </c>
      <c r="M16">
        <v>0.34</v>
      </c>
      <c r="N16" s="21">
        <v>16.850000000000001</v>
      </c>
      <c r="O16">
        <v>0.49</v>
      </c>
      <c r="P16">
        <v>0.51</v>
      </c>
    </row>
    <row r="17" spans="1:16">
      <c r="A17" t="s">
        <v>33</v>
      </c>
      <c r="B17" s="23" t="s">
        <v>38</v>
      </c>
      <c r="C17" s="29" t="s">
        <v>74</v>
      </c>
      <c r="D17" s="23"/>
      <c r="H17" s="21">
        <v>7.29</v>
      </c>
      <c r="I17">
        <v>0.83</v>
      </c>
      <c r="J17">
        <v>1.1000000000000001</v>
      </c>
      <c r="K17" s="21">
        <v>10.88</v>
      </c>
      <c r="L17">
        <v>0.64</v>
      </c>
      <c r="M17">
        <v>0.81</v>
      </c>
      <c r="N17" s="21">
        <v>15.9</v>
      </c>
      <c r="O17">
        <v>1.8</v>
      </c>
      <c r="P17">
        <v>2.2999999999999998</v>
      </c>
    </row>
    <row r="18" spans="1:16">
      <c r="A18" t="s">
        <v>37</v>
      </c>
      <c r="B18" s="23" t="s">
        <v>66</v>
      </c>
      <c r="C18" s="29" t="s">
        <v>75</v>
      </c>
      <c r="D18" s="23"/>
      <c r="H18" s="21">
        <v>2.13E-4</v>
      </c>
      <c r="I18">
        <v>1.0000000000000001E-5</v>
      </c>
      <c r="J18">
        <v>1.0000000000000001E-5</v>
      </c>
      <c r="K18" s="21">
        <v>1.84E-4</v>
      </c>
      <c r="L18">
        <v>1.1E-5</v>
      </c>
      <c r="M18">
        <v>1.1E-5</v>
      </c>
      <c r="N18" s="21">
        <v>2.2900000000000001E-4</v>
      </c>
      <c r="O18">
        <v>1.5E-5</v>
      </c>
      <c r="P18">
        <v>1.5E-5</v>
      </c>
    </row>
    <row r="19" spans="1:16" ht="18">
      <c r="A19" t="s">
        <v>71</v>
      </c>
      <c r="B19" s="23" t="s">
        <v>67</v>
      </c>
      <c r="C19" s="29"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c r="A20" t="s">
        <v>36</v>
      </c>
      <c r="B20" s="23" t="s">
        <v>35</v>
      </c>
      <c r="D20" s="17" t="s">
        <v>83</v>
      </c>
      <c r="H20" s="21">
        <v>0.59</v>
      </c>
      <c r="I20">
        <v>0.1</v>
      </c>
      <c r="J20">
        <v>0.27</v>
      </c>
      <c r="K20" s="21">
        <v>0.72</v>
      </c>
      <c r="L20">
        <v>4.1000000000000002E-2</v>
      </c>
      <c r="M20">
        <v>6.4000000000000001E-2</v>
      </c>
      <c r="N20" s="21">
        <v>0.72899999999999998</v>
      </c>
      <c r="O20">
        <v>6.4000000000000001E-2</v>
      </c>
      <c r="P20">
        <v>0.11</v>
      </c>
    </row>
    <row r="21" spans="1:16">
      <c r="A21" t="s">
        <v>34</v>
      </c>
      <c r="B21" s="23" t="s">
        <v>68</v>
      </c>
      <c r="C21" s="33" t="s">
        <v>69</v>
      </c>
      <c r="D21" s="23" t="s">
        <v>104</v>
      </c>
      <c r="H21" s="21">
        <v>1.347</v>
      </c>
      <c r="I21">
        <v>8.5000000000000006E-2</v>
      </c>
      <c r="J21">
        <v>7.5999999999999998E-2</v>
      </c>
      <c r="K21" s="21">
        <v>0.69699999999999995</v>
      </c>
      <c r="L21">
        <v>0.04</v>
      </c>
      <c r="M21">
        <v>3.5000000000000003E-2</v>
      </c>
      <c r="N21" s="21">
        <v>0.29499999999999998</v>
      </c>
      <c r="O21">
        <v>1.7999999999999999E-2</v>
      </c>
      <c r="P21">
        <v>1.6E-2</v>
      </c>
    </row>
    <row r="23" spans="1:16">
      <c r="D23" s="17" t="s">
        <v>101</v>
      </c>
    </row>
    <row r="24" spans="1:16">
      <c r="D24" s="17" t="s">
        <v>102</v>
      </c>
    </row>
  </sheetData>
  <hyperlinks>
    <hyperlink ref="A1" r:id="rId1"/>
    <hyperlink ref="D6" r:id="rId2"/>
    <hyperlink ref="D20" r:id="rId3"/>
    <hyperlink ref="D13" r:id="rId4"/>
    <hyperlink ref="D11" r:id="rId5"/>
    <hyperlink ref="E11" r:id="rId6"/>
    <hyperlink ref="D12" r:id="rId7"/>
    <hyperlink ref="D23" r:id="rId8"/>
    <hyperlink ref="D24" r:id="rId9"/>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dimension ref="A1"/>
  <sheetViews>
    <sheetView showGridLines="0" workbookViewId="0">
      <selection activeCell="C31" sqref="C31"/>
    </sheetView>
  </sheetViews>
  <sheetFormatPr baseColWidth="10" defaultRowHeight="1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A1:K42"/>
  <sheetViews>
    <sheetView showGridLines="0" workbookViewId="0"/>
  </sheetViews>
  <sheetFormatPr baseColWidth="10" defaultRowHeight="15"/>
  <cols>
    <col min="1" max="1" width="10.7109375" style="35" customWidth="1"/>
    <col min="2" max="2" width="41.140625" style="35" bestFit="1" customWidth="1"/>
    <col min="3" max="3" width="52.140625" style="35" customWidth="1"/>
    <col min="4" max="4" width="53.28515625" style="35" customWidth="1"/>
    <col min="5" max="5" width="15.5703125" style="35" customWidth="1"/>
    <col min="6" max="16384" width="11.42578125" style="35"/>
  </cols>
  <sheetData>
    <row r="1" spans="1:11" ht="18.75">
      <c r="A1" s="42" t="s">
        <v>165</v>
      </c>
      <c r="K1" s="35">
        <f>0.043333</f>
        <v>4.3333000000000003E-2</v>
      </c>
    </row>
    <row r="2" spans="1:11">
      <c r="K2" s="35">
        <f>K1*180/PI()</f>
        <v>2.4827980136403962</v>
      </c>
    </row>
    <row r="3" spans="1:11">
      <c r="A3" s="62" t="s">
        <v>122</v>
      </c>
      <c r="B3" s="62" t="s">
        <v>141</v>
      </c>
      <c r="C3" s="62" t="s">
        <v>140</v>
      </c>
      <c r="D3" s="62" t="s">
        <v>123</v>
      </c>
    </row>
    <row r="4" spans="1:11" ht="30">
      <c r="A4" s="39" t="s">
        <v>138</v>
      </c>
      <c r="B4" s="39" t="s">
        <v>137</v>
      </c>
      <c r="C4" s="40" t="s">
        <v>136</v>
      </c>
      <c r="D4" s="39"/>
    </row>
    <row r="5" spans="1:11" ht="60">
      <c r="A5" s="40" t="s">
        <v>133</v>
      </c>
      <c r="B5" s="40" t="s">
        <v>135</v>
      </c>
      <c r="C5" s="40" t="s">
        <v>134</v>
      </c>
      <c r="D5" s="40"/>
    </row>
    <row r="6" spans="1:11" ht="30">
      <c r="A6" s="40" t="s">
        <v>116</v>
      </c>
      <c r="B6" s="40" t="s">
        <v>139</v>
      </c>
      <c r="C6" s="40"/>
      <c r="D6" s="40"/>
    </row>
    <row r="7" spans="1:11" ht="30">
      <c r="A7" s="40" t="s">
        <v>118</v>
      </c>
      <c r="B7" s="40" t="s">
        <v>129</v>
      </c>
      <c r="C7" s="40" t="s">
        <v>130</v>
      </c>
      <c r="D7" s="38" t="s">
        <v>272</v>
      </c>
    </row>
    <row r="8" spans="1:11" ht="60">
      <c r="A8" s="40" t="s">
        <v>144</v>
      </c>
      <c r="B8" s="40" t="s">
        <v>119</v>
      </c>
      <c r="C8" s="40" t="s">
        <v>143</v>
      </c>
      <c r="D8" s="38" t="s">
        <v>156</v>
      </c>
    </row>
    <row r="9" spans="1:11" ht="60">
      <c r="A9" s="38" t="s">
        <v>154</v>
      </c>
      <c r="B9" s="38" t="s">
        <v>155</v>
      </c>
      <c r="C9" s="38" t="s">
        <v>157</v>
      </c>
      <c r="D9" s="38" t="s">
        <v>160</v>
      </c>
    </row>
    <row r="10" spans="1:11" ht="18">
      <c r="A10" s="38" t="s">
        <v>236</v>
      </c>
      <c r="B10" s="38" t="s">
        <v>150</v>
      </c>
      <c r="C10" s="41"/>
      <c r="D10" s="38" t="s">
        <v>153</v>
      </c>
    </row>
    <row r="11" spans="1:11">
      <c r="A11" s="38" t="s">
        <v>151</v>
      </c>
      <c r="B11" s="38" t="s">
        <v>226</v>
      </c>
      <c r="C11" s="41"/>
      <c r="D11" s="38"/>
    </row>
    <row r="12" spans="1:11" ht="30">
      <c r="A12" s="38" t="s">
        <v>158</v>
      </c>
      <c r="B12" s="38" t="s">
        <v>159</v>
      </c>
      <c r="C12" s="41"/>
      <c r="D12" s="38"/>
    </row>
    <row r="13" spans="1:11" ht="120">
      <c r="A13" s="38" t="s">
        <v>152</v>
      </c>
      <c r="B13" s="38" t="s">
        <v>149</v>
      </c>
      <c r="C13" s="38" t="s">
        <v>163</v>
      </c>
      <c r="D13" s="38" t="s">
        <v>273</v>
      </c>
    </row>
    <row r="14" spans="1:11" ht="18">
      <c r="A14" s="38" t="s">
        <v>162</v>
      </c>
      <c r="B14" s="38" t="s">
        <v>161</v>
      </c>
      <c r="C14" s="40"/>
      <c r="D14" s="38"/>
    </row>
    <row r="15" spans="1:11" ht="45">
      <c r="A15" s="38" t="s">
        <v>231</v>
      </c>
      <c r="B15" s="38" t="s">
        <v>117</v>
      </c>
      <c r="C15" s="40"/>
      <c r="D15" s="38" t="s">
        <v>227</v>
      </c>
    </row>
    <row r="16" spans="1:11" ht="45">
      <c r="A16" s="38" t="s">
        <v>148</v>
      </c>
      <c r="B16" s="40" t="s">
        <v>146</v>
      </c>
      <c r="C16" s="38" t="s">
        <v>164</v>
      </c>
      <c r="D16" s="38" t="s">
        <v>170</v>
      </c>
    </row>
    <row r="17" spans="1:4" ht="60">
      <c r="A17" s="40" t="s">
        <v>120</v>
      </c>
      <c r="B17" s="40" t="s">
        <v>121</v>
      </c>
      <c r="C17" s="40" t="s">
        <v>145</v>
      </c>
      <c r="D17" s="40" t="s">
        <v>147</v>
      </c>
    </row>
    <row r="18" spans="1:4" ht="75">
      <c r="A18" s="40" t="s">
        <v>125</v>
      </c>
      <c r="B18" s="40" t="s">
        <v>124</v>
      </c>
      <c r="C18" s="40" t="s">
        <v>126</v>
      </c>
      <c r="D18" s="40" t="s">
        <v>131</v>
      </c>
    </row>
    <row r="19" spans="1:4" ht="45">
      <c r="A19" s="40" t="s">
        <v>142</v>
      </c>
      <c r="B19" s="40" t="s">
        <v>128</v>
      </c>
      <c r="C19" s="40" t="s">
        <v>132</v>
      </c>
      <c r="D19" s="38" t="s">
        <v>127</v>
      </c>
    </row>
    <row r="20" spans="1:4" ht="18">
      <c r="A20" s="75" t="s">
        <v>37</v>
      </c>
      <c r="B20" s="38" t="s">
        <v>261</v>
      </c>
      <c r="C20" s="40"/>
      <c r="D20" s="38" t="s">
        <v>262</v>
      </c>
    </row>
    <row r="21" spans="1:4" ht="48">
      <c r="A21" s="40" t="s">
        <v>252</v>
      </c>
      <c r="B21" s="38" t="s">
        <v>260</v>
      </c>
      <c r="C21" s="38" t="s">
        <v>271</v>
      </c>
      <c r="D21" s="38"/>
    </row>
    <row r="22" spans="1:4" ht="30">
      <c r="A22" s="38" t="s">
        <v>268</v>
      </c>
      <c r="B22" s="38" t="s">
        <v>270</v>
      </c>
      <c r="C22" s="38" t="s">
        <v>269</v>
      </c>
      <c r="D22" s="38"/>
    </row>
    <row r="23" spans="1:4">
      <c r="A23" s="76" t="s">
        <v>151</v>
      </c>
      <c r="B23" s="38" t="s">
        <v>264</v>
      </c>
      <c r="C23" s="38" t="s">
        <v>263</v>
      </c>
      <c r="D23" s="38"/>
    </row>
    <row r="24" spans="1:4" ht="30">
      <c r="A24" s="38" t="s">
        <v>71</v>
      </c>
      <c r="B24" s="38" t="s">
        <v>67</v>
      </c>
      <c r="C24" s="38" t="s">
        <v>265</v>
      </c>
      <c r="D24" s="38"/>
    </row>
    <row r="25" spans="1:4">
      <c r="A25" s="40"/>
      <c r="B25" s="38"/>
      <c r="C25" s="38"/>
      <c r="D25" s="38"/>
    </row>
    <row r="26" spans="1:4">
      <c r="A26" s="36"/>
      <c r="B26" s="36"/>
      <c r="C26" s="36"/>
      <c r="D26" s="36"/>
    </row>
    <row r="27" spans="1:4">
      <c r="A27" s="36"/>
      <c r="B27" s="36"/>
      <c r="C27" s="36"/>
      <c r="D27" s="36"/>
    </row>
    <row r="28" spans="1:4">
      <c r="A28" s="60"/>
      <c r="B28" s="61" t="s">
        <v>168</v>
      </c>
      <c r="C28" s="61" t="s">
        <v>169</v>
      </c>
      <c r="D28" s="61" t="s">
        <v>167</v>
      </c>
    </row>
    <row r="29" spans="1:4">
      <c r="A29" s="40"/>
      <c r="B29" s="38" t="s">
        <v>166</v>
      </c>
      <c r="C29" s="38" t="s">
        <v>171</v>
      </c>
      <c r="D29" s="43" t="s">
        <v>114</v>
      </c>
    </row>
    <row r="30" spans="1:4" ht="33">
      <c r="A30" s="40"/>
      <c r="B30" s="38" t="s">
        <v>267</v>
      </c>
      <c r="C30" s="38" t="s">
        <v>49</v>
      </c>
      <c r="D30" s="38" t="s">
        <v>266</v>
      </c>
    </row>
    <row r="31" spans="1:4">
      <c r="A31" s="40"/>
      <c r="B31" s="40"/>
      <c r="C31" s="40"/>
      <c r="D31" s="40"/>
    </row>
    <row r="32" spans="1:4">
      <c r="A32" s="40"/>
      <c r="B32" s="40"/>
      <c r="C32" s="40"/>
      <c r="D32" s="40"/>
    </row>
    <row r="33" spans="1:4">
      <c r="A33" s="40"/>
      <c r="B33" s="40"/>
      <c r="C33" s="40"/>
      <c r="D33" s="40"/>
    </row>
    <row r="34" spans="1:4">
      <c r="A34" s="40"/>
      <c r="B34" s="40"/>
      <c r="C34" s="40"/>
      <c r="D34" s="40"/>
    </row>
    <row r="35" spans="1:4">
      <c r="A35" s="40"/>
      <c r="B35" s="40"/>
      <c r="C35" s="40"/>
      <c r="D35" s="40"/>
    </row>
    <row r="36" spans="1:4">
      <c r="A36" s="44"/>
      <c r="B36" s="44"/>
      <c r="C36" s="44"/>
      <c r="D36" s="44"/>
    </row>
    <row r="38" spans="1:4">
      <c r="A38" s="59" t="s">
        <v>235</v>
      </c>
    </row>
    <row r="42" spans="1:4">
      <c r="C42" s="34"/>
    </row>
  </sheetData>
  <hyperlinks>
    <hyperlink ref="D29" r:id="rId1"/>
    <hyperlink ref="A38" r:id="rId2" location="Alternative_parametrizations"/>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dimension ref="B2:M8"/>
  <sheetViews>
    <sheetView showGridLines="0" workbookViewId="0"/>
  </sheetViews>
  <sheetFormatPr baseColWidth="10" defaultRowHeight="15"/>
  <cols>
    <col min="1" max="1" width="2" style="53" customWidth="1"/>
    <col min="2" max="2" width="12.7109375" style="53" bestFit="1" customWidth="1"/>
    <col min="3" max="6" width="11.42578125" style="53"/>
    <col min="7" max="7" width="13.85546875" style="53" bestFit="1" customWidth="1"/>
    <col min="8" max="12" width="11.42578125" style="53"/>
    <col min="13" max="13" width="53.7109375" style="53" bestFit="1" customWidth="1"/>
    <col min="14" max="16384" width="11.42578125" style="53"/>
  </cols>
  <sheetData>
    <row r="2" spans="2:13">
      <c r="B2" s="47" t="s">
        <v>228</v>
      </c>
      <c r="C2" s="48"/>
      <c r="D2" s="48"/>
      <c r="E2" s="48"/>
      <c r="F2" s="48"/>
      <c r="G2" s="49"/>
      <c r="H2" s="50" t="s">
        <v>229</v>
      </c>
      <c r="I2" s="51"/>
      <c r="J2" s="51"/>
      <c r="K2" s="51"/>
      <c r="L2" s="52"/>
      <c r="M2" s="37" t="s">
        <v>167</v>
      </c>
    </row>
    <row r="3" spans="2:13">
      <c r="B3" s="46" t="s">
        <v>47</v>
      </c>
      <c r="C3" s="54" t="s">
        <v>45</v>
      </c>
      <c r="D3" s="54" t="s">
        <v>46</v>
      </c>
      <c r="E3" s="54" t="s">
        <v>116</v>
      </c>
      <c r="F3" s="54" t="s">
        <v>118</v>
      </c>
      <c r="G3" s="54" t="s">
        <v>233</v>
      </c>
      <c r="H3" s="55" t="s">
        <v>142</v>
      </c>
      <c r="I3" s="55" t="s">
        <v>115</v>
      </c>
      <c r="J3" s="55"/>
      <c r="K3" s="55"/>
      <c r="L3" s="55"/>
      <c r="M3" s="56" t="s">
        <v>114</v>
      </c>
    </row>
    <row r="4" spans="2:13">
      <c r="B4" s="57" t="s">
        <v>232</v>
      </c>
      <c r="C4" s="57" t="s">
        <v>232</v>
      </c>
      <c r="D4" s="57" t="s">
        <v>232</v>
      </c>
      <c r="E4" s="57" t="s">
        <v>232</v>
      </c>
      <c r="F4" s="57" t="s">
        <v>230</v>
      </c>
      <c r="G4" s="58" t="s">
        <v>234</v>
      </c>
      <c r="H4" s="57" t="s">
        <v>232</v>
      </c>
      <c r="I4" s="57" t="s">
        <v>232</v>
      </c>
      <c r="J4" s="57"/>
      <c r="K4" s="57"/>
      <c r="L4" s="57"/>
      <c r="M4" s="57"/>
    </row>
    <row r="5" spans="2:13">
      <c r="B5" s="57"/>
      <c r="C5" s="57"/>
      <c r="D5" s="57"/>
      <c r="E5" s="57"/>
      <c r="F5" s="57"/>
      <c r="G5" s="57"/>
      <c r="H5" s="57"/>
      <c r="I5" s="57"/>
      <c r="J5" s="57"/>
      <c r="K5" s="57"/>
      <c r="L5" s="57"/>
      <c r="M5" s="57"/>
    </row>
    <row r="6" spans="2:13">
      <c r="B6" s="57"/>
      <c r="C6" s="57"/>
      <c r="D6" s="57"/>
      <c r="E6" s="57"/>
      <c r="F6" s="57"/>
      <c r="G6" s="57"/>
      <c r="H6" s="57"/>
      <c r="I6" s="57"/>
      <c r="J6" s="57"/>
      <c r="K6" s="57"/>
      <c r="L6" s="57"/>
      <c r="M6" s="57"/>
    </row>
    <row r="7" spans="2:13">
      <c r="B7" s="57"/>
      <c r="C7" s="57"/>
      <c r="D7" s="57"/>
      <c r="E7" s="57"/>
      <c r="F7" s="57"/>
      <c r="G7" s="57"/>
      <c r="H7" s="57"/>
      <c r="I7" s="57"/>
      <c r="J7" s="57"/>
      <c r="K7" s="57"/>
      <c r="L7" s="57"/>
      <c r="M7" s="57"/>
    </row>
    <row r="8" spans="2:13">
      <c r="B8" s="57"/>
      <c r="C8" s="57"/>
      <c r="D8" s="57"/>
      <c r="E8" s="57"/>
      <c r="F8" s="57"/>
      <c r="G8" s="57"/>
      <c r="H8" s="57"/>
      <c r="I8" s="57"/>
      <c r="J8" s="57"/>
      <c r="K8" s="57"/>
      <c r="L8" s="57"/>
      <c r="M8" s="57"/>
    </row>
  </sheetData>
  <hyperlinks>
    <hyperlink ref="M3"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Orbital Period</vt:lpstr>
      <vt:lpstr>Eclipse</vt:lpstr>
      <vt:lpstr>Einflüsse auf light dips</vt:lpstr>
      <vt:lpstr>Bahnneigung</vt:lpstr>
      <vt:lpstr>Sonnensystemorbits</vt:lpstr>
      <vt:lpstr> TIC 178155732</vt:lpstr>
      <vt:lpstr>Orbit glossary</vt:lpstr>
      <vt:lpstr>Kepler Parameter 6</vt:lpstr>
      <vt:lpstr>Konvertierungsbeispiele</vt:lpstr>
      <vt:lpstr>Exoplanetenparameterableitung</vt:lpstr>
      <vt:lpstr>Autoscaling</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2022-03-08T19:37:04Z</dcterms:created>
  <dcterms:modified xsi:type="dcterms:W3CDTF">2023-05-19T18:51:01Z</dcterms:modified>
</cp:coreProperties>
</file>