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9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3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4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5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9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0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1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2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33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ine Ablage\Python\curvesim\research\star_systems\TOI-4504\"/>
    </mc:Choice>
  </mc:AlternateContent>
  <xr:revisionPtr revIDLastSave="0" documentId="13_ncr:1_{2C4751F9-5944-4066-80C2-158F882471B9}" xr6:coauthVersionLast="47" xr6:coauthVersionMax="47" xr10:uidLastSave="{00000000-0000-0000-0000-000000000000}"/>
  <bookViews>
    <workbookView xWindow="-120" yWindow="-120" windowWidth="29040" windowHeight="15720" tabRatio="1000" firstSheet="3" activeTab="12" xr2:uid="{6919DDE8-15F9-45FB-B5F7-4209377AF865}"/>
  </bookViews>
  <sheets>
    <sheet name="mcmc" sheetId="44" r:id="rId1"/>
    <sheet name="RV" sheetId="46" r:id="rId2"/>
    <sheet name="with(out) b" sheetId="45" r:id="rId3"/>
    <sheet name="Rebound" sheetId="41" r:id="rId4"/>
    <sheet name="Rebound2" sheetId="43" r:id="rId5"/>
    <sheet name="TESS Data Processing" sheetId="42" r:id="rId6"/>
    <sheet name="Planner" sheetId="19" r:id="rId7"/>
    <sheet name="96years" sheetId="20" r:id="rId8"/>
    <sheet name="Planet c" sheetId="5" r:id="rId9"/>
    <sheet name="prognose transits c" sheetId="8" r:id="rId10"/>
    <sheet name="Transits c" sheetId="9" r:id="rId11"/>
    <sheet name="manual fit" sheetId="40" r:id="rId12"/>
    <sheet name="Transits" sheetId="7" r:id="rId13"/>
    <sheet name="28c" sheetId="11" r:id="rId14"/>
    <sheet name="31c" sheetId="12" r:id="rId15"/>
    <sheet name="34c" sheetId="15" r:id="rId16"/>
    <sheet name="37c" sheetId="16" r:id="rId17"/>
    <sheet name="61c" sheetId="28" r:id="rId18"/>
    <sheet name="64c" sheetId="14" r:id="rId19"/>
    <sheet name="67c" sheetId="13" r:id="rId20"/>
    <sheet name="89c" sheetId="26" r:id="rId21"/>
    <sheet name="88d" sheetId="21" r:id="rId22"/>
    <sheet name="89d" sheetId="25" r:id="rId23"/>
    <sheet name="all curves" sheetId="18" r:id="rId24"/>
    <sheet name="28c (2)" sheetId="29" r:id="rId25"/>
    <sheet name="31c (2)" sheetId="30" r:id="rId26"/>
    <sheet name="34c (2)" sheetId="31" r:id="rId27"/>
    <sheet name="37c (2)" sheetId="32" r:id="rId28"/>
    <sheet name="61c (2)" sheetId="33" r:id="rId29"/>
    <sheet name="64c (2)" sheetId="34" r:id="rId30"/>
    <sheet name="67c (2)" sheetId="35" r:id="rId31"/>
    <sheet name="89c (2)" sheetId="36" r:id="rId32"/>
    <sheet name="88d (2)" sheetId="37" r:id="rId33"/>
    <sheet name="89d (2)" sheetId="38" r:id="rId34"/>
    <sheet name="all curves (2)" sheetId="39" r:id="rId35"/>
  </sheets>
  <definedNames>
    <definedName name="_xlnm._FilterDatabase" localSheetId="1" hidden="1">RV!$A$1:$C$40</definedName>
    <definedName name="_xlnm._FilterDatabase" localSheetId="5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6" i="7" l="1"/>
  <c r="L16" i="7"/>
  <c r="M21" i="7"/>
  <c r="L21" i="7"/>
  <c r="J31" i="44"/>
  <c r="J32" i="44"/>
  <c r="I40" i="44"/>
  <c r="I39" i="44"/>
  <c r="I37" i="44"/>
  <c r="I36" i="44"/>
  <c r="I35" i="44"/>
  <c r="I33" i="44"/>
  <c r="I32" i="44"/>
  <c r="I31" i="44"/>
  <c r="F44" i="44"/>
  <c r="F43" i="44"/>
  <c r="F42" i="44"/>
  <c r="H30" i="44"/>
  <c r="H44" i="44"/>
  <c r="H43" i="44"/>
  <c r="H42" i="44"/>
  <c r="H41" i="44"/>
  <c r="F41" i="44"/>
  <c r="H40" i="44"/>
  <c r="F40" i="44"/>
  <c r="H39" i="44"/>
  <c r="F39" i="44"/>
  <c r="H38" i="44"/>
  <c r="F38" i="44"/>
  <c r="H37" i="44"/>
  <c r="F37" i="44"/>
  <c r="H36" i="44"/>
  <c r="F36" i="44"/>
  <c r="H35" i="44"/>
  <c r="F35" i="44"/>
  <c r="H34" i="44"/>
  <c r="F34" i="44"/>
  <c r="H33" i="44"/>
  <c r="F33" i="44"/>
  <c r="H32" i="44"/>
  <c r="F32" i="44"/>
  <c r="H31" i="44"/>
  <c r="F31" i="44"/>
  <c r="F30" i="44"/>
  <c r="F21" i="44"/>
  <c r="E22" i="44"/>
  <c r="E23" i="44" s="1"/>
  <c r="I2" i="46"/>
  <c r="I4" i="46" s="1"/>
  <c r="I22" i="45"/>
  <c r="I21" i="45"/>
  <c r="H19" i="45"/>
  <c r="H18" i="45"/>
  <c r="H17" i="45"/>
  <c r="H16" i="45"/>
  <c r="H15" i="45"/>
  <c r="H14" i="45"/>
  <c r="H13" i="45"/>
  <c r="H12" i="45"/>
  <c r="H11" i="45"/>
  <c r="H10" i="45"/>
  <c r="H9" i="45"/>
  <c r="H8" i="45"/>
  <c r="H7" i="45"/>
  <c r="H6" i="45"/>
  <c r="H5" i="45"/>
  <c r="H4" i="45"/>
  <c r="H3" i="45"/>
  <c r="I19" i="45"/>
  <c r="I18" i="45"/>
  <c r="I17" i="45"/>
  <c r="I16" i="45"/>
  <c r="I15" i="45"/>
  <c r="I14" i="45"/>
  <c r="I13" i="45"/>
  <c r="I12" i="45"/>
  <c r="I11" i="45"/>
  <c r="I10" i="45"/>
  <c r="I9" i="45"/>
  <c r="I8" i="45"/>
  <c r="I7" i="45"/>
  <c r="I6" i="45"/>
  <c r="I5" i="45"/>
  <c r="I4" i="45"/>
  <c r="I3" i="45"/>
  <c r="I2" i="45"/>
  <c r="D33" i="45"/>
  <c r="C28" i="45"/>
  <c r="D27" i="45"/>
  <c r="C27" i="45"/>
  <c r="C7" i="45"/>
  <c r="C31" i="45"/>
  <c r="C30" i="45"/>
  <c r="C29" i="45"/>
  <c r="C22" i="45"/>
  <c r="C14" i="45"/>
  <c r="C13" i="45"/>
  <c r="C9" i="45"/>
  <c r="C20" i="45"/>
  <c r="C16" i="45"/>
  <c r="C12" i="45"/>
  <c r="D12" i="45"/>
  <c r="C4" i="45"/>
  <c r="C5" i="45"/>
  <c r="C6" i="45"/>
  <c r="C8" i="45"/>
  <c r="C10" i="45"/>
  <c r="C11" i="45"/>
  <c r="C15" i="45"/>
  <c r="C17" i="45"/>
  <c r="C18" i="45"/>
  <c r="C19" i="45"/>
  <c r="C21" i="45"/>
  <c r="C23" i="45"/>
  <c r="C24" i="45"/>
  <c r="C25" i="45"/>
  <c r="C26" i="45"/>
  <c r="C3" i="45"/>
  <c r="D31" i="45"/>
  <c r="D34" i="45" s="1"/>
  <c r="D30" i="45"/>
  <c r="D29" i="45"/>
  <c r="D28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1" i="45"/>
  <c r="D10" i="45"/>
  <c r="D9" i="45"/>
  <c r="D8" i="45"/>
  <c r="D7" i="45"/>
  <c r="D6" i="45"/>
  <c r="D5" i="45"/>
  <c r="D4" i="45"/>
  <c r="D3" i="45"/>
  <c r="D2" i="45"/>
  <c r="F2" i="44"/>
  <c r="F13" i="44"/>
  <c r="F12" i="44"/>
  <c r="F11" i="44"/>
  <c r="F10" i="44"/>
  <c r="F9" i="44"/>
  <c r="F8" i="44"/>
  <c r="F7" i="44"/>
  <c r="F6" i="44"/>
  <c r="F5" i="44"/>
  <c r="F4" i="44"/>
  <c r="F3" i="44"/>
  <c r="H16" i="44"/>
  <c r="H15" i="44"/>
  <c r="H14" i="44"/>
  <c r="H13" i="44"/>
  <c r="H12" i="44"/>
  <c r="H11" i="44"/>
  <c r="H10" i="44"/>
  <c r="H9" i="44"/>
  <c r="H8" i="44"/>
  <c r="H7" i="44"/>
  <c r="H6" i="44"/>
  <c r="H5" i="44"/>
  <c r="H4" i="44"/>
  <c r="H3" i="44"/>
  <c r="E88" i="7"/>
  <c r="E87" i="7"/>
  <c r="E83" i="7"/>
  <c r="E82" i="7"/>
  <c r="E81" i="7"/>
  <c r="E80" i="7"/>
  <c r="E79" i="7"/>
  <c r="E78" i="7"/>
  <c r="E77" i="7"/>
  <c r="E76" i="7"/>
  <c r="D88" i="7"/>
  <c r="D87" i="7"/>
  <c r="D83" i="7"/>
  <c r="D82" i="7"/>
  <c r="D81" i="7"/>
  <c r="D80" i="7"/>
  <c r="D79" i="7"/>
  <c r="D78" i="7"/>
  <c r="D77" i="7"/>
  <c r="D76" i="7"/>
  <c r="K20" i="7"/>
  <c r="K23" i="7" s="1"/>
  <c r="K24" i="7" s="1"/>
  <c r="K25" i="7" s="1"/>
  <c r="M20" i="7"/>
  <c r="L20" i="7"/>
  <c r="D47" i="43"/>
  <c r="E47" i="43" s="1"/>
  <c r="F47" i="43" s="1"/>
  <c r="D46" i="43"/>
  <c r="E46" i="43" s="1"/>
  <c r="F46" i="43" s="1"/>
  <c r="D45" i="43"/>
  <c r="E45" i="43" s="1"/>
  <c r="F45" i="43" s="1"/>
  <c r="D43" i="43"/>
  <c r="E43" i="43" s="1"/>
  <c r="F43" i="43" s="1"/>
  <c r="F42" i="43"/>
  <c r="F41" i="43"/>
  <c r="D49" i="43"/>
  <c r="E49" i="43" s="1"/>
  <c r="F49" i="43" s="1"/>
  <c r="D41" i="43"/>
  <c r="E41" i="43" s="1"/>
  <c r="D48" i="43"/>
  <c r="E48" i="43" s="1"/>
  <c r="F48" i="43" s="1"/>
  <c r="D44" i="43"/>
  <c r="E44" i="43" s="1"/>
  <c r="F44" i="43" s="1"/>
  <c r="D42" i="43"/>
  <c r="E42" i="43" s="1"/>
  <c r="D32" i="43"/>
  <c r="D31" i="43"/>
  <c r="D30" i="43"/>
  <c r="D29" i="43"/>
  <c r="D28" i="43"/>
  <c r="M21" i="43"/>
  <c r="L21" i="43"/>
  <c r="K21" i="43"/>
  <c r="J21" i="43"/>
  <c r="I21" i="43"/>
  <c r="H21" i="43"/>
  <c r="G21" i="43"/>
  <c r="F21" i="43"/>
  <c r="E21" i="43"/>
  <c r="D21" i="43"/>
  <c r="C21" i="43"/>
  <c r="M24" i="43"/>
  <c r="L24" i="43"/>
  <c r="K24" i="43"/>
  <c r="J24" i="43"/>
  <c r="I24" i="43"/>
  <c r="H24" i="43"/>
  <c r="G24" i="43"/>
  <c r="F24" i="43"/>
  <c r="E24" i="43"/>
  <c r="D24" i="43"/>
  <c r="C24" i="43"/>
  <c r="M23" i="43"/>
  <c r="L23" i="43"/>
  <c r="K23" i="43"/>
  <c r="J23" i="43"/>
  <c r="I23" i="43"/>
  <c r="H23" i="43"/>
  <c r="G23" i="43"/>
  <c r="F23" i="43"/>
  <c r="E23" i="43"/>
  <c r="D23" i="43"/>
  <c r="C23" i="43"/>
  <c r="M22" i="43"/>
  <c r="L22" i="43"/>
  <c r="K22" i="43"/>
  <c r="J22" i="43"/>
  <c r="I22" i="43"/>
  <c r="H22" i="43"/>
  <c r="G22" i="43"/>
  <c r="F22" i="43"/>
  <c r="E22" i="43"/>
  <c r="D22" i="43"/>
  <c r="C22" i="43"/>
  <c r="M20" i="43"/>
  <c r="L20" i="43"/>
  <c r="K20" i="43"/>
  <c r="J20" i="43"/>
  <c r="I20" i="43"/>
  <c r="H20" i="43"/>
  <c r="G20" i="43"/>
  <c r="F20" i="43"/>
  <c r="E20" i="43"/>
  <c r="D20" i="43"/>
  <c r="C20" i="43"/>
  <c r="M19" i="43"/>
  <c r="L19" i="43"/>
  <c r="K19" i="43"/>
  <c r="J19" i="43"/>
  <c r="I19" i="43"/>
  <c r="H19" i="43"/>
  <c r="G19" i="43"/>
  <c r="F19" i="43"/>
  <c r="E19" i="43"/>
  <c r="D19" i="43"/>
  <c r="C19" i="43"/>
  <c r="M18" i="43"/>
  <c r="L18" i="43"/>
  <c r="K18" i="43"/>
  <c r="J18" i="43"/>
  <c r="I18" i="43"/>
  <c r="H18" i="43"/>
  <c r="G18" i="43"/>
  <c r="F18" i="43"/>
  <c r="E18" i="43"/>
  <c r="D18" i="43"/>
  <c r="C18" i="43"/>
  <c r="O16" i="7" l="1"/>
  <c r="O21" i="7"/>
  <c r="F22" i="44"/>
  <c r="G4" i="46"/>
  <c r="G5" i="46" s="1"/>
  <c r="E4" i="46"/>
  <c r="E5" i="46" s="1"/>
  <c r="O20" i="7"/>
  <c r="H35" i="4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8" i="7"/>
  <c r="M18" i="7"/>
  <c r="L18" i="7"/>
  <c r="K18" i="7"/>
  <c r="N19" i="7"/>
  <c r="M19" i="7"/>
  <c r="L19" i="7"/>
  <c r="K19" i="7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L17" i="40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8" i="7" s="1"/>
  <c r="Q15" i="7"/>
  <c r="Q19" i="7"/>
  <c r="O18" i="7"/>
  <c r="O19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1" i="7"/>
  <c r="F41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2" i="7"/>
  <c r="D43" i="7" s="1"/>
  <c r="D44" i="7" s="1"/>
  <c r="D45" i="7" s="1"/>
  <c r="D46" i="7" s="1"/>
  <c r="D47" i="7" s="1"/>
  <c r="D48" i="7" s="1"/>
  <c r="D49" i="7" s="1"/>
  <c r="D34" i="7"/>
  <c r="D35" i="7" s="1"/>
  <c r="D36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6" i="7"/>
  <c r="K17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1" i="7"/>
  <c r="F44" i="7"/>
  <c r="F42" i="7"/>
  <c r="F43" i="7"/>
  <c r="F49" i="7"/>
  <c r="F50" i="7"/>
  <c r="F32" i="7"/>
  <c r="F51" i="7"/>
  <c r="F36" i="7"/>
  <c r="F47" i="7"/>
  <c r="F34" i="7"/>
  <c r="F39" i="7"/>
  <c r="F45" i="7"/>
  <c r="F46" i="7"/>
  <c r="F48" i="7"/>
  <c r="F33" i="7"/>
  <c r="F35" i="7"/>
  <c r="F40" i="7"/>
  <c r="D37" i="7"/>
  <c r="F37" i="7" s="1"/>
  <c r="F9" i="7"/>
  <c r="Q17" i="7" l="1"/>
  <c r="Q20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38" i="7"/>
  <c r="F38" i="7" s="1"/>
  <c r="Q21" i="7" l="1"/>
  <c r="Q23" i="7" l="1"/>
  <c r="Q25" i="7" l="1"/>
  <c r="Q24" i="7"/>
</calcChain>
</file>

<file path=xl/sharedStrings.xml><?xml version="1.0" encoding="utf-8"?>
<sst xmlns="http://schemas.openxmlformats.org/spreadsheetml/2006/main" count="1232" uniqueCount="286">
  <si>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</si>
  <si>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</si>
  <si>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</si>
  <si>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</si>
  <si>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</si>
  <si>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</si>
  <si>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</si>
  <si>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</si>
  <si>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</si>
  <si>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</si>
  <si>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</si>
  <si>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</si>
  <si>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</si>
  <si>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</si>
  <si>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</si>
  <si>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</si>
  <si>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</si>
  <si>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</si>
  <si>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</si>
  <si>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</si>
  <si>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</si>
  <si>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</si>
  <si>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</si>
  <si>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</si>
  <si>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</si>
  <si>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</si>
  <si>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</si>
  <si>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</si>
  <si>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</si>
  <si>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</si>
  <si>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</si>
  <si>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</si>
  <si>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</si>
  <si>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</si>
  <si>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</si>
  <si>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</si>
  <si>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</si>
  <si>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</si>
  <si>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</si>
  <si>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</si>
  <si>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</si>
  <si>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</si>
  <si>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</si>
  <si>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</si>
  <si>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</si>
  <si>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</si>
  <si>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</si>
  <si>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</si>
  <si>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</si>
  <si>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</si>
  <si>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</si>
  <si>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</si>
  <si>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</si>
  <si>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</si>
  <si>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</si>
  <si>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</si>
  <si>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</si>
  <si>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</si>
  <si>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</si>
  <si>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</si>
  <si>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</si>
  <si>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</si>
  <si>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</si>
  <si>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</si>
  <si>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</si>
  <si>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</si>
  <si>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</si>
  <si>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</si>
  <si>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</si>
  <si>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</si>
  <si>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</si>
  <si>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</si>
  <si>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</si>
  <si>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</si>
  <si>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</si>
  <si>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</si>
  <si>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</si>
  <si>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</si>
  <si>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</si>
  <si>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</si>
  <si>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</si>
  <si>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</si>
  <si>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</si>
  <si>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</si>
  <si>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</si>
  <si>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</si>
  <si>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</si>
  <si>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</si>
  <si>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</si>
  <si>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</si>
  <si>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</si>
  <si>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</si>
  <si>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</si>
  <si>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</si>
  <si>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</si>
  <si>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</si>
  <si>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</si>
  <si>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</si>
  <si>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</si>
  <si>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</si>
  <si>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</si>
  <si>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</si>
  <si>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</si>
  <si>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</si>
  <si>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</si>
  <si>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</si>
  <si>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</si>
  <si>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</si>
  <si>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</si>
  <si>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</si>
  <si>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</si>
  <si>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</si>
  <si>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</si>
  <si>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</si>
  <si>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</si>
  <si>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</si>
  <si>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</si>
  <si>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</si>
  <si>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</si>
  <si>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</si>
  <si>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</si>
  <si>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</si>
  <si>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</si>
  <si>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</si>
  <si>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</si>
  <si>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</si>
  <si>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</si>
  <si>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</si>
  <si>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</si>
  <si>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</si>
  <si>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</si>
  <si>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</si>
  <si>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</si>
  <si>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</si>
  <si>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</si>
  <si>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</si>
  <si>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</si>
  <si>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</si>
  <si>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</si>
  <si>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</si>
  <si>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</si>
  <si>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</si>
  <si>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</si>
  <si>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</si>
  <si>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</si>
  <si>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</si>
  <si>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</si>
  <si>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</si>
  <si>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</si>
  <si>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</si>
  <si>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</si>
  <si>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</si>
  <si>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</si>
  <si>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</si>
  <si>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</si>
  <si>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</si>
  <si>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</si>
  <si>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</si>
  <si>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</si>
  <si>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</si>
  <si>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</si>
  <si>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</si>
  <si>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</si>
  <si>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</si>
  <si>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</si>
  <si>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</si>
  <si>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</si>
  <si>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</si>
  <si>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</si>
  <si>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</si>
  <si>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</si>
  <si>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</si>
  <si>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</si>
  <si>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</si>
  <si>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</si>
  <si>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</si>
  <si>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</si>
  <si>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</si>
  <si>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</si>
  <si>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</si>
  <si>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</si>
  <si>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</si>
  <si>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</si>
  <si>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</si>
  <si>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</si>
  <si>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</si>
  <si>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</si>
  <si>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</si>
  <si>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</si>
  <si>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</si>
  <si>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</si>
  <si>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</si>
  <si>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</si>
  <si>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</si>
  <si>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</si>
  <si>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</si>
  <si>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</si>
  <si>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</si>
  <si>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</si>
  <si>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</si>
  <si>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</si>
  <si>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</si>
  <si>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</si>
  <si>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</si>
  <si>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</si>
  <si>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</si>
  <si>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</si>
  <si>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</si>
  <si>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</si>
  <si>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</si>
  <si>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</si>
  <si>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</si>
  <si>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</si>
  <si>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</si>
  <si>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</si>
  <si>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</si>
  <si>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</si>
  <si>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</si>
  <si>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</si>
  <si>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</si>
  <si>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T34</t>
  </si>
  <si>
    <t>b</t>
  </si>
  <si>
    <t>80000*</t>
  </si>
  <si>
    <t>*runtimewarning</t>
  </si>
  <si>
    <t>[s]</t>
  </si>
  <si>
    <t>err [s]</t>
  </si>
  <si>
    <t>err [%]</t>
  </si>
  <si>
    <t>Integrator:</t>
  </si>
  <si>
    <t>whfast, safety off, 11th grade corrector</t>
  </si>
  <si>
    <t>20000+</t>
  </si>
  <si>
    <t>+ safety on, no corrector</t>
  </si>
  <si>
    <t>sim time</t>
  </si>
  <si>
    <t>recorded iterations</t>
  </si>
  <si>
    <t>intervals</t>
  </si>
  <si>
    <t>sim time min</t>
  </si>
  <si>
    <t>sim time Ø</t>
  </si>
  <si>
    <t>s/iteration:</t>
  </si>
  <si>
    <t>base:</t>
  </si>
  <si>
    <t>MCMC chains:</t>
  </si>
  <si>
    <t>MCMC steps/h</t>
  </si>
  <si>
    <t>MCMC steps:</t>
  </si>
  <si>
    <t>MCMC time [h]</t>
  </si>
  <si>
    <t>X014mean</t>
  </si>
  <si>
    <t>X014maxlh</t>
  </si>
  <si>
    <t>2460680,636</t>
  </si>
  <si>
    <t>2460721,343</t>
  </si>
  <si>
    <t>2460841,846</t>
  </si>
  <si>
    <t>2458481,719</t>
  </si>
  <si>
    <t>2458564,348</t>
  </si>
  <si>
    <t>2458647,324</t>
  </si>
  <si>
    <t>2459065,240</t>
  </si>
  <si>
    <t>2459148,486</t>
  </si>
  <si>
    <t>2459231,111</t>
  </si>
  <si>
    <t>2459313,250</t>
  </si>
  <si>
    <t>2459976,204</t>
  </si>
  <si>
    <t>2460059,615</t>
  </si>
  <si>
    <t>2460142,617</t>
  </si>
  <si>
    <t>2460718,617</t>
  </si>
  <si>
    <t>miss</t>
  </si>
  <si>
    <t>Last TT - First TT</t>
  </si>
  <si>
    <t>Velocity change</t>
  </si>
  <si>
    <t>Delay c</t>
  </si>
  <si>
    <t>P d 
without b</t>
  </si>
  <si>
    <t>Delay d</t>
  </si>
  <si>
    <t>P c 
without b</t>
  </si>
  <si>
    <t>c-transits 
with b</t>
  </si>
  <si>
    <t>c-transits 
without b</t>
  </si>
  <si>
    <t>d-transits 
with b</t>
  </si>
  <si>
    <t>d-transits 
without b</t>
  </si>
  <si>
    <t>rv</t>
  </si>
  <si>
    <t>rv_err</t>
  </si>
  <si>
    <t>f 35</t>
  </si>
  <si>
    <t>j 34</t>
  </si>
  <si>
    <t>Offset in Vitkova Paper optisch aus Grafik:</t>
  </si>
  <si>
    <t>aktuell:</t>
  </si>
  <si>
    <t>Anteil</t>
  </si>
  <si>
    <t>voll daneben</t>
  </si>
  <si>
    <t>perfekt</t>
  </si>
  <si>
    <t>Avg. Resisual c, d</t>
  </si>
  <si>
    <t>Von 15 Transits</t>
  </si>
  <si>
    <t>32 Walker</t>
  </si>
  <si>
    <t>1 burn in</t>
  </si>
  <si>
    <t>2000 Walker</t>
  </si>
  <si>
    <t>1st try TT</t>
  </si>
  <si>
    <t>delta</t>
  </si>
  <si>
    <t>X023_cd13P_TT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</si>
</sst>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E+00"/>
    <numFmt numFmtId="173" formatCode="0.000000E+00"/>
    <numFmt numFmtId="174" formatCode="0.000%"/>
    <numFmt numFmtId="175" formatCode="#,##0.000"/>
    <numFmt numFmtId="176" formatCode="0.00000000000"/>
    <numFmt numFmtId="177" formatCode="0.000000"/>
    <numFmt numFmtId="178" formatCode="0.00000000"/>
    <numFmt numFmtId="179" formatCode="#,##0.0"/>
    <numFmt numFmtId="180" formatCode="0.0%"/>
  </numFmts>
  <fonts count="33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b/>
      <i/>
      <sz val="11"/>
      <name val="Consolas"/>
      <family val="3"/>
    </font>
    <font>
      <sz val="11"/>
      <name val="Arial"/>
      <family val="2"/>
    </font>
    <font>
      <b/>
      <sz val="11"/>
      <name val="Arial"/>
      <family val="2"/>
    </font>
    <font>
      <sz val="11"/>
      <color rgb="FFEE0000"/>
      <name val="Aptos Narrow"/>
      <family val="2"/>
      <scheme val="minor"/>
    </font>
    <font>
      <sz val="11"/>
      <color rgb="FF00B0F0"/>
      <name val="Aptos Narrow"/>
      <family val="2"/>
      <scheme val="minor"/>
    </font>
    <font>
      <sz val="11"/>
      <color theme="0" tint="-0.14999847407452621"/>
      <name val="Calibri"/>
      <family val="2"/>
    </font>
    <font>
      <sz val="11"/>
      <color rgb="FFFF0000"/>
      <name val="Aptos Narrow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</fills>
  <borders count="4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319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6" borderId="0" xfId="0" applyNumberFormat="1" applyFill="1"/>
    <xf numFmtId="164" fontId="0" fillId="16" borderId="0" xfId="0" applyNumberFormat="1" applyFill="1"/>
    <xf numFmtId="166" fontId="0" fillId="16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6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7" borderId="0" xfId="0" applyFill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7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8" borderId="0" xfId="3" applyFont="1" applyFill="1" applyAlignment="1">
      <alignment horizontal="right" vertical="center" wrapText="1"/>
    </xf>
    <xf numFmtId="0" fontId="20" fillId="19" borderId="0" xfId="0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1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7" borderId="0" xfId="0" applyFont="1" applyFill="1" applyAlignment="1">
      <alignment horizontal="right" vertical="center" wrapText="1"/>
    </xf>
    <xf numFmtId="0" fontId="20" fillId="22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1" borderId="0" xfId="3" applyFont="1" applyFill="1" applyAlignment="1">
      <alignment horizontal="right" vertical="center" wrapText="1"/>
    </xf>
    <xf numFmtId="0" fontId="22" fillId="22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4" fontId="0" fillId="0" borderId="0" xfId="1" applyNumberFormat="1" applyFont="1"/>
    <xf numFmtId="0" fontId="14" fillId="0" borderId="0" xfId="0" applyFont="1"/>
    <xf numFmtId="172" fontId="14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4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4" fontId="0" fillId="0" borderId="4" xfId="1" applyNumberFormat="1" applyFont="1" applyBorder="1"/>
    <xf numFmtId="0" fontId="25" fillId="0" borderId="0" xfId="0" applyFont="1" applyAlignment="1">
      <alignment horizontal="right"/>
    </xf>
    <xf numFmtId="0" fontId="25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5" fillId="3" borderId="0" xfId="0" applyFont="1" applyFill="1" applyAlignment="1">
      <alignment horizontal="right"/>
    </xf>
    <xf numFmtId="174" fontId="0" fillId="3" borderId="0" xfId="1" applyNumberFormat="1" applyFont="1" applyFill="1"/>
    <xf numFmtId="172" fontId="0" fillId="3" borderId="0" xfId="0" applyNumberFormat="1" applyFill="1"/>
    <xf numFmtId="176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1" borderId="0" xfId="0" applyFill="1"/>
    <xf numFmtId="0" fontId="0" fillId="21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7" fontId="0" fillId="0" borderId="0" xfId="0" applyNumberFormat="1"/>
    <xf numFmtId="177" fontId="0" fillId="3" borderId="0" xfId="0" applyNumberFormat="1" applyFill="1"/>
    <xf numFmtId="175" fontId="29" fillId="0" borderId="0" xfId="0" applyNumberFormat="1" applyFont="1"/>
    <xf numFmtId="179" fontId="1" fillId="0" borderId="0" xfId="0" applyNumberFormat="1" applyFont="1" applyAlignment="1">
      <alignment horizontal="right"/>
    </xf>
    <xf numFmtId="0" fontId="0" fillId="0" borderId="0" xfId="0" quotePrefix="1"/>
    <xf numFmtId="0" fontId="1" fillId="0" borderId="22" xfId="0" applyFont="1" applyBorder="1" applyAlignment="1">
      <alignment horizontal="center"/>
    </xf>
    <xf numFmtId="0" fontId="0" fillId="0" borderId="23" xfId="0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5" xfId="0" applyBorder="1"/>
    <xf numFmtId="0" fontId="1" fillId="0" borderId="22" xfId="0" applyFont="1" applyBorder="1" applyAlignment="1">
      <alignment horizontal="right"/>
    </xf>
    <xf numFmtId="178" fontId="0" fillId="0" borderId="24" xfId="0" applyNumberFormat="1" applyBorder="1"/>
    <xf numFmtId="0" fontId="1" fillId="0" borderId="25" xfId="0" applyFont="1" applyBorder="1" applyAlignment="1">
      <alignment horizontal="right"/>
    </xf>
    <xf numFmtId="177" fontId="0" fillId="0" borderId="1" xfId="0" applyNumberFormat="1" applyBorder="1"/>
    <xf numFmtId="0" fontId="1" fillId="0" borderId="26" xfId="0" applyFont="1" applyBorder="1" applyAlignment="1">
      <alignment horizontal="right"/>
    </xf>
    <xf numFmtId="166" fontId="0" fillId="0" borderId="4" xfId="0" applyNumberFormat="1" applyBorder="1"/>
    <xf numFmtId="164" fontId="0" fillId="0" borderId="5" xfId="0" applyNumberFormat="1" applyBorder="1"/>
    <xf numFmtId="0" fontId="26" fillId="0" borderId="23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178" fontId="1" fillId="0" borderId="25" xfId="0" applyNumberFormat="1" applyFont="1" applyBorder="1" applyAlignment="1">
      <alignment horizontal="center"/>
    </xf>
    <xf numFmtId="178" fontId="1" fillId="0" borderId="0" xfId="0" applyNumberFormat="1" applyFont="1" applyAlignment="1">
      <alignment horizontal="center"/>
    </xf>
    <xf numFmtId="178" fontId="1" fillId="0" borderId="1" xfId="0" applyNumberFormat="1" applyFont="1" applyBorder="1" applyAlignment="1">
      <alignment horizontal="center"/>
    </xf>
    <xf numFmtId="0" fontId="27" fillId="0" borderId="25" xfId="0" applyFont="1" applyBorder="1" applyAlignment="1">
      <alignment vertical="center"/>
    </xf>
    <xf numFmtId="165" fontId="0" fillId="17" borderId="0" xfId="0" applyNumberFormat="1" applyFill="1"/>
    <xf numFmtId="1" fontId="0" fillId="16" borderId="0" xfId="0" applyNumberFormat="1" applyFill="1"/>
    <xf numFmtId="2" fontId="0" fillId="16" borderId="0" xfId="0" applyNumberFormat="1" applyFill="1"/>
    <xf numFmtId="177" fontId="0" fillId="16" borderId="0" xfId="0" applyNumberFormat="1" applyFill="1"/>
    <xf numFmtId="177" fontId="0" fillId="16" borderId="1" xfId="0" applyNumberFormat="1" applyFill="1" applyBorder="1"/>
    <xf numFmtId="165" fontId="0" fillId="10" borderId="0" xfId="0" applyNumberFormat="1" applyFill="1"/>
    <xf numFmtId="0" fontId="28" fillId="0" borderId="25" xfId="0" applyFont="1" applyBorder="1" applyAlignment="1">
      <alignment vertical="center"/>
    </xf>
    <xf numFmtId="165" fontId="1" fillId="8" borderId="0" xfId="0" applyNumberFormat="1" applyFont="1" applyFill="1"/>
    <xf numFmtId="1" fontId="1" fillId="16" borderId="0" xfId="0" applyNumberFormat="1" applyFont="1" applyFill="1"/>
    <xf numFmtId="2" fontId="1" fillId="16" borderId="0" xfId="0" applyNumberFormat="1" applyFont="1" applyFill="1"/>
    <xf numFmtId="177" fontId="1" fillId="16" borderId="0" xfId="0" applyNumberFormat="1" applyFont="1" applyFill="1"/>
    <xf numFmtId="177" fontId="1" fillId="16" borderId="1" xfId="0" applyNumberFormat="1" applyFont="1" applyFill="1" applyBorder="1"/>
    <xf numFmtId="165" fontId="0" fillId="8" borderId="0" xfId="0" applyNumberFormat="1" applyFill="1"/>
    <xf numFmtId="1" fontId="0" fillId="10" borderId="0" xfId="0" applyNumberFormat="1" applyFill="1"/>
    <xf numFmtId="1" fontId="0" fillId="7" borderId="0" xfId="0" applyNumberFormat="1" applyFill="1"/>
    <xf numFmtId="0" fontId="27" fillId="0" borderId="26" xfId="0" applyFont="1" applyBorder="1" applyAlignment="1">
      <alignment vertical="center"/>
    </xf>
    <xf numFmtId="165" fontId="0" fillId="17" borderId="4" xfId="0" applyNumberFormat="1" applyFill="1" applyBorder="1"/>
    <xf numFmtId="1" fontId="0" fillId="7" borderId="4" xfId="0" applyNumberFormat="1" applyFill="1" applyBorder="1"/>
    <xf numFmtId="2" fontId="0" fillId="16" borderId="4" xfId="0" applyNumberFormat="1" applyFill="1" applyBorder="1"/>
    <xf numFmtId="177" fontId="0" fillId="16" borderId="4" xfId="0" applyNumberFormat="1" applyFill="1" applyBorder="1"/>
    <xf numFmtId="177" fontId="0" fillId="16" borderId="5" xfId="0" applyNumberFormat="1" applyFill="1" applyBorder="1"/>
    <xf numFmtId="178" fontId="0" fillId="0" borderId="0" xfId="0" applyNumberFormat="1"/>
    <xf numFmtId="178" fontId="0" fillId="0" borderId="1" xfId="0" applyNumberFormat="1" applyBorder="1"/>
    <xf numFmtId="0" fontId="0" fillId="0" borderId="4" xfId="0" quotePrefix="1" applyBorder="1"/>
    <xf numFmtId="0" fontId="30" fillId="0" borderId="26" xfId="0" applyFont="1" applyBorder="1"/>
    <xf numFmtId="0" fontId="31" fillId="0" borderId="0" xfId="0" applyFont="1"/>
    <xf numFmtId="0" fontId="4" fillId="13" borderId="0" xfId="0" applyFont="1" applyFill="1" applyAlignment="1">
      <alignment horizontal="center"/>
    </xf>
    <xf numFmtId="0" fontId="0" fillId="0" borderId="8" xfId="0" applyBorder="1"/>
    <xf numFmtId="0" fontId="5" fillId="3" borderId="8" xfId="0" applyFont="1" applyFill="1" applyBorder="1" applyAlignment="1">
      <alignment horizontal="center"/>
    </xf>
    <xf numFmtId="2" fontId="0" fillId="13" borderId="0" xfId="0" applyNumberFormat="1" applyFill="1"/>
    <xf numFmtId="2" fontId="0" fillId="10" borderId="0" xfId="0" applyNumberFormat="1" applyFill="1"/>
    <xf numFmtId="2" fontId="0" fillId="23" borderId="0" xfId="0" applyNumberFormat="1" applyFill="1"/>
    <xf numFmtId="2" fontId="0" fillId="23" borderId="8" xfId="0" applyNumberFormat="1" applyFill="1" applyBorder="1"/>
    <xf numFmtId="0" fontId="0" fillId="23" borderId="0" xfId="0" applyFill="1" applyAlignment="1">
      <alignment horizontal="center"/>
    </xf>
    <xf numFmtId="0" fontId="5" fillId="19" borderId="8" xfId="0" applyFont="1" applyFill="1" applyBorder="1" applyAlignment="1">
      <alignment horizontal="center"/>
    </xf>
    <xf numFmtId="0" fontId="24" fillId="0" borderId="0" xfId="0" applyFont="1" applyAlignment="1">
      <alignment horizontal="right"/>
    </xf>
    <xf numFmtId="2" fontId="24" fillId="0" borderId="0" xfId="0" applyNumberFormat="1" applyFont="1"/>
    <xf numFmtId="0" fontId="1" fillId="0" borderId="0" xfId="0" applyFont="1" applyAlignment="1">
      <alignment horizontal="right"/>
    </xf>
    <xf numFmtId="174" fontId="1" fillId="0" borderId="0" xfId="1" applyNumberFormat="1" applyFont="1"/>
    <xf numFmtId="0" fontId="1" fillId="0" borderId="0" xfId="0" applyFont="1" applyAlignment="1">
      <alignment horizontal="center" vertical="center"/>
    </xf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30" xfId="0" applyNumberFormat="1" applyBorder="1"/>
    <xf numFmtId="2" fontId="0" fillId="0" borderId="31" xfId="0" applyNumberFormat="1" applyBorder="1"/>
    <xf numFmtId="2" fontId="0" fillId="0" borderId="32" xfId="0" applyNumberFormat="1" applyBorder="1"/>
    <xf numFmtId="2" fontId="0" fillId="0" borderId="33" xfId="0" applyNumberFormat="1" applyBorder="1"/>
    <xf numFmtId="2" fontId="0" fillId="0" borderId="34" xfId="0" applyNumberFormat="1" applyBorder="1"/>
    <xf numFmtId="2" fontId="0" fillId="0" borderId="35" xfId="0" applyNumberFormat="1" applyBorder="1"/>
    <xf numFmtId="0" fontId="1" fillId="24" borderId="36" xfId="0" applyFont="1" applyFill="1" applyBorder="1" applyAlignment="1">
      <alignment horizontal="center" vertical="center" wrapText="1"/>
    </xf>
    <xf numFmtId="0" fontId="1" fillId="24" borderId="37" xfId="0" applyFont="1" applyFill="1" applyBorder="1" applyAlignment="1">
      <alignment horizontal="center" vertical="center" wrapText="1"/>
    </xf>
    <xf numFmtId="0" fontId="1" fillId="24" borderId="38" xfId="0" applyFont="1" applyFill="1" applyBorder="1" applyAlignment="1">
      <alignment horizontal="center" vertical="center" wrapText="1"/>
    </xf>
    <xf numFmtId="2" fontId="0" fillId="5" borderId="0" xfId="0" applyNumberFormat="1" applyFill="1"/>
    <xf numFmtId="164" fontId="0" fillId="5" borderId="0" xfId="0" applyNumberFormat="1" applyFill="1"/>
    <xf numFmtId="2" fontId="0" fillId="6" borderId="0" xfId="0" applyNumberFormat="1" applyFill="1"/>
    <xf numFmtId="164" fontId="0" fillId="6" borderId="0" xfId="0" applyNumberFormat="1" applyFill="1"/>
    <xf numFmtId="2" fontId="0" fillId="12" borderId="0" xfId="0" applyNumberFormat="1" applyFill="1"/>
    <xf numFmtId="164" fontId="0" fillId="12" borderId="0" xfId="0" applyNumberFormat="1" applyFill="1"/>
    <xf numFmtId="2" fontId="0" fillId="25" borderId="0" xfId="0" applyNumberFormat="1" applyFill="1"/>
    <xf numFmtId="164" fontId="0" fillId="25" borderId="0" xfId="0" applyNumberFormat="1" applyFill="1"/>
    <xf numFmtId="0" fontId="1" fillId="13" borderId="0" xfId="0" applyFont="1" applyFill="1"/>
    <xf numFmtId="0" fontId="14" fillId="0" borderId="8" xfId="0" applyFont="1" applyBorder="1"/>
    <xf numFmtId="0" fontId="0" fillId="0" borderId="39" xfId="0" applyBorder="1"/>
    <xf numFmtId="2" fontId="0" fillId="13" borderId="8" xfId="0" applyNumberFormat="1" applyFill="1" applyBorder="1"/>
    <xf numFmtId="180" fontId="14" fillId="0" borderId="0" xfId="0" applyNumberFormat="1" applyFont="1"/>
    <xf numFmtId="164" fontId="0" fillId="0" borderId="2" xfId="0" applyNumberFormat="1" applyBorder="1"/>
    <xf numFmtId="180" fontId="0" fillId="0" borderId="0" xfId="0" applyNumberFormat="1"/>
    <xf numFmtId="2" fontId="0" fillId="0" borderId="8" xfId="0" applyNumberFormat="1" applyBorder="1"/>
    <xf numFmtId="0" fontId="0" fillId="0" borderId="40" xfId="0" applyBorder="1"/>
    <xf numFmtId="0" fontId="0" fillId="0" borderId="40" xfId="0" applyBorder="1" applyAlignment="1">
      <alignment horizontal="center"/>
    </xf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1" fillId="0" borderId="8" xfId="0" applyFont="1" applyBorder="1"/>
    <xf numFmtId="165" fontId="32" fillId="0" borderId="0" xfId="0" applyNumberFormat="1" applyFont="1"/>
    <xf numFmtId="2" fontId="0" fillId="11" borderId="0" xfId="0" applyNumberFormat="1" applyFill="1"/>
    <xf numFmtId="2" fontId="0" fillId="11" borderId="8" xfId="0" applyNumberFormat="1" applyFill="1" applyBorder="1"/>
    <xf numFmtId="2" fontId="1" fillId="11" borderId="0" xfId="0" applyNumberFormat="1" applyFont="1" applyFill="1"/>
    <xf numFmtId="2" fontId="1" fillId="11" borderId="8" xfId="0" applyNumberFormat="1" applyFont="1" applyFill="1" applyBorder="1"/>
    <xf numFmtId="2" fontId="1" fillId="10" borderId="0" xfId="0" applyNumberFormat="1" applyFont="1" applyFill="1"/>
    <xf numFmtId="0" fontId="5" fillId="26" borderId="0" xfId="0" applyFont="1" applyFill="1" applyAlignment="1">
      <alignment horizontal="center"/>
    </xf>
    <xf numFmtId="10" fontId="16" fillId="0" borderId="0" xfId="0" applyNumberFormat="1" applyFont="1"/>
    <xf numFmtId="10" fontId="16" fillId="0" borderId="8" xfId="0" applyNumberFormat="1" applyFont="1" applyBorder="1"/>
  </cellXfs>
  <cellStyles count="4">
    <cellStyle name="Komma" xfId="2" builtinId="3"/>
    <cellStyle name="Link" xfId="3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RV!$B$1</c:f>
              <c:strCache>
                <c:ptCount val="1"/>
                <c:pt idx="0">
                  <c:v>rv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RV!$A$2:$A$40</c:f>
              <c:numCache>
                <c:formatCode>0.00</c:formatCode>
                <c:ptCount val="39"/>
                <c:pt idx="0">
                  <c:v>2458912.730428</c:v>
                </c:pt>
                <c:pt idx="1">
                  <c:v>2458917.7301461999</c:v>
                </c:pt>
                <c:pt idx="2">
                  <c:v>2458925.5538543998</c:v>
                </c:pt>
                <c:pt idx="3">
                  <c:v>2458925.5970903002</c:v>
                </c:pt>
                <c:pt idx="4">
                  <c:v>2459189.7431016001</c:v>
                </c:pt>
                <c:pt idx="5">
                  <c:v>2459192.7143167998</c:v>
                </c:pt>
                <c:pt idx="6">
                  <c:v>2459207.7670343001</c:v>
                </c:pt>
                <c:pt idx="7">
                  <c:v>2459211.7211734001</c:v>
                </c:pt>
                <c:pt idx="8">
                  <c:v>2459218.7262622002</c:v>
                </c:pt>
                <c:pt idx="9">
                  <c:v>2459260.6382415001</c:v>
                </c:pt>
                <c:pt idx="10">
                  <c:v>2459272.7769050002</c:v>
                </c:pt>
                <c:pt idx="11">
                  <c:v>2459274.7161730002</c:v>
                </c:pt>
                <c:pt idx="12">
                  <c:v>2459276.7156497999</c:v>
                </c:pt>
                <c:pt idx="13">
                  <c:v>2459282.5358342002</c:v>
                </c:pt>
                <c:pt idx="14">
                  <c:v>2459539.7731662998</c:v>
                </c:pt>
                <c:pt idx="15">
                  <c:v>2459545.7659940999</c:v>
                </c:pt>
                <c:pt idx="16">
                  <c:v>2459590.7117932001</c:v>
                </c:pt>
                <c:pt idx="17">
                  <c:v>2459644.7122897999</c:v>
                </c:pt>
                <c:pt idx="18">
                  <c:v>2459649.6298420001</c:v>
                </c:pt>
                <c:pt idx="19">
                  <c:v>2459652.6796062998</c:v>
                </c:pt>
                <c:pt idx="20">
                  <c:v>2459657.7273320002</c:v>
                </c:pt>
                <c:pt idx="21">
                  <c:v>2459661.6841377998</c:v>
                </c:pt>
                <c:pt idx="22">
                  <c:v>2459662.6697006999</c:v>
                </c:pt>
                <c:pt idx="23">
                  <c:v>2459685.5096644</c:v>
                </c:pt>
                <c:pt idx="24">
                  <c:v>2459687.5617665001</c:v>
                </c:pt>
                <c:pt idx="25">
                  <c:v>2459691.5839601001</c:v>
                </c:pt>
                <c:pt idx="26">
                  <c:v>2459704.6238589999</c:v>
                </c:pt>
                <c:pt idx="27">
                  <c:v>2460031.6812879001</c:v>
                </c:pt>
                <c:pt idx="28">
                  <c:v>2460035.6102045998</c:v>
                </c:pt>
                <c:pt idx="29">
                  <c:v>2460047.6196292001</c:v>
                </c:pt>
                <c:pt idx="30">
                  <c:v>2460049.6297280998</c:v>
                </c:pt>
                <c:pt idx="31">
                  <c:v>2460053.5979114999</c:v>
                </c:pt>
                <c:pt idx="32">
                  <c:v>2460064.5861888002</c:v>
                </c:pt>
                <c:pt idx="33">
                  <c:v>2460067.4999667001</c:v>
                </c:pt>
                <c:pt idx="34">
                  <c:v>2460100.5511551001</c:v>
                </c:pt>
                <c:pt idx="35">
                  <c:v>2460404.6178393001</c:v>
                </c:pt>
                <c:pt idx="36">
                  <c:v>2460407.5764816999</c:v>
                </c:pt>
                <c:pt idx="37">
                  <c:v>2460411.5489369999</c:v>
                </c:pt>
                <c:pt idx="38">
                  <c:v>2460433.5833358001</c:v>
                </c:pt>
              </c:numCache>
            </c:numRef>
          </c:xVal>
          <c:yVal>
            <c:numRef>
              <c:f>RV!$B$2:$B$40</c:f>
              <c:numCache>
                <c:formatCode>0.0</c:formatCode>
                <c:ptCount val="39"/>
                <c:pt idx="0">
                  <c:v>2023.5</c:v>
                </c:pt>
                <c:pt idx="1">
                  <c:v>1774.9</c:v>
                </c:pt>
                <c:pt idx="2">
                  <c:v>1992.5</c:v>
                </c:pt>
                <c:pt idx="3">
                  <c:v>1869.9</c:v>
                </c:pt>
                <c:pt idx="4">
                  <c:v>2247.1</c:v>
                </c:pt>
                <c:pt idx="5">
                  <c:v>2255.4</c:v>
                </c:pt>
                <c:pt idx="6">
                  <c:v>2210.1999999999998</c:v>
                </c:pt>
                <c:pt idx="7">
                  <c:v>2228.6</c:v>
                </c:pt>
                <c:pt idx="8">
                  <c:v>2038.1</c:v>
                </c:pt>
                <c:pt idx="9">
                  <c:v>1877.8</c:v>
                </c:pt>
                <c:pt idx="10">
                  <c:v>2081.6</c:v>
                </c:pt>
                <c:pt idx="11">
                  <c:v>2224.5</c:v>
                </c:pt>
                <c:pt idx="12">
                  <c:v>2134.9</c:v>
                </c:pt>
                <c:pt idx="13">
                  <c:v>2267.5</c:v>
                </c:pt>
                <c:pt idx="14">
                  <c:v>2231.6</c:v>
                </c:pt>
                <c:pt idx="15">
                  <c:v>2043.8</c:v>
                </c:pt>
                <c:pt idx="16">
                  <c:v>1786</c:v>
                </c:pt>
                <c:pt idx="17">
                  <c:v>2181.6999999999998</c:v>
                </c:pt>
                <c:pt idx="18">
                  <c:v>2140.1</c:v>
                </c:pt>
                <c:pt idx="19">
                  <c:v>2016</c:v>
                </c:pt>
                <c:pt idx="20">
                  <c:v>1724.3</c:v>
                </c:pt>
                <c:pt idx="21">
                  <c:v>1910.5</c:v>
                </c:pt>
                <c:pt idx="22">
                  <c:v>1817.8</c:v>
                </c:pt>
                <c:pt idx="23">
                  <c:v>2094.6999999999998</c:v>
                </c:pt>
                <c:pt idx="24">
                  <c:v>2190.1</c:v>
                </c:pt>
                <c:pt idx="25">
                  <c:v>2311.1999999999998</c:v>
                </c:pt>
                <c:pt idx="26">
                  <c:v>2092</c:v>
                </c:pt>
                <c:pt idx="27">
                  <c:v>2174.8000000000002</c:v>
                </c:pt>
                <c:pt idx="28">
                  <c:v>2142.3000000000002</c:v>
                </c:pt>
                <c:pt idx="29">
                  <c:v>2185.9</c:v>
                </c:pt>
                <c:pt idx="30">
                  <c:v>2235.1999999999998</c:v>
                </c:pt>
                <c:pt idx="31">
                  <c:v>2273</c:v>
                </c:pt>
                <c:pt idx="32">
                  <c:v>2101.8000000000002</c:v>
                </c:pt>
                <c:pt idx="33">
                  <c:v>1900.5</c:v>
                </c:pt>
                <c:pt idx="34">
                  <c:v>1911</c:v>
                </c:pt>
                <c:pt idx="35">
                  <c:v>1978.3</c:v>
                </c:pt>
                <c:pt idx="36">
                  <c:v>1909</c:v>
                </c:pt>
                <c:pt idx="37">
                  <c:v>1878.9</c:v>
                </c:pt>
                <c:pt idx="38">
                  <c:v>2270.6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9-41B7-BA2E-6015217B3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47824"/>
        <c:axId val="129549264"/>
      </c:scatterChart>
      <c:valAx>
        <c:axId val="12954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9549264"/>
        <c:crosses val="autoZero"/>
        <c:crossBetween val="midCat"/>
      </c:valAx>
      <c:valAx>
        <c:axId val="129549264"/>
        <c:scaling>
          <c:orientation val="minMax"/>
          <c:max val="2350"/>
          <c:min val="1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954782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'with(out) b'!$D$1</c:f>
              <c:strCache>
                <c:ptCount val="1"/>
                <c:pt idx="0">
                  <c:v>Delay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b'!$D$2:$D$31</c:f>
              <c:numCache>
                <c:formatCode>0.00</c:formatCode>
                <c:ptCount val="30"/>
                <c:pt idx="0">
                  <c:v>-2.3879576474428177E-5</c:v>
                </c:pt>
                <c:pt idx="1">
                  <c:v>2.3377310018986464E-2</c:v>
                </c:pt>
                <c:pt idx="2">
                  <c:v>4.8199540004134178E-2</c:v>
                </c:pt>
                <c:pt idx="3">
                  <c:v>7.4669589754194021E-2</c:v>
                </c:pt>
                <c:pt idx="4">
                  <c:v>0.10248608002439141</c:v>
                </c:pt>
                <c:pt idx="5">
                  <c:v>0.13108148006722331</c:v>
                </c:pt>
                <c:pt idx="6">
                  <c:v>0.15949913999065757</c:v>
                </c:pt>
                <c:pt idx="7">
                  <c:v>0.18674807995557785</c:v>
                </c:pt>
                <c:pt idx="8">
                  <c:v>0.21060561994090676</c:v>
                </c:pt>
                <c:pt idx="9">
                  <c:v>0.23118619993329048</c:v>
                </c:pt>
                <c:pt idx="10">
                  <c:v>0.25095580006018281</c:v>
                </c:pt>
                <c:pt idx="11">
                  <c:v>0.27184888999909163</c:v>
                </c:pt>
                <c:pt idx="12">
                  <c:v>0.29401524970307946</c:v>
                </c:pt>
                <c:pt idx="13">
                  <c:v>0.31712369993329048</c:v>
                </c:pt>
                <c:pt idx="14">
                  <c:v>0.34147897968068719</c:v>
                </c:pt>
                <c:pt idx="15">
                  <c:v>0.36734447022899985</c:v>
                </c:pt>
                <c:pt idx="16">
                  <c:v>0.39483586000278592</c:v>
                </c:pt>
                <c:pt idx="17">
                  <c:v>0.42320293979719281</c:v>
                </c:pt>
                <c:pt idx="18">
                  <c:v>0.45104005979374051</c:v>
                </c:pt>
                <c:pt idx="19">
                  <c:v>0.47753567015752196</c:v>
                </c:pt>
                <c:pt idx="20">
                  <c:v>0.50316690001636744</c:v>
                </c:pt>
                <c:pt idx="21">
                  <c:v>0.52789886016398668</c:v>
                </c:pt>
                <c:pt idx="22">
                  <c:v>0.55183721985667944</c:v>
                </c:pt>
                <c:pt idx="23">
                  <c:v>0.57509613037109375</c:v>
                </c:pt>
                <c:pt idx="24">
                  <c:v>0.59812926966696978</c:v>
                </c:pt>
                <c:pt idx="25">
                  <c:v>0.62131485994905233</c:v>
                </c:pt>
                <c:pt idx="26">
                  <c:v>0.64507675962522626</c:v>
                </c:pt>
                <c:pt idx="27">
                  <c:v>0.66984628001227975</c:v>
                </c:pt>
                <c:pt idx="28">
                  <c:v>0.69575712969526649</c:v>
                </c:pt>
                <c:pt idx="29">
                  <c:v>0.72288371995091438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F-4C25-8981-C2981FFE8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74863"/>
        <c:axId val="1714179183"/>
      </c:lineChart>
      <c:catAx>
        <c:axId val="1714174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179183"/>
        <c:crosses val="autoZero"/>
        <c:auto val="1"/>
        <c:lblAlgn val="ctr"/>
        <c:lblOffset val="100"/>
        <c:noMultiLvlLbl val="0"/>
      </c:catAx>
      <c:valAx>
        <c:axId val="171417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17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0.1109494750656168"/>
          <c:y val="0.17171296296296298"/>
          <c:w val="0.87033092738407702"/>
          <c:h val="0.72125801983085447"/>
        </c:manualLayout>
      </c:layout>
      <c:lineChart>
        <c:grouping val="standard"/>
        <c:varyColors val="0"/>
        <c:ser>
          <c:idx val="0"/>
          <c:order val="0"/>
          <c:tx>
            <c:strRef>
              <c:f>'with(out) b'!$C$1</c:f>
              <c:strCache>
                <c:ptCount val="1"/>
                <c:pt idx="0">
                  <c:v>P c 
without 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b'!$C$2:$C$31</c:f>
              <c:numCache>
                <c:formatCode>0.00</c:formatCode>
                <c:ptCount val="30"/>
                <c:pt idx="1">
                  <c:v>82.232241309713572</c:v>
                </c:pt>
                <c:pt idx="2">
                  <c:v>82.59758518030867</c:v>
                </c:pt>
                <c:pt idx="3">
                  <c:v>82.998901509679854</c:v>
                </c:pt>
                <c:pt idx="4">
                  <c:v>83.31737476028502</c:v>
                </c:pt>
                <c:pt idx="5">
                  <c:v>83.520172969903797</c:v>
                </c:pt>
                <c:pt idx="6">
                  <c:v>83.65389039972797</c:v>
                </c:pt>
                <c:pt idx="7">
                  <c:v>83.695501110050827</c:v>
                </c:pt>
                <c:pt idx="8">
                  <c:v>83.498838920146227</c:v>
                </c:pt>
                <c:pt idx="9">
                  <c:v>82.988532879855484</c:v>
                </c:pt>
                <c:pt idx="10">
                  <c:v>82.369018840137869</c:v>
                </c:pt>
                <c:pt idx="11">
                  <c:v>81.91104662977159</c:v>
                </c:pt>
                <c:pt idx="12">
                  <c:v>81.687207540031523</c:v>
                </c:pt>
                <c:pt idx="13">
                  <c:v>81.668233090080321</c:v>
                </c:pt>
                <c:pt idx="14">
                  <c:v>81.837550689931959</c:v>
                </c:pt>
                <c:pt idx="15">
                  <c:v>82.203703570179641</c:v>
                </c:pt>
                <c:pt idx="16">
                  <c:v>82.755657330155373</c:v>
                </c:pt>
                <c:pt idx="17">
                  <c:v>83.365709799807519</c:v>
                </c:pt>
                <c:pt idx="18">
                  <c:v>83.77575471997261</c:v>
                </c:pt>
                <c:pt idx="19">
                  <c:v>83.820002519991249</c:v>
                </c:pt>
                <c:pt idx="20">
                  <c:v>83.557948780246079</c:v>
                </c:pt>
                <c:pt idx="21">
                  <c:v>83.140604519750923</c:v>
                </c:pt>
                <c:pt idx="22">
                  <c:v>82.682662540115416</c:v>
                </c:pt>
                <c:pt idx="23">
                  <c:v>82.266020310111344</c:v>
                </c:pt>
                <c:pt idx="24">
                  <c:v>81.955439389683306</c:v>
                </c:pt>
                <c:pt idx="25">
                  <c:v>81.788308320101351</c:v>
                </c:pt>
                <c:pt idx="26">
                  <c:v>81.77866660989821</c:v>
                </c:pt>
                <c:pt idx="27">
                  <c:v>81.929635640233755</c:v>
                </c:pt>
                <c:pt idx="28">
                  <c:v>82.235440579708666</c:v>
                </c:pt>
                <c:pt idx="29">
                  <c:v>82.658779990393668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0-40DB-BD78-C68DC2EA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66703"/>
        <c:axId val="1714169103"/>
      </c:lineChart>
      <c:catAx>
        <c:axId val="1714166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169103"/>
        <c:crosses val="autoZero"/>
        <c:auto val="1"/>
        <c:lblAlgn val="ctr"/>
        <c:lblOffset val="100"/>
        <c:noMultiLvlLbl val="0"/>
      </c:catAx>
      <c:valAx>
        <c:axId val="171416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16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Rebound2!$D$27</c:f>
              <c:strCache>
                <c:ptCount val="1"/>
                <c:pt idx="0">
                  <c:v>sim time Ø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Rebound2!$C$28:$C$32</c:f>
              <c:numCache>
                <c:formatCode>General</c:formatCode>
                <c:ptCount val="5"/>
                <c:pt idx="0">
                  <c:v>16</c:v>
                </c:pt>
                <c:pt idx="1">
                  <c:v>146</c:v>
                </c:pt>
                <c:pt idx="2">
                  <c:v>721</c:v>
                </c:pt>
                <c:pt idx="3">
                  <c:v>7201</c:v>
                </c:pt>
                <c:pt idx="4">
                  <c:v>7202</c:v>
                </c:pt>
              </c:numCache>
            </c:numRef>
          </c:xVal>
          <c:yVal>
            <c:numRef>
              <c:f>Rebound2!$D$28:$D$32</c:f>
              <c:numCache>
                <c:formatCode>General</c:formatCode>
                <c:ptCount val="5"/>
                <c:pt idx="0" formatCode="0.0000">
                  <c:v>7.0000000000000001E-3</c:v>
                </c:pt>
                <c:pt idx="1">
                  <c:v>9.4999999999999998E-3</c:v>
                </c:pt>
                <c:pt idx="2">
                  <c:v>2.5500000000000002E-2</c:v>
                </c:pt>
                <c:pt idx="3">
                  <c:v>0.16250000000000001</c:v>
                </c:pt>
                <c:pt idx="4">
                  <c:v>0.1575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C-4A46-A12E-2F101898E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11744"/>
        <c:axId val="444913184"/>
      </c:scatterChart>
      <c:valAx>
        <c:axId val="44491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4913184"/>
        <c:crosses val="autoZero"/>
        <c:crossBetween val="midCat"/>
      </c:valAx>
      <c:valAx>
        <c:axId val="4449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49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Transits!$E$30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Transits!$E$31:$E$51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Transits!$F$30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Transits!$F$31:$F$51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chart" Target="../charts/chart5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image" Target="../media/image27.png"/><Relationship Id="rId1" Type="http://schemas.openxmlformats.org/officeDocument/2006/relationships/chart" Target="../charts/chart7.xml"/><Relationship Id="rId5" Type="http://schemas.openxmlformats.org/officeDocument/2006/relationships/image" Target="../media/image28.png"/><Relationship Id="rId4" Type="http://schemas.openxmlformats.org/officeDocument/2006/relationships/chart" Target="../charts/chart9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7.xml"/><Relationship Id="rId3" Type="http://schemas.openxmlformats.org/officeDocument/2006/relationships/chart" Target="../charts/chart22.xml"/><Relationship Id="rId7" Type="http://schemas.openxmlformats.org/officeDocument/2006/relationships/chart" Target="../charts/chart26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6" Type="http://schemas.openxmlformats.org/officeDocument/2006/relationships/chart" Target="../charts/chart25.xml"/><Relationship Id="rId5" Type="http://schemas.openxmlformats.org/officeDocument/2006/relationships/chart" Target="../charts/chart24.xml"/><Relationship Id="rId10" Type="http://schemas.openxmlformats.org/officeDocument/2006/relationships/chart" Target="../charts/chart29.xml"/><Relationship Id="rId4" Type="http://schemas.openxmlformats.org/officeDocument/2006/relationships/chart" Target="../charts/chart23.xml"/><Relationship Id="rId9" Type="http://schemas.openxmlformats.org/officeDocument/2006/relationships/chart" Target="../charts/chart28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7.xml"/><Relationship Id="rId3" Type="http://schemas.openxmlformats.org/officeDocument/2006/relationships/chart" Target="../charts/chart42.xml"/><Relationship Id="rId7" Type="http://schemas.openxmlformats.org/officeDocument/2006/relationships/chart" Target="../charts/chart46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6" Type="http://schemas.openxmlformats.org/officeDocument/2006/relationships/chart" Target="../charts/chart45.xml"/><Relationship Id="rId5" Type="http://schemas.openxmlformats.org/officeDocument/2006/relationships/chart" Target="../charts/chart44.xml"/><Relationship Id="rId10" Type="http://schemas.openxmlformats.org/officeDocument/2006/relationships/chart" Target="../charts/chart49.xml"/><Relationship Id="rId4" Type="http://schemas.openxmlformats.org/officeDocument/2006/relationships/chart" Target="../charts/chart43.xml"/><Relationship Id="rId9" Type="http://schemas.openxmlformats.org/officeDocument/2006/relationships/chart" Target="../charts/chart4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247728</xdr:colOff>
      <xdr:row>4</xdr:row>
      <xdr:rowOff>66674</xdr:rowOff>
    </xdr:from>
    <xdr:to>
      <xdr:col>12</xdr:col>
      <xdr:colOff>620441</xdr:colOff>
      <xdr:row>22</xdr:row>
      <xdr:rowOff>38099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DA819F0-4060-2AD7-220C-B4448426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328" y="838199"/>
          <a:ext cx="3954113" cy="3419475"/>
        </a:xfrm>
        <a:prstGeom prst="rect">
          <a:avLst/>
        </a:prstGeom>
      </xdr:spPr>
    </xdr:pic>
    <xdr:clientData/>
  </xdr:twoCellAnchor>
  <xdr:twoCellAnchor editAs="oneCell">
    <xdr:from>
      <xdr:col>12</xdr:col>
      <xdr:colOff>647700</xdr:colOff>
      <xdr:row>15</xdr:row>
      <xdr:rowOff>76815</xdr:rowOff>
    </xdr:from>
    <xdr:to>
      <xdr:col>18</xdr:col>
      <xdr:colOff>133350</xdr:colOff>
      <xdr:row>26</xdr:row>
      <xdr:rowOff>171450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B600FAE-4503-8052-5948-2110111C1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34700" y="2953365"/>
          <a:ext cx="4057650" cy="22091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515938</xdr:colOff>
      <xdr:row>66</xdr:row>
      <xdr:rowOff>148828</xdr:rowOff>
    </xdr:from>
    <xdr:to>
      <xdr:col>14</xdr:col>
      <xdr:colOff>305226</xdr:colOff>
      <xdr:row>99</xdr:row>
      <xdr:rowOff>104058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241761E-AD12-4409-9400-BCE88109B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99844" y="12590859"/>
          <a:ext cx="5901163" cy="61762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128992</xdr:rowOff>
    </xdr:from>
    <xdr:to>
      <xdr:col>23</xdr:col>
      <xdr:colOff>339539</xdr:colOff>
      <xdr:row>50</xdr:row>
      <xdr:rowOff>121451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C0BC4771-201A-58AB-77CE-95A7BE64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1953" y="3333758"/>
          <a:ext cx="15619227" cy="6213474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50</xdr:row>
      <xdr:rowOff>148835</xdr:rowOff>
    </xdr:from>
    <xdr:to>
      <xdr:col>25</xdr:col>
      <xdr:colOff>95250</xdr:colOff>
      <xdr:row>63</xdr:row>
      <xdr:rowOff>178602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3DDE6D6-7BC8-95EE-1416-0C2C4024E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704850</xdr:colOff>
      <xdr:row>20</xdr:row>
      <xdr:rowOff>142875</xdr:rowOff>
    </xdr:from>
    <xdr:to>
      <xdr:col>15</xdr:col>
      <xdr:colOff>704850</xdr:colOff>
      <xdr:row>31</xdr:row>
      <xdr:rowOff>180975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74197AE-78FA-4818-A8DD-29F304B4B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685800</xdr:colOff>
      <xdr:row>9</xdr:row>
      <xdr:rowOff>133350</xdr:rowOff>
    </xdr:from>
    <xdr:to>
      <xdr:col>15</xdr:col>
      <xdr:colOff>685800</xdr:colOff>
      <xdr:row>19</xdr:row>
      <xdr:rowOff>152400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8B5BB8C-A703-4708-B11B-59137E42E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676275</xdr:colOff>
      <xdr:row>0</xdr:row>
      <xdr:rowOff>171449</xdr:rowOff>
    </xdr:from>
    <xdr:to>
      <xdr:col>15</xdr:col>
      <xdr:colOff>695325</xdr:colOff>
      <xdr:row>9</xdr:row>
      <xdr:rowOff>28574</xdr:rowOff>
    </xdr:to>
    <xdr:sp macro="" textlink="">
      <xdr:nvSpPr>
        <xdr:cNvPr id="7" name="Textfeld 6">
          <a:extLst>
            <a:ext uri="{FF2B5EF4-FFF2-40B4-BE49-F238E27FC236}">
              <a16:creationId xmlns:a16="http://schemas.microsoft.com/office/drawing/2014/main" id="{76A4B814-1CE0-3442-FDC9-420D687720AC}"/>
            </a:ext>
          </a:extLst>
        </xdr:cNvPr>
        <xdr:cNvSpPr txBox="1"/>
      </xdr:nvSpPr>
      <xdr:spPr>
        <a:xfrm>
          <a:off x="8067675" y="171449"/>
          <a:ext cx="4591050" cy="17621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Without planet b, planet c transits become 0.72 days delayed between BJD 2458400 and 2460800 because, on average, planet c is slowed down by 0.03%.</a:t>
          </a:r>
        </a:p>
        <a:p>
          <a:endParaRPr lang="de-DE" sz="1100"/>
        </a:p>
        <a:p>
          <a:r>
            <a:rPr lang="de-DE" sz="1100"/>
            <a:t>Planet d also gets slowed down by 0.03%.</a:t>
          </a:r>
        </a:p>
        <a:p>
          <a:endParaRPr lang="de-DE" sz="1100"/>
        </a:p>
        <a:p>
          <a:r>
            <a:rPr lang="de-DE" sz="1100"/>
            <a:t>Therefore, a meaningful transit analysis with a n-body-software is only possible when planet b is included.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38100</xdr:rowOff>
    </xdr:from>
    <xdr:to>
      <xdr:col>2</xdr:col>
      <xdr:colOff>647930</xdr:colOff>
      <xdr:row>3</xdr:row>
      <xdr:rowOff>114390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7A497FA-78E7-1903-D108-5351E0A4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8100"/>
          <a:ext cx="1648055" cy="64779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19</xdr:col>
      <xdr:colOff>361950</xdr:colOff>
      <xdr:row>9</xdr:row>
      <xdr:rowOff>76200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41046FE0-6460-4664-8E3B-825A932D4032}"/>
            </a:ext>
          </a:extLst>
        </xdr:cNvPr>
        <xdr:cNvSpPr txBox="1"/>
      </xdr:nvSpPr>
      <xdr:spPr>
        <a:xfrm>
          <a:off x="11934825" y="190500"/>
          <a:ext cx="4171950" cy="1600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intervall.</a:t>
          </a:r>
        </a:p>
        <a:p>
          <a:r>
            <a:rPr lang="de-DE" sz="1100" baseline="0"/>
            <a:t>T0 is now 2458400 instead of 2458400.011.</a:t>
          </a:r>
        </a:p>
        <a:p>
          <a:r>
            <a:rPr lang="de-DE" sz="1100" baseline="0"/>
            <a:t>Now comparing all transit parameters of the same c-transit as before.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  <a:endParaRPr lang="de-DE">
            <a:effectLst/>
          </a:endParaRP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now.</a:t>
          </a: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7</xdr:col>
      <xdr:colOff>571500</xdr:colOff>
      <xdr:row>26</xdr:row>
      <xdr:rowOff>61911</xdr:rowOff>
    </xdr:from>
    <xdr:to>
      <xdr:col>13</xdr:col>
      <xdr:colOff>0</xdr:colOff>
      <xdr:row>44</xdr:row>
      <xdr:rowOff>161924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196FF01-2A33-D114-759F-B48080E9C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29</xdr:row>
      <xdr:rowOff>84771</xdr:rowOff>
    </xdr:from>
    <xdr:to>
      <xdr:col>14</xdr:col>
      <xdr:colOff>498751</xdr:colOff>
      <xdr:row>43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59</xdr:row>
      <xdr:rowOff>130492</xdr:rowOff>
    </xdr:from>
    <xdr:to>
      <xdr:col>14</xdr:col>
      <xdr:colOff>489962</xdr:colOff>
      <xdr:row>72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44</xdr:row>
      <xdr:rowOff>25592</xdr:rowOff>
    </xdr:from>
    <xdr:to>
      <xdr:col>16</xdr:col>
      <xdr:colOff>653631</xdr:colOff>
      <xdr:row>57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8986</xdr:colOff>
      <xdr:row>3</xdr:row>
      <xdr:rowOff>21207</xdr:rowOff>
    </xdr:from>
    <xdr:to>
      <xdr:col>24</xdr:col>
      <xdr:colOff>187802</xdr:colOff>
      <xdr:row>14</xdr:row>
      <xdr:rowOff>125802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27</xdr:row>
      <xdr:rowOff>28755</xdr:rowOff>
    </xdr:from>
    <xdr:to>
      <xdr:col>21</xdr:col>
      <xdr:colOff>280360</xdr:colOff>
      <xdr:row>43</xdr:row>
      <xdr:rowOff>10660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2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csgnetwork.com/juliangregcalconv.html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ED8F3-A2B7-4D50-A688-7751327C6D77}">
  <dimension ref="A1:P44"/>
  <sheetViews>
    <sheetView topLeftCell="A15" workbookViewId="0">
      <selection activeCell="J31" sqref="J31"/>
    </sheetView>
  </sheetViews>
  <sheetFormatPr baseColWidth="10" defaultRowHeight="15"/>
  <cols>
    <col min="3" max="3" width="12.7109375" customWidth="1"/>
    <col min="4" max="4" width="16.28515625" bestFit="1" customWidth="1"/>
    <col min="6" max="6" width="14.42578125" bestFit="1" customWidth="1"/>
    <col min="7" max="7" width="14.5703125" bestFit="1" customWidth="1"/>
    <col min="12" max="12" width="19.42578125" bestFit="1" customWidth="1"/>
  </cols>
  <sheetData>
    <row r="1" spans="1:16" s="262" customFormat="1" ht="15.75" thickBot="1">
      <c r="A1" s="263" t="s">
        <v>127</v>
      </c>
      <c r="B1" s="263" t="s">
        <v>24</v>
      </c>
      <c r="C1" s="263" t="s">
        <v>43</v>
      </c>
      <c r="D1" s="263" t="s">
        <v>29</v>
      </c>
      <c r="E1" s="263" t="s">
        <v>242</v>
      </c>
      <c r="F1" s="269" t="s">
        <v>242</v>
      </c>
      <c r="G1" s="263" t="s">
        <v>243</v>
      </c>
      <c r="H1" s="269" t="s">
        <v>243</v>
      </c>
    </row>
    <row r="2" spans="1:16">
      <c r="A2" s="8" t="s">
        <v>20</v>
      </c>
      <c r="B2" s="16">
        <v>3</v>
      </c>
      <c r="C2" s="16" t="s">
        <v>36</v>
      </c>
      <c r="D2" s="12">
        <v>2458401.4085999997</v>
      </c>
      <c r="E2">
        <v>2458400.9128384702</v>
      </c>
      <c r="F2" s="265">
        <f>D2-E2</f>
        <v>0.49576152954250574</v>
      </c>
      <c r="G2" s="1" t="s">
        <v>0</v>
      </c>
      <c r="H2" s="1" t="s">
        <v>258</v>
      </c>
    </row>
    <row r="3" spans="1:16">
      <c r="A3" s="8" t="s">
        <v>20</v>
      </c>
      <c r="B3" s="16">
        <v>6</v>
      </c>
      <c r="C3" s="16" t="s">
        <v>37</v>
      </c>
      <c r="D3" s="12">
        <v>2458483.2110000001</v>
      </c>
      <c r="E3">
        <v>2458482.9570659301</v>
      </c>
      <c r="F3" s="265">
        <f>D3-E3</f>
        <v>0.25393407000228763</v>
      </c>
      <c r="G3" t="s">
        <v>247</v>
      </c>
      <c r="H3" s="266">
        <f t="shared" ref="H3:H16" si="0">G3-D3</f>
        <v>-1.4920000000856817</v>
      </c>
    </row>
    <row r="4" spans="1:16">
      <c r="A4" s="8" t="s">
        <v>20</v>
      </c>
      <c r="B4" s="16">
        <v>9</v>
      </c>
      <c r="C4" s="16" t="s">
        <v>38</v>
      </c>
      <c r="D4" s="12">
        <v>2458565.0902</v>
      </c>
      <c r="E4">
        <v>2458565.3506475999</v>
      </c>
      <c r="F4" s="265">
        <f t="shared" ref="F4:F13" si="1">D4-E4</f>
        <v>-0.2604475999251008</v>
      </c>
      <c r="G4" t="s">
        <v>248</v>
      </c>
      <c r="H4" s="265">
        <f t="shared" si="0"/>
        <v>-0.7421999997459352</v>
      </c>
      <c r="J4" t="s">
        <v>280</v>
      </c>
      <c r="K4" t="s">
        <v>281</v>
      </c>
    </row>
    <row r="5" spans="1:16">
      <c r="A5" s="8" t="s">
        <v>20</v>
      </c>
      <c r="B5" s="16">
        <v>12</v>
      </c>
      <c r="C5" s="16" t="s">
        <v>39</v>
      </c>
      <c r="D5" s="12">
        <v>2458647.3328</v>
      </c>
      <c r="E5">
        <v>2458648.1532488898</v>
      </c>
      <c r="F5" s="266">
        <f t="shared" si="1"/>
        <v>-0.820448889862746</v>
      </c>
      <c r="G5" t="s">
        <v>249</v>
      </c>
      <c r="H5" s="264">
        <f t="shared" si="0"/>
        <v>-8.7999999523162842E-3</v>
      </c>
    </row>
    <row r="6" spans="1:16">
      <c r="A6" s="8" t="s">
        <v>20</v>
      </c>
      <c r="B6" s="16">
        <v>28</v>
      </c>
      <c r="C6" s="16" t="s">
        <v>32</v>
      </c>
      <c r="D6" s="12">
        <v>2459065.2370000002</v>
      </c>
      <c r="E6">
        <v>2459065.3408730798</v>
      </c>
      <c r="F6" s="265">
        <f t="shared" si="1"/>
        <v>-0.10387307964265347</v>
      </c>
      <c r="G6" t="s">
        <v>250</v>
      </c>
      <c r="H6" s="264">
        <f t="shared" si="0"/>
        <v>3.0000000260770321E-3</v>
      </c>
    </row>
    <row r="7" spans="1:16">
      <c r="A7" s="8" t="s">
        <v>20</v>
      </c>
      <c r="B7" s="16">
        <v>31</v>
      </c>
      <c r="C7" s="16" t="s">
        <v>33</v>
      </c>
      <c r="D7" s="12">
        <v>2459148.4781999998</v>
      </c>
      <c r="E7">
        <v>2459148.47457963</v>
      </c>
      <c r="F7" s="264">
        <f t="shared" si="1"/>
        <v>3.6203698255121708E-3</v>
      </c>
      <c r="G7" t="s">
        <v>251</v>
      </c>
      <c r="H7" s="264">
        <f t="shared" si="0"/>
        <v>7.8000002540647984E-3</v>
      </c>
    </row>
    <row r="8" spans="1:16">
      <c r="A8" s="8" t="s">
        <v>20</v>
      </c>
      <c r="B8" s="16">
        <v>34</v>
      </c>
      <c r="C8" s="16" t="s">
        <v>34</v>
      </c>
      <c r="D8" s="12">
        <v>2459231.1144000003</v>
      </c>
      <c r="E8">
        <v>2459231.0354045499</v>
      </c>
      <c r="F8" s="265">
        <f t="shared" si="1"/>
        <v>7.8995450399816036E-2</v>
      </c>
      <c r="G8" t="s">
        <v>252</v>
      </c>
      <c r="H8" s="264">
        <f t="shared" si="0"/>
        <v>-3.4000002779066563E-3</v>
      </c>
    </row>
    <row r="9" spans="1:16">
      <c r="A9" s="8" t="s">
        <v>20</v>
      </c>
      <c r="B9" s="16">
        <v>37</v>
      </c>
      <c r="C9" s="16" t="s">
        <v>35</v>
      </c>
      <c r="D9" s="12">
        <v>2459313.2535000001</v>
      </c>
      <c r="E9">
        <v>2459313.0745994402</v>
      </c>
      <c r="F9" s="265">
        <f t="shared" si="1"/>
        <v>0.17890055989846587</v>
      </c>
      <c r="G9" t="s">
        <v>253</v>
      </c>
      <c r="H9" s="264">
        <f t="shared" si="0"/>
        <v>-3.5000001080334187E-3</v>
      </c>
    </row>
    <row r="10" spans="1:16">
      <c r="A10" s="8" t="s">
        <v>20</v>
      </c>
      <c r="B10" s="16">
        <v>61</v>
      </c>
      <c r="C10" s="16" t="s">
        <v>40</v>
      </c>
      <c r="D10" s="12">
        <v>2459976.0493000001</v>
      </c>
      <c r="E10">
        <v>2459971.61253152</v>
      </c>
      <c r="F10" s="266">
        <f t="shared" si="1"/>
        <v>4.4367684801109135</v>
      </c>
      <c r="G10" t="s">
        <v>254</v>
      </c>
      <c r="H10" s="265">
        <f t="shared" si="0"/>
        <v>0.15469999983906746</v>
      </c>
    </row>
    <row r="11" spans="1:16">
      <c r="A11" s="8" t="s">
        <v>20</v>
      </c>
      <c r="B11" s="17">
        <v>64</v>
      </c>
      <c r="C11" s="17" t="s">
        <v>41</v>
      </c>
      <c r="D11" s="12">
        <v>2460059.6189000001</v>
      </c>
      <c r="E11">
        <v>2460055.3788748099</v>
      </c>
      <c r="F11" s="266">
        <f t="shared" si="1"/>
        <v>4.2400251901708543</v>
      </c>
      <c r="G11" t="s">
        <v>255</v>
      </c>
      <c r="H11" s="264">
        <f t="shared" si="0"/>
        <v>-3.8999998942017555E-3</v>
      </c>
    </row>
    <row r="12" spans="1:16">
      <c r="A12" s="8" t="s">
        <v>20</v>
      </c>
      <c r="B12" s="17">
        <v>67</v>
      </c>
      <c r="C12" s="17" t="s">
        <v>42</v>
      </c>
      <c r="D12" s="12">
        <v>2460142.6048000003</v>
      </c>
      <c r="E12">
        <v>2460138.8980950899</v>
      </c>
      <c r="F12" s="266">
        <f t="shared" si="1"/>
        <v>3.7067049103789032</v>
      </c>
      <c r="G12" t="s">
        <v>256</v>
      </c>
      <c r="H12" s="264">
        <f t="shared" si="0"/>
        <v>1.2199999764561653E-2</v>
      </c>
    </row>
    <row r="13" spans="1:16" ht="15.75" thickBot="1">
      <c r="A13" s="97" t="s">
        <v>20</v>
      </c>
      <c r="B13" s="98">
        <v>89</v>
      </c>
      <c r="C13" s="98" t="s">
        <v>110</v>
      </c>
      <c r="D13" s="100">
        <v>2460718.6125820568</v>
      </c>
      <c r="E13" s="262">
        <v>2460713.49076935</v>
      </c>
      <c r="F13" s="267">
        <f t="shared" si="1"/>
        <v>5.1218127068132162</v>
      </c>
      <c r="G13" s="262" t="s">
        <v>257</v>
      </c>
      <c r="H13" s="298">
        <f t="shared" si="0"/>
        <v>4.4179433025419712E-3</v>
      </c>
    </row>
    <row r="14" spans="1:16">
      <c r="A14" s="8" t="s">
        <v>21</v>
      </c>
      <c r="B14" s="17">
        <v>88</v>
      </c>
      <c r="C14" s="17" t="s">
        <v>36</v>
      </c>
      <c r="D14" s="7">
        <v>2460695.5345518598</v>
      </c>
      <c r="E14" s="1" t="s">
        <v>0</v>
      </c>
      <c r="F14" s="268" t="s">
        <v>258</v>
      </c>
      <c r="G14" t="s">
        <v>244</v>
      </c>
      <c r="H14" s="266">
        <f t="shared" si="0"/>
        <v>-14.898551859892905</v>
      </c>
      <c r="O14" t="s">
        <v>282</v>
      </c>
      <c r="P14" t="s">
        <v>281</v>
      </c>
    </row>
    <row r="15" spans="1:16">
      <c r="A15" s="8" t="s">
        <v>21</v>
      </c>
      <c r="B15" s="17">
        <v>89</v>
      </c>
      <c r="C15" s="17" t="s">
        <v>37</v>
      </c>
      <c r="D15" s="7">
        <v>2460736.6349054021</v>
      </c>
      <c r="E15" s="1" t="s">
        <v>0</v>
      </c>
      <c r="F15" s="268" t="s">
        <v>258</v>
      </c>
      <c r="G15" t="s">
        <v>245</v>
      </c>
      <c r="H15" s="266">
        <f t="shared" si="0"/>
        <v>-15.291905402205884</v>
      </c>
    </row>
    <row r="16" spans="1:16">
      <c r="A16" s="8" t="s">
        <v>21</v>
      </c>
      <c r="B16" s="17">
        <v>94</v>
      </c>
      <c r="C16" s="17" t="s">
        <v>71</v>
      </c>
      <c r="D16" s="7">
        <v>2460859.2275</v>
      </c>
      <c r="E16" s="1" t="s">
        <v>0</v>
      </c>
      <c r="F16" s="268" t="s">
        <v>258</v>
      </c>
      <c r="G16" t="s">
        <v>246</v>
      </c>
      <c r="H16" s="266">
        <f t="shared" si="0"/>
        <v>-17.38150000013411</v>
      </c>
    </row>
    <row r="19" spans="1:10" ht="15.75" thickBot="1"/>
    <row r="20" spans="1:10">
      <c r="C20" s="306"/>
      <c r="D20" s="303" t="s">
        <v>278</v>
      </c>
      <c r="E20" s="304" t="s">
        <v>275</v>
      </c>
      <c r="F20" s="305" t="s">
        <v>279</v>
      </c>
    </row>
    <row r="21" spans="1:10">
      <c r="C21" s="307" t="s">
        <v>276</v>
      </c>
      <c r="D21">
        <v>2.2999999999999998</v>
      </c>
      <c r="E21" s="299">
        <v>0.52</v>
      </c>
      <c r="F21" s="300">
        <f>E21*15</f>
        <v>7.8000000000000007</v>
      </c>
    </row>
    <row r="22" spans="1:10">
      <c r="C22" s="307" t="s">
        <v>277</v>
      </c>
      <c r="D22">
        <v>1</v>
      </c>
      <c r="E22" s="301">
        <f>1-E21</f>
        <v>0.48</v>
      </c>
      <c r="F22" s="300">
        <f>E22*15</f>
        <v>7.1999999999999993</v>
      </c>
    </row>
    <row r="23" spans="1:10" ht="15.75" thickBot="1">
      <c r="C23" s="308" t="s">
        <v>274</v>
      </c>
      <c r="D23" s="296">
        <v>1.68</v>
      </c>
      <c r="E23" s="302">
        <f>D21*E21+D22*E22</f>
        <v>1.6759999999999999</v>
      </c>
      <c r="F23" s="297"/>
    </row>
    <row r="29" spans="1:10" ht="15.75" thickBot="1">
      <c r="A29" s="263" t="s">
        <v>127</v>
      </c>
      <c r="B29" s="263" t="s">
        <v>24</v>
      </c>
      <c r="C29" s="263" t="s">
        <v>43</v>
      </c>
      <c r="D29" s="263" t="s">
        <v>29</v>
      </c>
      <c r="E29" s="263" t="s">
        <v>283</v>
      </c>
      <c r="F29" s="269" t="s">
        <v>284</v>
      </c>
      <c r="G29" s="263" t="s">
        <v>285</v>
      </c>
      <c r="H29" s="269" t="s">
        <v>284</v>
      </c>
    </row>
    <row r="30" spans="1:10">
      <c r="A30" s="8" t="s">
        <v>20</v>
      </c>
      <c r="B30" s="16">
        <v>3</v>
      </c>
      <c r="C30" s="16" t="s">
        <v>36</v>
      </c>
      <c r="D30" s="12">
        <v>2458401.4085999997</v>
      </c>
      <c r="E30" s="3">
        <v>2458401.34656219</v>
      </c>
      <c r="F30" s="313">
        <f>D30-E30</f>
        <v>6.2037809751927853E-2</v>
      </c>
      <c r="G30" s="310">
        <v>2458400</v>
      </c>
      <c r="H30" s="266">
        <f t="shared" ref="H30:H44" si="2">G30-D30</f>
        <v>-1.4085999997332692</v>
      </c>
    </row>
    <row r="31" spans="1:10">
      <c r="A31" s="8" t="s">
        <v>20</v>
      </c>
      <c r="B31" s="16">
        <v>6</v>
      </c>
      <c r="C31" s="16" t="s">
        <v>37</v>
      </c>
      <c r="D31" s="12">
        <v>2458483.2110000001</v>
      </c>
      <c r="E31">
        <v>2458483.2358200201</v>
      </c>
      <c r="F31" s="311">
        <f>D31-E31</f>
        <v>-2.4820019956678152E-2</v>
      </c>
      <c r="G31">
        <v>2458482.4788664202</v>
      </c>
      <c r="H31" s="266">
        <f t="shared" si="2"/>
        <v>-0.73213357990607619</v>
      </c>
      <c r="I31" s="119">
        <f>G31-G30</f>
        <v>82.478866420220584</v>
      </c>
      <c r="J31" s="119">
        <f>I32-I31</f>
        <v>0.31655220966786146</v>
      </c>
    </row>
    <row r="32" spans="1:10">
      <c r="A32" s="8" t="s">
        <v>20</v>
      </c>
      <c r="B32" s="16">
        <v>9</v>
      </c>
      <c r="C32" s="16" t="s">
        <v>38</v>
      </c>
      <c r="D32" s="12">
        <v>2458565.0902</v>
      </c>
      <c r="E32">
        <v>2458565.5338442898</v>
      </c>
      <c r="F32" s="266">
        <f t="shared" ref="F32:F44" si="3">D32-E32</f>
        <v>-0.44364428985863924</v>
      </c>
      <c r="G32">
        <v>2458565.2742850501</v>
      </c>
      <c r="H32" s="265">
        <f t="shared" si="2"/>
        <v>0.18408505013212562</v>
      </c>
      <c r="I32" s="119">
        <f t="shared" ref="I32:I40" si="4">G32-G31</f>
        <v>82.795418629888445</v>
      </c>
      <c r="J32" s="119">
        <f>I33-I32</f>
        <v>0.15729048009961843</v>
      </c>
    </row>
    <row r="33" spans="1:9">
      <c r="A33" s="8" t="s">
        <v>20</v>
      </c>
      <c r="B33" s="16">
        <v>12</v>
      </c>
      <c r="C33" s="16" t="s">
        <v>39</v>
      </c>
      <c r="D33" s="12">
        <v>2458647.3328</v>
      </c>
      <c r="E33">
        <v>2458648.3835011702</v>
      </c>
      <c r="F33" s="266">
        <f t="shared" si="3"/>
        <v>-1.0507011702284217</v>
      </c>
      <c r="G33">
        <v>2458648.2269941601</v>
      </c>
      <c r="H33" s="266">
        <f t="shared" si="2"/>
        <v>0.89419416012242436</v>
      </c>
      <c r="I33" s="119">
        <f t="shared" si="4"/>
        <v>82.952709109988064</v>
      </c>
    </row>
    <row r="34" spans="1:9">
      <c r="A34" s="8" t="s">
        <v>20</v>
      </c>
      <c r="B34" s="16">
        <v>28</v>
      </c>
      <c r="C34" s="16" t="s">
        <v>32</v>
      </c>
      <c r="D34" s="12">
        <v>2459065.2370000002</v>
      </c>
      <c r="E34">
        <v>2459067.58130976</v>
      </c>
      <c r="F34" s="266">
        <f t="shared" si="3"/>
        <v>-2.3443097597919405</v>
      </c>
      <c r="G34">
        <v>2459065.2828526702</v>
      </c>
      <c r="H34" s="311">
        <f t="shared" si="2"/>
        <v>4.5852669980376959E-2</v>
      </c>
      <c r="I34" s="119"/>
    </row>
    <row r="35" spans="1:9">
      <c r="A35" s="8" t="s">
        <v>20</v>
      </c>
      <c r="B35" s="16">
        <v>31</v>
      </c>
      <c r="C35" s="16" t="s">
        <v>33</v>
      </c>
      <c r="D35" s="12">
        <v>2459148.4781999998</v>
      </c>
      <c r="E35">
        <v>2459151.2582018399</v>
      </c>
      <c r="F35" s="266">
        <f t="shared" si="3"/>
        <v>-2.7800018400885165</v>
      </c>
      <c r="G35">
        <v>2459148.4178027599</v>
      </c>
      <c r="H35" s="311">
        <f t="shared" si="2"/>
        <v>-6.0397239867597818E-2</v>
      </c>
      <c r="I35" s="119">
        <f t="shared" si="4"/>
        <v>83.134950089734048</v>
      </c>
    </row>
    <row r="36" spans="1:9">
      <c r="A36" s="8" t="s">
        <v>20</v>
      </c>
      <c r="B36" s="16">
        <v>34</v>
      </c>
      <c r="C36" s="16" t="s">
        <v>34</v>
      </c>
      <c r="D36" s="12">
        <v>2459231.1144000003</v>
      </c>
      <c r="E36">
        <v>2459234.22384449</v>
      </c>
      <c r="F36" s="266">
        <f t="shared" si="3"/>
        <v>-3.1094444897025824</v>
      </c>
      <c r="G36">
        <v>2459231.0675944402</v>
      </c>
      <c r="H36" s="311">
        <f t="shared" si="2"/>
        <v>-4.6805560123175383E-2</v>
      </c>
      <c r="I36" s="119">
        <f t="shared" si="4"/>
        <v>82.649791680276394</v>
      </c>
    </row>
    <row r="37" spans="1:9">
      <c r="A37" s="8" t="s">
        <v>20</v>
      </c>
      <c r="B37" s="16">
        <v>37</v>
      </c>
      <c r="C37" s="16" t="s">
        <v>35</v>
      </c>
      <c r="D37" s="12">
        <v>2459313.2535000001</v>
      </c>
      <c r="E37">
        <v>2459316.4694316899</v>
      </c>
      <c r="F37" s="266">
        <f t="shared" si="3"/>
        <v>-3.2159316898323596</v>
      </c>
      <c r="G37">
        <v>2459313.3422793001</v>
      </c>
      <c r="H37" s="311">
        <f t="shared" si="2"/>
        <v>8.8779299985617399E-2</v>
      </c>
      <c r="I37" s="119">
        <f t="shared" si="4"/>
        <v>82.274684859905392</v>
      </c>
    </row>
    <row r="38" spans="1:9">
      <c r="A38" s="8" t="s">
        <v>20</v>
      </c>
      <c r="B38" s="16">
        <v>61</v>
      </c>
      <c r="C38" s="16" t="s">
        <v>40</v>
      </c>
      <c r="D38" s="12">
        <v>2459976.0493000001</v>
      </c>
      <c r="E38">
        <v>2459974.6350850202</v>
      </c>
      <c r="F38" s="266">
        <f t="shared" si="3"/>
        <v>1.4142149798572063</v>
      </c>
      <c r="G38">
        <v>2459976.1198036098</v>
      </c>
      <c r="H38" s="311">
        <f t="shared" si="2"/>
        <v>7.0503609720617533E-2</v>
      </c>
      <c r="I38" s="119"/>
    </row>
    <row r="39" spans="1:9">
      <c r="A39" s="8" t="s">
        <v>20</v>
      </c>
      <c r="B39" s="17">
        <v>64</v>
      </c>
      <c r="C39" s="17" t="s">
        <v>41</v>
      </c>
      <c r="D39" s="12">
        <v>2460059.6189000001</v>
      </c>
      <c r="E39">
        <v>2460058.8838085998</v>
      </c>
      <c r="F39" s="266">
        <f t="shared" si="3"/>
        <v>0.73509140033274889</v>
      </c>
      <c r="G39">
        <v>2460059.5661981199</v>
      </c>
      <c r="H39" s="311">
        <f t="shared" si="2"/>
        <v>-5.2701880224049091E-2</v>
      </c>
      <c r="I39" s="119">
        <f t="shared" si="4"/>
        <v>83.446394510101527</v>
      </c>
    </row>
    <row r="40" spans="1:9">
      <c r="A40" s="8" t="s">
        <v>20</v>
      </c>
      <c r="B40" s="17">
        <v>67</v>
      </c>
      <c r="C40" s="17" t="s">
        <v>42</v>
      </c>
      <c r="D40" s="12">
        <v>2460142.6048000003</v>
      </c>
      <c r="E40">
        <v>2460143.1366347601</v>
      </c>
      <c r="F40" s="266">
        <f t="shared" si="3"/>
        <v>-0.53183475974947214</v>
      </c>
      <c r="G40">
        <v>2460142.6516615599</v>
      </c>
      <c r="H40" s="311">
        <f t="shared" si="2"/>
        <v>4.6861559618264437E-2</v>
      </c>
      <c r="I40" s="119">
        <f t="shared" si="4"/>
        <v>83.085463440045714</v>
      </c>
    </row>
    <row r="41" spans="1:9" ht="15.75" thickBot="1">
      <c r="A41" s="97" t="s">
        <v>20</v>
      </c>
      <c r="B41" s="98">
        <v>89</v>
      </c>
      <c r="C41" s="98" t="s">
        <v>110</v>
      </c>
      <c r="D41" s="100">
        <v>2460718.6125820568</v>
      </c>
      <c r="E41" s="309">
        <v>2460718.64545378</v>
      </c>
      <c r="F41" s="314">
        <f t="shared" si="3"/>
        <v>-3.2871723175048828E-2</v>
      </c>
      <c r="G41" s="262">
        <v>2460718.5968587701</v>
      </c>
      <c r="H41" s="312">
        <f t="shared" si="2"/>
        <v>-1.5723286662250757E-2</v>
      </c>
      <c r="I41" s="119"/>
    </row>
    <row r="42" spans="1:9">
      <c r="A42" s="8" t="s">
        <v>21</v>
      </c>
      <c r="B42" s="17">
        <v>88</v>
      </c>
      <c r="C42" s="17" t="s">
        <v>36</v>
      </c>
      <c r="D42" s="12">
        <v>2460695.5345518598</v>
      </c>
      <c r="E42" s="3">
        <v>2460695.34521621</v>
      </c>
      <c r="F42" s="315">
        <f t="shared" si="3"/>
        <v>0.18933564983308315</v>
      </c>
      <c r="G42">
        <v>2460695.4487847998</v>
      </c>
      <c r="H42" s="311">
        <f t="shared" si="2"/>
        <v>-8.5767060052603483E-2</v>
      </c>
      <c r="I42" s="119"/>
    </row>
    <row r="43" spans="1:9">
      <c r="A43" s="8" t="s">
        <v>21</v>
      </c>
      <c r="B43" s="17">
        <v>89</v>
      </c>
      <c r="C43" s="17" t="s">
        <v>37</v>
      </c>
      <c r="D43" s="12">
        <v>2460736.6349054021</v>
      </c>
      <c r="E43" s="207">
        <v>2460736.7017543898</v>
      </c>
      <c r="F43" s="313">
        <f t="shared" si="3"/>
        <v>-6.6848987713456154E-2</v>
      </c>
      <c r="G43" s="182">
        <v>2460736.75268524</v>
      </c>
      <c r="H43" s="311">
        <f t="shared" si="2"/>
        <v>0.11777983792126179</v>
      </c>
      <c r="I43" s="119"/>
    </row>
    <row r="44" spans="1:9">
      <c r="A44" s="8" t="s">
        <v>21</v>
      </c>
      <c r="B44" s="17">
        <v>94</v>
      </c>
      <c r="C44" s="17" t="s">
        <v>71</v>
      </c>
      <c r="D44" s="12">
        <v>2460859.2275</v>
      </c>
      <c r="E44" s="3">
        <v>2460859.3704224699</v>
      </c>
      <c r="F44" s="313">
        <f t="shared" si="3"/>
        <v>-0.14292246988043189</v>
      </c>
      <c r="G44">
        <v>2460859.1924211401</v>
      </c>
      <c r="H44" s="311">
        <f t="shared" si="2"/>
        <v>-3.5078859888017178E-2</v>
      </c>
      <c r="I44" s="119"/>
    </row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561A3-800D-49B7-9730-E11B7EFC884C}">
  <dimension ref="A1:N40"/>
  <sheetViews>
    <sheetView zoomScale="96" zoomScaleNormal="96" workbookViewId="0">
      <selection activeCell="E6" sqref="E6"/>
    </sheetView>
  </sheetViews>
  <sheetFormatPr baseColWidth="10" defaultRowHeight="15"/>
  <sheetData>
    <row r="1" spans="1:14">
      <c r="A1" t="s">
        <v>68</v>
      </c>
      <c r="B1" t="s">
        <v>269</v>
      </c>
      <c r="C1" t="s">
        <v>270</v>
      </c>
      <c r="E1" t="s">
        <v>271</v>
      </c>
      <c r="G1" t="s">
        <v>272</v>
      </c>
    </row>
    <row r="2" spans="1:14">
      <c r="A2" s="287">
        <v>2458912.730428</v>
      </c>
      <c r="B2" s="288">
        <v>2023.5</v>
      </c>
      <c r="C2" s="288">
        <v>10.1</v>
      </c>
      <c r="E2">
        <v>1992.5</v>
      </c>
      <c r="G2">
        <v>2134.9</v>
      </c>
      <c r="I2">
        <f>G2-E2</f>
        <v>142.40000000000009</v>
      </c>
      <c r="K2" s="295" t="s">
        <v>273</v>
      </c>
      <c r="L2" s="295"/>
      <c r="M2" s="295"/>
      <c r="N2" s="295"/>
    </row>
    <row r="3" spans="1:14">
      <c r="A3" s="287">
        <v>2458917.7301461999</v>
      </c>
      <c r="B3" s="288">
        <v>1774.9</v>
      </c>
      <c r="C3" s="288">
        <v>11.7</v>
      </c>
      <c r="E3">
        <v>35</v>
      </c>
      <c r="G3">
        <v>34</v>
      </c>
      <c r="I3">
        <v>69</v>
      </c>
      <c r="K3" s="295">
        <v>2064.6999999999998</v>
      </c>
      <c r="L3" s="295"/>
      <c r="M3" s="295"/>
      <c r="N3" s="295"/>
    </row>
    <row r="4" spans="1:14">
      <c r="A4" s="287">
        <v>2458925.5538543998</v>
      </c>
      <c r="B4" s="288">
        <v>1992.5</v>
      </c>
      <c r="C4" s="288">
        <v>26.5</v>
      </c>
      <c r="E4">
        <f>E3*I4</f>
        <v>72.231884057971058</v>
      </c>
      <c r="G4">
        <f>G3*I4</f>
        <v>70.168115942029033</v>
      </c>
      <c r="I4">
        <f>I2/I3</f>
        <v>2.0637681159420302</v>
      </c>
    </row>
    <row r="5" spans="1:14">
      <c r="A5" s="287">
        <v>2458925.5970903002</v>
      </c>
      <c r="B5" s="288">
        <v>1869.9</v>
      </c>
      <c r="C5" s="288">
        <v>11.3</v>
      </c>
      <c r="E5">
        <f>E2+E4</f>
        <v>2064.731884057971</v>
      </c>
      <c r="G5">
        <f>G2-G4</f>
        <v>2064.731884057971</v>
      </c>
    </row>
    <row r="6" spans="1:14">
      <c r="A6" s="289">
        <v>2459189.7431016001</v>
      </c>
      <c r="B6" s="290">
        <v>2247.1</v>
      </c>
      <c r="C6" s="290">
        <v>10</v>
      </c>
    </row>
    <row r="7" spans="1:14">
      <c r="A7" s="289">
        <v>2459192.7143167998</v>
      </c>
      <c r="B7" s="290">
        <v>2255.4</v>
      </c>
      <c r="C7" s="290">
        <v>14.5</v>
      </c>
    </row>
    <row r="8" spans="1:14">
      <c r="A8" s="289">
        <v>2459207.7670343001</v>
      </c>
      <c r="B8" s="290">
        <v>2210.1999999999998</v>
      </c>
      <c r="C8" s="290">
        <v>10.6</v>
      </c>
    </row>
    <row r="9" spans="1:14">
      <c r="A9" s="289">
        <v>2459211.7211734001</v>
      </c>
      <c r="B9" s="290">
        <v>2228.6</v>
      </c>
      <c r="C9" s="290">
        <v>10.9</v>
      </c>
    </row>
    <row r="10" spans="1:14">
      <c r="A10" s="289">
        <v>2459218.7262622002</v>
      </c>
      <c r="B10" s="290">
        <v>2038.1</v>
      </c>
      <c r="C10" s="290">
        <v>10</v>
      </c>
    </row>
    <row r="11" spans="1:14">
      <c r="A11" s="289">
        <v>2459260.6382415001</v>
      </c>
      <c r="B11" s="290">
        <v>1877.8</v>
      </c>
      <c r="C11" s="290">
        <v>12</v>
      </c>
    </row>
    <row r="12" spans="1:14">
      <c r="A12" s="289">
        <v>2459272.7769050002</v>
      </c>
      <c r="B12" s="290">
        <v>2081.6</v>
      </c>
      <c r="C12" s="290">
        <v>13.4</v>
      </c>
    </row>
    <row r="13" spans="1:14">
      <c r="A13" s="289">
        <v>2459274.7161730002</v>
      </c>
      <c r="B13" s="290">
        <v>2224.5</v>
      </c>
      <c r="C13" s="290">
        <v>10.6</v>
      </c>
    </row>
    <row r="14" spans="1:14">
      <c r="A14" s="289">
        <v>2459276.7156497999</v>
      </c>
      <c r="B14" s="290">
        <v>2134.9</v>
      </c>
      <c r="C14" s="290">
        <v>12.9</v>
      </c>
    </row>
    <row r="15" spans="1:14">
      <c r="A15" s="289">
        <v>2459282.5358342002</v>
      </c>
      <c r="B15" s="290">
        <v>2267.5</v>
      </c>
      <c r="C15" s="290">
        <v>10.6</v>
      </c>
    </row>
    <row r="16" spans="1:14">
      <c r="A16" s="291">
        <v>2459539.7731662998</v>
      </c>
      <c r="B16" s="292">
        <v>2231.6</v>
      </c>
      <c r="C16" s="292">
        <v>10.9</v>
      </c>
    </row>
    <row r="17" spans="1:3">
      <c r="A17" s="291">
        <v>2459545.7659940999</v>
      </c>
      <c r="B17" s="292">
        <v>2043.8</v>
      </c>
      <c r="C17" s="292">
        <v>12.8</v>
      </c>
    </row>
    <row r="18" spans="1:3">
      <c r="A18" s="291">
        <v>2459590.7117932001</v>
      </c>
      <c r="B18" s="292">
        <v>1786</v>
      </c>
      <c r="C18" s="292">
        <v>13.9</v>
      </c>
    </row>
    <row r="19" spans="1:3">
      <c r="A19" s="291">
        <v>2459644.7122897999</v>
      </c>
      <c r="B19" s="292">
        <v>2181.6999999999998</v>
      </c>
      <c r="C19" s="292">
        <v>14.5</v>
      </c>
    </row>
    <row r="20" spans="1:3">
      <c r="A20" s="291">
        <v>2459649.6298420001</v>
      </c>
      <c r="B20" s="292">
        <v>2140.1</v>
      </c>
      <c r="C20" s="292">
        <v>10</v>
      </c>
    </row>
    <row r="21" spans="1:3">
      <c r="A21" s="291">
        <v>2459652.6796062998</v>
      </c>
      <c r="B21" s="292">
        <v>2016</v>
      </c>
      <c r="C21" s="292">
        <v>12.1</v>
      </c>
    </row>
    <row r="22" spans="1:3">
      <c r="A22" s="291">
        <v>2459657.7273320002</v>
      </c>
      <c r="B22" s="292">
        <v>1724.3</v>
      </c>
      <c r="C22" s="292">
        <v>13</v>
      </c>
    </row>
    <row r="23" spans="1:3">
      <c r="A23" s="291">
        <v>2459661.6841377998</v>
      </c>
      <c r="B23" s="292">
        <v>1910.5</v>
      </c>
      <c r="C23" s="292">
        <v>16.899999999999999</v>
      </c>
    </row>
    <row r="24" spans="1:3">
      <c r="A24" s="291">
        <v>2459662.6697006999</v>
      </c>
      <c r="B24" s="292">
        <v>1817.8</v>
      </c>
      <c r="C24" s="292">
        <v>15.2</v>
      </c>
    </row>
    <row r="25" spans="1:3">
      <c r="A25" s="291">
        <v>2459685.5096644</v>
      </c>
      <c r="B25" s="292">
        <v>2094.6999999999998</v>
      </c>
      <c r="C25" s="292">
        <v>11.7</v>
      </c>
    </row>
    <row r="26" spans="1:3">
      <c r="A26" s="291">
        <v>2459687.5617665001</v>
      </c>
      <c r="B26" s="292">
        <v>2190.1</v>
      </c>
      <c r="C26" s="292">
        <v>10.1</v>
      </c>
    </row>
    <row r="27" spans="1:3">
      <c r="A27" s="291">
        <v>2459691.5839601001</v>
      </c>
      <c r="B27" s="292">
        <v>2311.1999999999998</v>
      </c>
      <c r="C27" s="292">
        <v>14.5</v>
      </c>
    </row>
    <row r="28" spans="1:3">
      <c r="A28" s="291">
        <v>2459704.6238589999</v>
      </c>
      <c r="B28" s="292">
        <v>2092</v>
      </c>
      <c r="C28" s="292">
        <v>15.2</v>
      </c>
    </row>
    <row r="29" spans="1:3">
      <c r="A29" s="293">
        <v>2460031.6812879001</v>
      </c>
      <c r="B29" s="294">
        <v>2174.8000000000002</v>
      </c>
      <c r="C29" s="294">
        <v>11.7</v>
      </c>
    </row>
    <row r="30" spans="1:3">
      <c r="A30" s="293">
        <v>2460035.6102045998</v>
      </c>
      <c r="B30" s="294">
        <v>2142.3000000000002</v>
      </c>
      <c r="C30" s="294">
        <v>9.8000000000000007</v>
      </c>
    </row>
    <row r="31" spans="1:3">
      <c r="A31" s="293">
        <v>2460047.6196292001</v>
      </c>
      <c r="B31" s="294">
        <v>2185.9</v>
      </c>
      <c r="C31" s="294">
        <v>11.3</v>
      </c>
    </row>
    <row r="32" spans="1:3">
      <c r="A32" s="293">
        <v>2460049.6297280998</v>
      </c>
      <c r="B32" s="294">
        <v>2235.1999999999998</v>
      </c>
      <c r="C32" s="294">
        <v>11.7</v>
      </c>
    </row>
    <row r="33" spans="1:3">
      <c r="A33" s="293">
        <v>2460053.5979114999</v>
      </c>
      <c r="B33" s="294">
        <v>2273</v>
      </c>
      <c r="C33" s="294">
        <v>10.3</v>
      </c>
    </row>
    <row r="34" spans="1:3">
      <c r="A34" s="293">
        <v>2460064.5861888002</v>
      </c>
      <c r="B34" s="294">
        <v>2101.8000000000002</v>
      </c>
      <c r="C34" s="294">
        <v>14</v>
      </c>
    </row>
    <row r="35" spans="1:3">
      <c r="A35" s="293">
        <v>2460067.4999667001</v>
      </c>
      <c r="B35" s="294">
        <v>1900.5</v>
      </c>
      <c r="C35" s="294">
        <v>12.5</v>
      </c>
    </row>
    <row r="36" spans="1:3">
      <c r="A36" s="293">
        <v>2460100.5511551001</v>
      </c>
      <c r="B36" s="294">
        <v>1911</v>
      </c>
      <c r="C36" s="294">
        <v>14.1</v>
      </c>
    </row>
    <row r="37" spans="1:3">
      <c r="A37" s="289">
        <v>2460404.6178393001</v>
      </c>
      <c r="B37" s="290">
        <v>1978.3</v>
      </c>
      <c r="C37" s="290">
        <v>10.4</v>
      </c>
    </row>
    <row r="38" spans="1:3">
      <c r="A38" s="289">
        <v>2460407.5764816999</v>
      </c>
      <c r="B38" s="290">
        <v>1909</v>
      </c>
      <c r="C38" s="290">
        <v>11</v>
      </c>
    </row>
    <row r="39" spans="1:3">
      <c r="A39" s="289">
        <v>2460411.5489369999</v>
      </c>
      <c r="B39" s="290">
        <v>1878.9</v>
      </c>
      <c r="C39" s="290">
        <v>12.9</v>
      </c>
    </row>
    <row r="40" spans="1:3">
      <c r="A40" s="289">
        <v>2460433.5833358001</v>
      </c>
      <c r="B40" s="290">
        <v>2270.6</v>
      </c>
      <c r="C40" s="290">
        <v>20.6</v>
      </c>
    </row>
  </sheetData>
  <autoFilter ref="A1:C40" xr:uid="{B94561A3-800D-49B7-9730-E11B7EFC884C}">
    <sortState xmlns:xlrd2="http://schemas.microsoft.com/office/spreadsheetml/2017/richdata2" ref="A2:C40">
      <sortCondition ref="A3:A40"/>
    </sortState>
  </autoFilter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F563-9CE3-410C-A67C-7147AD40E66C}">
  <dimension ref="A1:I34"/>
  <sheetViews>
    <sheetView showGridLines="0" topLeftCell="A3" workbookViewId="0">
      <selection activeCell="G25" sqref="G25"/>
    </sheetView>
  </sheetViews>
  <sheetFormatPr baseColWidth="10" defaultRowHeight="15"/>
  <cols>
    <col min="1" max="4" width="13.28515625" bestFit="1" customWidth="1"/>
    <col min="6" max="7" width="11.42578125" style="151"/>
    <col min="9" max="9" width="12" bestFit="1" customWidth="1"/>
  </cols>
  <sheetData>
    <row r="1" spans="1:9" ht="30">
      <c r="A1" s="284" t="s">
        <v>265</v>
      </c>
      <c r="B1" s="285" t="s">
        <v>266</v>
      </c>
      <c r="C1" s="285" t="s">
        <v>264</v>
      </c>
      <c r="D1" s="286" t="s">
        <v>261</v>
      </c>
      <c r="E1" s="274"/>
      <c r="F1" s="284" t="s">
        <v>267</v>
      </c>
      <c r="G1" s="285" t="s">
        <v>268</v>
      </c>
      <c r="H1" s="285" t="s">
        <v>262</v>
      </c>
      <c r="I1" s="286" t="s">
        <v>263</v>
      </c>
    </row>
    <row r="2" spans="1:9">
      <c r="A2" s="275">
        <v>2458401.3609383898</v>
      </c>
      <c r="B2" s="276">
        <v>2458401.3609145102</v>
      </c>
      <c r="C2" s="276"/>
      <c r="D2" s="277">
        <f>B2-A2</f>
        <v>-2.3879576474428177E-5</v>
      </c>
      <c r="F2" s="275">
        <v>2458408.73679613</v>
      </c>
      <c r="G2" s="276">
        <v>2458408.7368300399</v>
      </c>
      <c r="H2" s="276"/>
      <c r="I2" s="277">
        <f>G2-F2</f>
        <v>3.390992060303688E-5</v>
      </c>
    </row>
    <row r="3" spans="1:9">
      <c r="A3" s="278">
        <v>2458483.5697785099</v>
      </c>
      <c r="B3" s="279">
        <v>2458483.5931558199</v>
      </c>
      <c r="C3" s="279">
        <f t="shared" ref="C3:C29" si="0">B3-B2</f>
        <v>82.232241309713572</v>
      </c>
      <c r="D3" s="280">
        <f t="shared" ref="D3:D6" si="1">B3-A3</f>
        <v>2.3377310018986464E-2</v>
      </c>
      <c r="F3" s="278">
        <v>2458449.5877999901</v>
      </c>
      <c r="G3" s="279">
        <v>2458449.60172843</v>
      </c>
      <c r="H3" s="279">
        <f>G3-G2</f>
        <v>40.864898390136659</v>
      </c>
      <c r="I3" s="280">
        <f t="shared" ref="I3:I19" si="2">G3-F3</f>
        <v>1.3928439933806658E-2</v>
      </c>
    </row>
    <row r="4" spans="1:9">
      <c r="A4" s="278">
        <v>2458566.1425414602</v>
      </c>
      <c r="B4" s="279">
        <v>2458566.1907410002</v>
      </c>
      <c r="C4" s="279">
        <f t="shared" si="0"/>
        <v>82.59758518030867</v>
      </c>
      <c r="D4" s="280">
        <f t="shared" si="1"/>
        <v>4.8199540004134178E-2</v>
      </c>
      <c r="F4" s="278">
        <v>2458490.5174117601</v>
      </c>
      <c r="G4" s="279">
        <v>2458490.5446373899</v>
      </c>
      <c r="H4" s="279">
        <f t="shared" ref="H4:H19" si="3">G4-G3</f>
        <v>40.9429089599289</v>
      </c>
      <c r="I4" s="280">
        <f t="shared" si="2"/>
        <v>2.7225629892200232E-2</v>
      </c>
    </row>
    <row r="5" spans="1:9">
      <c r="A5" s="278">
        <v>2458649.1149729202</v>
      </c>
      <c r="B5" s="279">
        <v>2458649.1896425099</v>
      </c>
      <c r="C5" s="279">
        <f t="shared" si="0"/>
        <v>82.998901509679854</v>
      </c>
      <c r="D5" s="280">
        <f t="shared" si="1"/>
        <v>7.4669589754194021E-2</v>
      </c>
      <c r="F5" s="278">
        <v>2458531.0698458999</v>
      </c>
      <c r="G5" s="279">
        <v>2458531.1098401798</v>
      </c>
      <c r="H5" s="279">
        <f t="shared" si="3"/>
        <v>40.565202789846808</v>
      </c>
      <c r="I5" s="280">
        <f t="shared" si="2"/>
        <v>3.9994279853999615E-2</v>
      </c>
    </row>
    <row r="6" spans="1:9">
      <c r="A6" s="278">
        <v>2458732.4045311902</v>
      </c>
      <c r="B6" s="279">
        <v>2458732.5070172702</v>
      </c>
      <c r="C6" s="279">
        <f t="shared" si="0"/>
        <v>83.31737476028502</v>
      </c>
      <c r="D6" s="280">
        <f t="shared" si="1"/>
        <v>0.10248608002439141</v>
      </c>
      <c r="F6" s="278">
        <v>2458571.6846155901</v>
      </c>
      <c r="G6" s="279">
        <v>2458571.7367076799</v>
      </c>
      <c r="H6" s="279">
        <f t="shared" si="3"/>
        <v>40.626867500133812</v>
      </c>
      <c r="I6" s="280">
        <f t="shared" si="2"/>
        <v>5.2092089783400297E-2</v>
      </c>
    </row>
    <row r="7" spans="1:9">
      <c r="A7" s="278">
        <v>2458815.89610876</v>
      </c>
      <c r="B7" s="279">
        <v>2458816.0271902401</v>
      </c>
      <c r="C7" s="279">
        <f t="shared" si="0"/>
        <v>83.520172969903797</v>
      </c>
      <c r="D7" s="280">
        <f>B7-A7</f>
        <v>0.13108148006722331</v>
      </c>
      <c r="F7" s="278">
        <v>2458611.8808831801</v>
      </c>
      <c r="G7" s="279">
        <v>2458611.9444357501</v>
      </c>
      <c r="H7" s="279">
        <f t="shared" si="3"/>
        <v>40.20772807020694</v>
      </c>
      <c r="I7" s="280">
        <f t="shared" si="2"/>
        <v>6.3552570063620806E-2</v>
      </c>
    </row>
    <row r="8" spans="1:9">
      <c r="A8" s="278">
        <v>2458899.5215814998</v>
      </c>
      <c r="B8" s="279">
        <v>2458899.6810806398</v>
      </c>
      <c r="C8" s="279">
        <f t="shared" si="0"/>
        <v>83.65389039972797</v>
      </c>
      <c r="D8" s="280">
        <f>B8-A8</f>
        <v>0.15949913999065757</v>
      </c>
      <c r="F8" s="278">
        <v>2458652.1483992799</v>
      </c>
      <c r="G8" s="279">
        <v>2458652.2226722799</v>
      </c>
      <c r="H8" s="279">
        <f t="shared" si="3"/>
        <v>40.278236529789865</v>
      </c>
      <c r="I8" s="280">
        <f t="shared" si="2"/>
        <v>7.4273000005632639E-2</v>
      </c>
    </row>
    <row r="9" spans="1:9">
      <c r="A9" s="278">
        <v>2458983.1898336699</v>
      </c>
      <c r="B9" s="279">
        <v>2458983.3765817499</v>
      </c>
      <c r="C9" s="279">
        <f t="shared" si="0"/>
        <v>83.695501110050827</v>
      </c>
      <c r="D9" s="280">
        <f>B9-A9</f>
        <v>0.18674807995557785</v>
      </c>
      <c r="F9" s="278">
        <v>2458692.0547713502</v>
      </c>
      <c r="G9" s="279">
        <v>2458692.1393663599</v>
      </c>
      <c r="H9" s="279">
        <f t="shared" si="3"/>
        <v>39.91669407999143</v>
      </c>
      <c r="I9" s="280">
        <f t="shared" si="2"/>
        <v>8.4595009684562683E-2</v>
      </c>
    </row>
    <row r="10" spans="1:9">
      <c r="A10" s="278">
        <v>2459066.6648150501</v>
      </c>
      <c r="B10" s="279">
        <v>2459066.87542067</v>
      </c>
      <c r="C10" s="279">
        <f t="shared" si="0"/>
        <v>83.498838920146227</v>
      </c>
      <c r="D10" s="280">
        <f>B10-A10</f>
        <v>0.21060561994090676</v>
      </c>
      <c r="F10" s="278">
        <v>2458732.0249835099</v>
      </c>
      <c r="G10" s="279">
        <v>2458732.11930741</v>
      </c>
      <c r="H10" s="279">
        <f t="shared" si="3"/>
        <v>39.979941050056368</v>
      </c>
      <c r="I10" s="280">
        <f t="shared" si="2"/>
        <v>9.4323900062590837E-2</v>
      </c>
    </row>
    <row r="11" spans="1:9">
      <c r="A11" s="278">
        <v>2459149.6327673499</v>
      </c>
      <c r="B11" s="279">
        <v>2459149.8639535499</v>
      </c>
      <c r="C11" s="279">
        <f t="shared" si="0"/>
        <v>82.988532879855484</v>
      </c>
      <c r="D11" s="280">
        <f>B11-A11</f>
        <v>0.23118619993329048</v>
      </c>
      <c r="F11" s="278">
        <v>2458771.77823589</v>
      </c>
      <c r="G11" s="279">
        <v>2458771.88238631</v>
      </c>
      <c r="H11" s="279">
        <f t="shared" si="3"/>
        <v>39.763078900054097</v>
      </c>
      <c r="I11" s="280">
        <f t="shared" si="2"/>
        <v>0.10415042005479336</v>
      </c>
    </row>
    <row r="12" spans="1:9">
      <c r="A12" s="278">
        <v>2459231.98201659</v>
      </c>
      <c r="B12" s="279">
        <v>2459232.23297239</v>
      </c>
      <c r="C12" s="279">
        <f t="shared" si="0"/>
        <v>82.369018840137869</v>
      </c>
      <c r="D12" s="280">
        <f t="shared" ref="D12" si="4">B12-A12</f>
        <v>0.25095580006018281</v>
      </c>
      <c r="F12" s="278">
        <v>2458811.5348153999</v>
      </c>
      <c r="G12" s="279">
        <v>2458811.6483304701</v>
      </c>
      <c r="H12" s="279">
        <f t="shared" si="3"/>
        <v>39.765944160055369</v>
      </c>
      <c r="I12" s="280">
        <f t="shared" si="2"/>
        <v>0.1135150701738894</v>
      </c>
    </row>
    <row r="13" spans="1:9">
      <c r="A13" s="278">
        <v>2459313.8721701298</v>
      </c>
      <c r="B13" s="279">
        <v>2459314.1440190198</v>
      </c>
      <c r="C13" s="279">
        <f t="shared" si="0"/>
        <v>81.91104662977159</v>
      </c>
      <c r="D13" s="280">
        <f t="shared" ref="D13:D31" si="5">B13-A13</f>
        <v>0.27184888999909163</v>
      </c>
      <c r="F13" s="278">
        <v>2458851.2554892702</v>
      </c>
      <c r="G13" s="279">
        <v>2458851.3789188899</v>
      </c>
      <c r="H13" s="279">
        <f t="shared" si="3"/>
        <v>39.730588419828564</v>
      </c>
      <c r="I13" s="280">
        <f t="shared" si="2"/>
        <v>0.12342961970716715</v>
      </c>
    </row>
    <row r="14" spans="1:9">
      <c r="A14" s="278">
        <v>2459395.5372113101</v>
      </c>
      <c r="B14" s="279">
        <v>2459395.8312265598</v>
      </c>
      <c r="C14" s="279">
        <f t="shared" si="0"/>
        <v>81.687207540031523</v>
      </c>
      <c r="D14" s="280">
        <f t="shared" si="5"/>
        <v>0.29401524970307946</v>
      </c>
      <c r="F14" s="278">
        <v>2458890.8969122502</v>
      </c>
      <c r="G14" s="279">
        <v>2458891.0301721999</v>
      </c>
      <c r="H14" s="279">
        <f t="shared" si="3"/>
        <v>39.651253310032189</v>
      </c>
      <c r="I14" s="280">
        <f t="shared" si="2"/>
        <v>0.13325994974002242</v>
      </c>
    </row>
    <row r="15" spans="1:9">
      <c r="A15" s="278">
        <v>2459477.18233595</v>
      </c>
      <c r="B15" s="279">
        <v>2459477.4994596499</v>
      </c>
      <c r="C15" s="279">
        <f t="shared" si="0"/>
        <v>81.668233090080321</v>
      </c>
      <c r="D15" s="280">
        <f t="shared" si="5"/>
        <v>0.31712369993329048</v>
      </c>
      <c r="F15" s="278">
        <v>2458930.6742428602</v>
      </c>
      <c r="G15" s="279">
        <v>2458930.81818623</v>
      </c>
      <c r="H15" s="279">
        <f t="shared" si="3"/>
        <v>39.788014030084014</v>
      </c>
      <c r="I15" s="280">
        <f t="shared" si="2"/>
        <v>0.14394336985424161</v>
      </c>
    </row>
    <row r="16" spans="1:9">
      <c r="A16" s="278">
        <v>2459558.9955313602</v>
      </c>
      <c r="B16" s="279">
        <v>2459559.3370103398</v>
      </c>
      <c r="C16" s="279">
        <f t="shared" si="0"/>
        <v>81.837550689931959</v>
      </c>
      <c r="D16" s="280">
        <f t="shared" si="5"/>
        <v>0.34147897968068719</v>
      </c>
      <c r="F16" s="278">
        <v>2458970.3501343098</v>
      </c>
      <c r="G16" s="279">
        <v>2458970.5054608802</v>
      </c>
      <c r="H16" s="279">
        <f t="shared" si="3"/>
        <v>39.687274650204927</v>
      </c>
      <c r="I16" s="280">
        <f t="shared" si="2"/>
        <v>0.15532657038420439</v>
      </c>
    </row>
    <row r="17" spans="1:9">
      <c r="A17" s="278">
        <v>2459641.1733694398</v>
      </c>
      <c r="B17" s="279">
        <v>2459641.54071391</v>
      </c>
      <c r="C17" s="279">
        <f t="shared" si="0"/>
        <v>82.203703570179641</v>
      </c>
      <c r="D17" s="280">
        <f t="shared" si="5"/>
        <v>0.36734447022899985</v>
      </c>
      <c r="F17" s="278">
        <v>2459010.28386751</v>
      </c>
      <c r="G17" s="279">
        <v>2459010.4514603</v>
      </c>
      <c r="H17" s="279">
        <f t="shared" si="3"/>
        <v>39.945999419782311</v>
      </c>
      <c r="I17" s="280">
        <f t="shared" si="2"/>
        <v>0.16759278997778893</v>
      </c>
    </row>
    <row r="18" spans="1:9">
      <c r="A18" s="278">
        <v>2459723.9015353802</v>
      </c>
      <c r="B18" s="279">
        <v>2459724.2963712402</v>
      </c>
      <c r="C18" s="279">
        <f t="shared" si="0"/>
        <v>82.755657330155373</v>
      </c>
      <c r="D18" s="280">
        <f t="shared" si="5"/>
        <v>0.39483586000278592</v>
      </c>
      <c r="F18" s="278">
        <v>2459050.2339763599</v>
      </c>
      <c r="G18" s="279">
        <v>2459050.4157817201</v>
      </c>
      <c r="H18" s="279">
        <f t="shared" si="3"/>
        <v>39.964321420062333</v>
      </c>
      <c r="I18" s="280">
        <f t="shared" si="2"/>
        <v>0.18180536013096571</v>
      </c>
    </row>
    <row r="19" spans="1:9">
      <c r="A19" s="278">
        <v>2459807.2388781002</v>
      </c>
      <c r="B19" s="279">
        <v>2459807.66208104</v>
      </c>
      <c r="C19" s="279">
        <f t="shared" si="0"/>
        <v>83.365709799807519</v>
      </c>
      <c r="D19" s="280">
        <f t="shared" si="5"/>
        <v>0.42320293979719281</v>
      </c>
      <c r="F19" s="281">
        <v>2459090.46520423</v>
      </c>
      <c r="G19" s="282">
        <v>2459090.6613431098</v>
      </c>
      <c r="H19" s="282">
        <f t="shared" si="3"/>
        <v>40.245561389718205</v>
      </c>
      <c r="I19" s="283">
        <f t="shared" si="2"/>
        <v>0.19613887974992394</v>
      </c>
    </row>
    <row r="20" spans="1:9">
      <c r="A20" s="278">
        <v>2459890.9867957002</v>
      </c>
      <c r="B20" s="279">
        <v>2459891.4378357599</v>
      </c>
      <c r="C20" s="279">
        <f t="shared" si="0"/>
        <v>83.77575471997261</v>
      </c>
      <c r="D20" s="280">
        <f t="shared" si="5"/>
        <v>0.45104005979374051</v>
      </c>
    </row>
    <row r="21" spans="1:9">
      <c r="A21" s="278">
        <v>2459974.7803026098</v>
      </c>
      <c r="B21" s="279">
        <v>2459975.2578382799</v>
      </c>
      <c r="C21" s="279">
        <f t="shared" si="0"/>
        <v>83.820002519991249</v>
      </c>
      <c r="D21" s="280">
        <f t="shared" si="5"/>
        <v>0.47753567015752196</v>
      </c>
      <c r="H21" s="270" t="s">
        <v>259</v>
      </c>
      <c r="I21" s="271">
        <f>F19-F2</f>
        <v>681.72840810008347</v>
      </c>
    </row>
    <row r="22" spans="1:9">
      <c r="A22" s="278">
        <v>2460058.3126201602</v>
      </c>
      <c r="B22" s="279">
        <v>2460058.8157870602</v>
      </c>
      <c r="C22" s="279">
        <f t="shared" si="0"/>
        <v>83.557948780246079</v>
      </c>
      <c r="D22" s="280">
        <f t="shared" si="5"/>
        <v>0.50316690001636744</v>
      </c>
      <c r="H22" s="272" t="s">
        <v>260</v>
      </c>
      <c r="I22" s="273">
        <f>-I19/I21</f>
        <v>-2.8770823896945351E-4</v>
      </c>
    </row>
    <row r="23" spans="1:9">
      <c r="A23" s="278">
        <v>2460141.4284927198</v>
      </c>
      <c r="B23" s="279">
        <v>2460141.9563915799</v>
      </c>
      <c r="C23" s="279">
        <f t="shared" si="0"/>
        <v>83.140604519750923</v>
      </c>
      <c r="D23" s="280">
        <f t="shared" si="5"/>
        <v>0.52789886016398668</v>
      </c>
    </row>
    <row r="24" spans="1:9">
      <c r="A24" s="278">
        <v>2460224.0872169002</v>
      </c>
      <c r="B24" s="279">
        <v>2460224.6390541201</v>
      </c>
      <c r="C24" s="279">
        <f t="shared" si="0"/>
        <v>82.682662540115416</v>
      </c>
      <c r="D24" s="280">
        <f t="shared" si="5"/>
        <v>0.55183721985667944</v>
      </c>
    </row>
    <row r="25" spans="1:9">
      <c r="A25" s="278">
        <v>2460306.3299782998</v>
      </c>
      <c r="B25" s="279">
        <v>2460306.9050744302</v>
      </c>
      <c r="C25" s="279">
        <f t="shared" si="0"/>
        <v>82.266020310111344</v>
      </c>
      <c r="D25" s="280">
        <f t="shared" si="5"/>
        <v>0.57509613037109375</v>
      </c>
    </row>
    <row r="26" spans="1:9">
      <c r="A26" s="278">
        <v>2460388.2623845502</v>
      </c>
      <c r="B26" s="279">
        <v>2460388.8605138198</v>
      </c>
      <c r="C26" s="279">
        <f t="shared" si="0"/>
        <v>81.955439389683306</v>
      </c>
      <c r="D26" s="280">
        <f t="shared" si="5"/>
        <v>0.59812926966696978</v>
      </c>
    </row>
    <row r="27" spans="1:9">
      <c r="A27" s="278">
        <v>2460470.02750728</v>
      </c>
      <c r="B27" s="279">
        <v>2460470.6488221399</v>
      </c>
      <c r="C27" s="279">
        <f t="shared" si="0"/>
        <v>81.788308320101351</v>
      </c>
      <c r="D27" s="280">
        <f t="shared" si="5"/>
        <v>0.62131485994905233</v>
      </c>
    </row>
    <row r="28" spans="1:9">
      <c r="A28" s="278">
        <v>2460551.7824119902</v>
      </c>
      <c r="B28" s="279">
        <v>2460552.4274887498</v>
      </c>
      <c r="C28" s="279">
        <f t="shared" si="0"/>
        <v>81.77866660989821</v>
      </c>
      <c r="D28" s="280">
        <f t="shared" si="5"/>
        <v>0.64507675962522626</v>
      </c>
    </row>
    <row r="29" spans="1:9">
      <c r="A29" s="278">
        <v>2460633.6872781101</v>
      </c>
      <c r="B29" s="279">
        <v>2460634.3571243901</v>
      </c>
      <c r="C29" s="279">
        <f t="shared" si="0"/>
        <v>81.929635640233755</v>
      </c>
      <c r="D29" s="280">
        <f t="shared" si="5"/>
        <v>0.66984628001227975</v>
      </c>
    </row>
    <row r="30" spans="1:9">
      <c r="A30" s="278">
        <v>2460715.8968078401</v>
      </c>
      <c r="B30" s="279">
        <v>2460716.5925649698</v>
      </c>
      <c r="C30" s="279">
        <f t="shared" ref="C30:C31" si="6">B30-B29</f>
        <v>82.235440579708666</v>
      </c>
      <c r="D30" s="280">
        <f t="shared" si="5"/>
        <v>0.69575712969526649</v>
      </c>
    </row>
    <row r="31" spans="1:9">
      <c r="A31" s="281">
        <v>2460798.5284612402</v>
      </c>
      <c r="B31" s="282">
        <v>2460799.2513449602</v>
      </c>
      <c r="C31" s="282">
        <f t="shared" si="6"/>
        <v>82.658779990393668</v>
      </c>
      <c r="D31" s="283">
        <f t="shared" si="5"/>
        <v>0.72288371995091438</v>
      </c>
    </row>
    <row r="33" spans="3:4">
      <c r="C33" s="270" t="s">
        <v>259</v>
      </c>
      <c r="D33" s="271">
        <f>A31-A2</f>
        <v>2397.1675228504464</v>
      </c>
    </row>
    <row r="34" spans="3:4">
      <c r="C34" s="272" t="s">
        <v>260</v>
      </c>
      <c r="D34" s="273">
        <f>D31/D33</f>
        <v>3.0155744772119263E-4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>
      <selection activeCell="K35" sqref="K35"/>
    </sheetView>
  </sheetViews>
  <sheetFormatPr baseColWidth="10" defaultColWidth="11.5703125" defaultRowHeight="15"/>
  <cols>
    <col min="1" max="1" width="6.5703125" customWidth="1"/>
    <col min="2" max="2" width="32.7109375" bestFit="1" customWidth="1"/>
    <col min="3" max="3" width="13.7109375" bestFit="1" customWidth="1"/>
    <col min="4" max="4" width="10.140625" bestFit="1" customWidth="1"/>
    <col min="5" max="5" width="19.7109375" bestFit="1" customWidth="1"/>
    <col min="6" max="6" width="14.5703125" bestFit="1" customWidth="1"/>
    <col min="7" max="7" width="11.7109375" bestFit="1" customWidth="1"/>
    <col min="8" max="9" width="13" bestFit="1" customWidth="1"/>
    <col min="10" max="10" width="14" customWidth="1"/>
    <col min="11" max="11" width="36.140625" customWidth="1"/>
  </cols>
  <sheetData>
    <row r="1" spans="1:11">
      <c r="B1" s="3" t="s">
        <v>181</v>
      </c>
      <c r="C1" s="192">
        <v>1800</v>
      </c>
    </row>
    <row r="2" spans="1:11">
      <c r="B2" s="3" t="s">
        <v>186</v>
      </c>
      <c r="C2" s="185">
        <v>100000</v>
      </c>
    </row>
    <row r="3" spans="1:11">
      <c r="B3" s="3" t="s">
        <v>182</v>
      </c>
      <c r="C3" s="212">
        <v>2458400.0109999999</v>
      </c>
    </row>
    <row r="4" spans="1:11">
      <c r="B4" s="3" t="s">
        <v>184</v>
      </c>
      <c r="C4" s="193">
        <v>2460472.3902825499</v>
      </c>
    </row>
    <row r="5" spans="1:11">
      <c r="B5" s="3" t="s">
        <v>185</v>
      </c>
      <c r="C5" s="193">
        <f>(C4-C3)/C1*(60*60*24)</f>
        <v>99474.205562397838</v>
      </c>
      <c r="J5" s="203"/>
    </row>
    <row r="6" spans="1:11">
      <c r="B6" s="3" t="s">
        <v>187</v>
      </c>
      <c r="C6" s="193">
        <f>C1*C2/(60*60*24)</f>
        <v>2083.3333333333335</v>
      </c>
    </row>
    <row r="7" spans="1:11">
      <c r="B7" s="3" t="s">
        <v>198</v>
      </c>
      <c r="C7" s="182">
        <v>0.25</v>
      </c>
    </row>
    <row r="8" spans="1:11">
      <c r="B8" s="3" t="s">
        <v>204</v>
      </c>
      <c r="C8" s="192">
        <f>C1*ROUNDDOWN(C5,0)</f>
        <v>179053200</v>
      </c>
    </row>
    <row r="9" spans="1:11">
      <c r="B9" s="3" t="s">
        <v>216</v>
      </c>
      <c r="C9" s="119">
        <f>C3+C8/(60*60*24)</f>
        <v>2460472.3859999999</v>
      </c>
      <c r="E9" t="s">
        <v>153</v>
      </c>
    </row>
    <row r="11" spans="1:11">
      <c r="A11" s="3" t="s">
        <v>218</v>
      </c>
      <c r="B11" s="181" t="s">
        <v>217</v>
      </c>
      <c r="C11" s="181" t="s">
        <v>181</v>
      </c>
      <c r="D11" s="181" t="s">
        <v>186</v>
      </c>
      <c r="E11" s="181" t="s">
        <v>203</v>
      </c>
      <c r="F11" s="181" t="s">
        <v>189</v>
      </c>
      <c r="G11" s="181" t="s">
        <v>190</v>
      </c>
      <c r="H11" s="181" t="s">
        <v>195</v>
      </c>
      <c r="I11" s="181" t="s">
        <v>199</v>
      </c>
      <c r="J11" s="181" t="s">
        <v>200</v>
      </c>
    </row>
    <row r="12" spans="1:11">
      <c r="A12" s="183"/>
      <c r="B12" t="s">
        <v>188</v>
      </c>
      <c r="C12" s="191">
        <v>1800</v>
      </c>
      <c r="D12" s="188">
        <v>100000</v>
      </c>
      <c r="E12" s="187">
        <v>99474</v>
      </c>
      <c r="F12">
        <f>SUBSTITUTE(RIGHT(K12,8),".",",")*1</f>
        <v>0.44228800000000001</v>
      </c>
      <c r="G12">
        <v>2.0499999999999998</v>
      </c>
      <c r="I12" s="3"/>
      <c r="J12" s="185">
        <v>6E-10</v>
      </c>
      <c r="K12" s="205" t="s">
        <v>183</v>
      </c>
    </row>
    <row r="13" spans="1:11">
      <c r="A13">
        <v>0.01</v>
      </c>
      <c r="B13" t="s">
        <v>188</v>
      </c>
      <c r="C13" s="192">
        <f t="shared" ref="C13:C19" si="0">C$12*$A13</f>
        <v>18</v>
      </c>
      <c r="D13" s="185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86">
        <f>F13/F$12-1</f>
        <v>0</v>
      </c>
      <c r="I13" s="207">
        <f>$C$7*H13*60*60*24</f>
        <v>0</v>
      </c>
      <c r="J13" s="185"/>
      <c r="K13" s="205" t="s">
        <v>183</v>
      </c>
    </row>
    <row r="14" spans="1:11">
      <c r="A14">
        <v>2</v>
      </c>
      <c r="B14" t="s">
        <v>188</v>
      </c>
      <c r="C14" s="192">
        <f t="shared" si="0"/>
        <v>3600</v>
      </c>
      <c r="D14" s="185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86">
        <f>F14/F$12-1</f>
        <v>2.2609702274856147E-6</v>
      </c>
      <c r="I14" s="207">
        <f>$C$7*H14*60*60*24</f>
        <v>4.8836956913689278E-2</v>
      </c>
      <c r="J14" s="185"/>
      <c r="K14" s="205" t="s">
        <v>191</v>
      </c>
    </row>
    <row r="15" spans="1:11">
      <c r="A15">
        <f>2*3</f>
        <v>6</v>
      </c>
      <c r="B15" t="s">
        <v>188</v>
      </c>
      <c r="C15" s="192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86">
        <f>F15/F$12-1</f>
        <v>2.9392612957979125E-5</v>
      </c>
      <c r="I15" s="207">
        <f>$C$7*H15*60*60*24</f>
        <v>0.6348804398923491</v>
      </c>
      <c r="J15" s="185">
        <v>3.2999999999999998E-8</v>
      </c>
      <c r="K15" s="205" t="s">
        <v>192</v>
      </c>
    </row>
    <row r="16" spans="1:11">
      <c r="A16">
        <v>59</v>
      </c>
      <c r="B16" t="s">
        <v>188</v>
      </c>
      <c r="C16" s="192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86">
        <f>F16/F$12-1</f>
        <v>4.612379264189892E-3</v>
      </c>
      <c r="I16" s="207">
        <f>$C$7*H16*60*60*24</f>
        <v>99.627392106501674</v>
      </c>
      <c r="J16" s="185">
        <v>3.1099999999999997E-5</v>
      </c>
      <c r="K16" s="205" t="s">
        <v>193</v>
      </c>
    </row>
    <row r="17" spans="1:17">
      <c r="A17">
        <v>281</v>
      </c>
      <c r="B17" t="s">
        <v>188</v>
      </c>
      <c r="C17" s="192">
        <f t="shared" si="0"/>
        <v>505800</v>
      </c>
      <c r="D17" s="2">
        <f t="shared" si="1"/>
        <v>355.87188612099646</v>
      </c>
      <c r="E17">
        <f t="shared" si="1"/>
        <v>354</v>
      </c>
      <c r="F17" s="189" t="s">
        <v>0</v>
      </c>
      <c r="G17" s="189" t="s">
        <v>0</v>
      </c>
      <c r="H17" s="189" t="s">
        <v>0</v>
      </c>
      <c r="I17" s="3"/>
      <c r="J17" s="185"/>
      <c r="K17" s="205" t="s">
        <v>196</v>
      </c>
    </row>
    <row r="18" spans="1:17">
      <c r="A18">
        <v>1</v>
      </c>
      <c r="B18" t="s">
        <v>188</v>
      </c>
      <c r="C18" s="192">
        <f t="shared" si="0"/>
        <v>1800</v>
      </c>
      <c r="D18" s="185">
        <f t="shared" si="1"/>
        <v>100000</v>
      </c>
      <c r="E18">
        <f t="shared" si="1"/>
        <v>99474</v>
      </c>
      <c r="F18" s="189" t="s">
        <v>197</v>
      </c>
      <c r="G18" s="189" t="s">
        <v>0</v>
      </c>
      <c r="H18" s="189" t="s">
        <v>0</v>
      </c>
      <c r="I18" s="3"/>
      <c r="J18" s="185"/>
      <c r="K18" s="205" t="s">
        <v>194</v>
      </c>
      <c r="M18" s="184"/>
      <c r="N18" s="184"/>
      <c r="O18" s="184"/>
      <c r="P18" s="184"/>
      <c r="Q18" s="184"/>
    </row>
    <row r="19" spans="1:17">
      <c r="A19">
        <v>59</v>
      </c>
      <c r="B19" t="s">
        <v>188</v>
      </c>
      <c r="C19" s="192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86">
        <f t="shared" ref="H19:H36" si="2">F19/F$12-1</f>
        <v>4.6349889664651922E-3</v>
      </c>
      <c r="I19" s="207">
        <f t="shared" ref="I19:I36" si="3">$C$7*H19*60*60*24</f>
        <v>100.11576167564814</v>
      </c>
      <c r="J19" s="185"/>
      <c r="K19" s="205" t="s">
        <v>201</v>
      </c>
    </row>
    <row r="20" spans="1:17">
      <c r="A20" s="184">
        <v>59</v>
      </c>
      <c r="B20" s="184" t="s">
        <v>202</v>
      </c>
      <c r="C20" s="204" t="s">
        <v>219</v>
      </c>
      <c r="D20" s="194">
        <f t="shared" si="1"/>
        <v>1694.9152542372881</v>
      </c>
      <c r="E20" s="184">
        <f t="shared" si="1"/>
        <v>1686</v>
      </c>
      <c r="F20" s="184">
        <f>SUBSTITUTE(RIGHT(K20,8),".",",")*1</f>
        <v>0.44228800000000001</v>
      </c>
      <c r="G20" s="184">
        <v>0.28999999999999998</v>
      </c>
      <c r="H20" s="195">
        <f t="shared" si="2"/>
        <v>0</v>
      </c>
      <c r="I20" s="208">
        <f t="shared" si="3"/>
        <v>0</v>
      </c>
      <c r="J20" s="184">
        <v>0</v>
      </c>
      <c r="K20" s="206" t="s">
        <v>183</v>
      </c>
    </row>
    <row r="21" spans="1:17">
      <c r="A21" s="196" t="s">
        <v>205</v>
      </c>
      <c r="B21" t="s">
        <v>202</v>
      </c>
      <c r="C21" s="1" t="s">
        <v>219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86">
        <f t="shared" si="2"/>
        <v>0</v>
      </c>
      <c r="I21" s="207">
        <f t="shared" si="3"/>
        <v>0</v>
      </c>
      <c r="J21" s="185">
        <v>9.9999999999999998E-17</v>
      </c>
      <c r="K21" s="205" t="s">
        <v>183</v>
      </c>
    </row>
    <row r="22" spans="1:17">
      <c r="A22" s="196" t="s">
        <v>205</v>
      </c>
      <c r="B22" t="s">
        <v>188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86">
        <f t="shared" si="2"/>
        <v>0</v>
      </c>
      <c r="I22" s="207">
        <f t="shared" si="3"/>
        <v>0</v>
      </c>
      <c r="J22" s="185">
        <v>6E-10</v>
      </c>
      <c r="K22" s="205" t="s">
        <v>183</v>
      </c>
    </row>
    <row r="23" spans="1:17">
      <c r="A23" s="196" t="s">
        <v>205</v>
      </c>
      <c r="B23" t="s">
        <v>188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19">
        <v>0.10100000000000001</v>
      </c>
      <c r="H23" s="186">
        <f t="shared" si="2"/>
        <v>-9.0438809101645035E-6</v>
      </c>
      <c r="I23" s="207">
        <f t="shared" si="3"/>
        <v>-0.19534782765955327</v>
      </c>
      <c r="J23" s="185">
        <v>9.9999999999999995E-8</v>
      </c>
      <c r="K23" s="205" t="s">
        <v>206</v>
      </c>
    </row>
    <row r="24" spans="1:17">
      <c r="A24" s="196" t="s">
        <v>205</v>
      </c>
      <c r="B24" t="s">
        <v>188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86">
        <f t="shared" si="2"/>
        <v>-3.1653583185686784E-5</v>
      </c>
      <c r="I24" s="207">
        <f t="shared" si="3"/>
        <v>-0.68371739681083454</v>
      </c>
      <c r="J24" s="185">
        <v>3.9999999999999998E-7</v>
      </c>
      <c r="K24" s="205" t="s">
        <v>213</v>
      </c>
    </row>
    <row r="25" spans="1:17">
      <c r="A25" s="200" t="s">
        <v>205</v>
      </c>
      <c r="B25" s="190" t="s">
        <v>188</v>
      </c>
      <c r="C25" s="190">
        <v>50000</v>
      </c>
      <c r="D25" s="190">
        <v>4281</v>
      </c>
      <c r="E25" s="190">
        <v>3780</v>
      </c>
      <c r="F25" s="190">
        <f t="shared" si="5"/>
        <v>0.44220300000000001</v>
      </c>
      <c r="G25" s="190">
        <v>9.9000000000000005E-2</v>
      </c>
      <c r="H25" s="201">
        <f t="shared" si="2"/>
        <v>-1.9218246934127325E-4</v>
      </c>
      <c r="I25" s="209">
        <f t="shared" si="3"/>
        <v>-4.1511413377715023</v>
      </c>
      <c r="J25" s="202">
        <v>1.9999999999999999E-6</v>
      </c>
      <c r="K25" s="205" t="s">
        <v>212</v>
      </c>
    </row>
    <row r="26" spans="1:17">
      <c r="A26" s="196" t="s">
        <v>205</v>
      </c>
      <c r="B26" t="s">
        <v>188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86">
        <f t="shared" si="2"/>
        <v>-3.5497232572445636E-4</v>
      </c>
      <c r="I26" s="207">
        <f t="shared" si="3"/>
        <v>-7.6674022356482574</v>
      </c>
      <c r="J26" s="185">
        <v>3.9999999999999998E-6</v>
      </c>
      <c r="K26" s="205" t="s">
        <v>214</v>
      </c>
      <c r="M26" s="184"/>
      <c r="N26" s="184"/>
      <c r="O26" s="184"/>
      <c r="P26" s="184"/>
      <c r="Q26" s="184"/>
    </row>
    <row r="27" spans="1:17">
      <c r="A27" s="196" t="s">
        <v>205</v>
      </c>
      <c r="B27" t="s">
        <v>188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86">
        <f t="shared" si="2"/>
        <v>-6.7829106826322594E-4</v>
      </c>
      <c r="I27" s="207">
        <f t="shared" si="3"/>
        <v>-14.65108707448568</v>
      </c>
      <c r="J27" s="185">
        <v>5.0000000000000004E-6</v>
      </c>
      <c r="K27" s="205" t="s">
        <v>215</v>
      </c>
    </row>
    <row r="28" spans="1:17">
      <c r="A28" s="197" t="s">
        <v>205</v>
      </c>
      <c r="B28" s="184" t="s">
        <v>188</v>
      </c>
      <c r="C28" s="184">
        <v>106200</v>
      </c>
      <c r="D28" s="184">
        <v>4281</v>
      </c>
      <c r="E28" s="184">
        <v>3780</v>
      </c>
      <c r="F28" s="184">
        <f t="shared" si="4"/>
        <v>0.44170599999999999</v>
      </c>
      <c r="G28" s="198">
        <v>0.09</v>
      </c>
      <c r="H28" s="195">
        <f t="shared" si="2"/>
        <v>-1.3158846724307116E-3</v>
      </c>
      <c r="I28" s="208">
        <f t="shared" si="3"/>
        <v>-28.423108924503371</v>
      </c>
      <c r="J28" s="199">
        <v>1.9999999999999999E-6</v>
      </c>
      <c r="K28" s="206" t="s">
        <v>207</v>
      </c>
    </row>
    <row r="29" spans="1:17">
      <c r="A29" s="196" t="s">
        <v>205</v>
      </c>
      <c r="B29" t="s">
        <v>208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86">
        <f t="shared" si="2"/>
        <v>-9.0438809101645035E-6</v>
      </c>
      <c r="I29" s="207">
        <f t="shared" si="3"/>
        <v>-0.19534782765955327</v>
      </c>
      <c r="J29" s="185">
        <v>9.9999999999999995E-8</v>
      </c>
      <c r="K29" s="205" t="s">
        <v>206</v>
      </c>
    </row>
    <row r="30" spans="1:17">
      <c r="A30" s="196" t="s">
        <v>205</v>
      </c>
      <c r="B30" t="s">
        <v>209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86">
        <f t="shared" si="2"/>
        <v>2.9392612957979125E-5</v>
      </c>
      <c r="I30" s="207">
        <f t="shared" si="3"/>
        <v>0.6348804398923491</v>
      </c>
      <c r="J30" s="185">
        <v>1E-8</v>
      </c>
      <c r="K30" s="205" t="s">
        <v>192</v>
      </c>
    </row>
    <row r="31" spans="1:17">
      <c r="A31" s="196" t="s">
        <v>205</v>
      </c>
      <c r="B31" t="s">
        <v>209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86">
        <f t="shared" si="2"/>
        <v>2.1682704482146598E-3</v>
      </c>
      <c r="I31" s="207">
        <f t="shared" si="3"/>
        <v>46.834641681436651</v>
      </c>
      <c r="J31" s="185">
        <v>9.9999999999999995E-7</v>
      </c>
      <c r="K31" s="205" t="s">
        <v>210</v>
      </c>
    </row>
    <row r="32" spans="1:17">
      <c r="A32" s="197" t="s">
        <v>205</v>
      </c>
      <c r="B32" s="184" t="s">
        <v>209</v>
      </c>
      <c r="C32" s="184">
        <v>50000</v>
      </c>
      <c r="D32" s="184">
        <v>4281</v>
      </c>
      <c r="E32" s="184">
        <v>3780</v>
      </c>
      <c r="F32" s="184">
        <f t="shared" si="4"/>
        <v>0.44259500000000002</v>
      </c>
      <c r="G32" s="184">
        <v>0.155</v>
      </c>
      <c r="H32" s="195">
        <f t="shared" si="2"/>
        <v>6.9411785985606933E-4</v>
      </c>
      <c r="I32" s="208">
        <f t="shared" si="3"/>
        <v>14.992945772891098</v>
      </c>
      <c r="J32" s="199"/>
      <c r="K32" s="206" t="s">
        <v>211</v>
      </c>
    </row>
    <row r="33" spans="1:10">
      <c r="A33" s="196" t="s">
        <v>205</v>
      </c>
      <c r="B33" t="s">
        <v>188</v>
      </c>
      <c r="C33">
        <v>10000</v>
      </c>
      <c r="D33">
        <v>1171</v>
      </c>
      <c r="E33">
        <v>729</v>
      </c>
      <c r="F33" s="210">
        <v>0.44230999999999998</v>
      </c>
      <c r="G33">
        <v>3.5999999999999997E-2</v>
      </c>
      <c r="H33" s="186">
        <f t="shared" si="2"/>
        <v>4.9741345005793747E-5</v>
      </c>
      <c r="I33" s="207">
        <f t="shared" si="3"/>
        <v>1.0744130521251449</v>
      </c>
      <c r="J33" s="185"/>
    </row>
    <row r="34" spans="1:10">
      <c r="A34" s="200" t="s">
        <v>205</v>
      </c>
      <c r="B34" s="190" t="s">
        <v>188</v>
      </c>
      <c r="C34" s="190">
        <v>20000</v>
      </c>
      <c r="D34" s="190">
        <v>1171</v>
      </c>
      <c r="E34" s="190">
        <v>729</v>
      </c>
      <c r="F34" s="211">
        <v>0.44237900000000002</v>
      </c>
      <c r="G34" s="190">
        <v>3.1E-2</v>
      </c>
      <c r="H34" s="201">
        <f t="shared" si="2"/>
        <v>2.0574829070652001E-4</v>
      </c>
      <c r="I34" s="209">
        <f t="shared" si="3"/>
        <v>4.4441630792608322</v>
      </c>
      <c r="J34" s="190"/>
    </row>
    <row r="35" spans="1:10">
      <c r="A35" s="196" t="s">
        <v>205</v>
      </c>
      <c r="B35" t="s">
        <v>188</v>
      </c>
      <c r="C35">
        <v>30000</v>
      </c>
      <c r="D35">
        <v>1171</v>
      </c>
      <c r="E35">
        <v>729</v>
      </c>
      <c r="F35" s="210">
        <v>0.44250699999999998</v>
      </c>
      <c r="G35" s="119">
        <v>0.03</v>
      </c>
      <c r="H35" s="186">
        <f t="shared" si="2"/>
        <v>4.9515247983200616E-4</v>
      </c>
      <c r="I35" s="207">
        <f t="shared" si="3"/>
        <v>10.695293564371333</v>
      </c>
    </row>
    <row r="36" spans="1:10">
      <c r="A36" s="196" t="s">
        <v>205</v>
      </c>
      <c r="B36" t="s">
        <v>188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86">
        <f t="shared" si="2"/>
        <v>1.6233766233766378E-3</v>
      </c>
      <c r="I36" s="207">
        <f t="shared" si="3"/>
        <v>35.064935064935376</v>
      </c>
      <c r="J36" s="185"/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A2B3-0D9C-43B9-84CE-4EF546DC1848}">
  <dimension ref="A2:N49"/>
  <sheetViews>
    <sheetView topLeftCell="A19" workbookViewId="0">
      <selection activeCell="F35" sqref="F35"/>
    </sheetView>
  </sheetViews>
  <sheetFormatPr baseColWidth="10" defaultRowHeight="15"/>
  <cols>
    <col min="1" max="1" width="8.28515625" customWidth="1"/>
    <col min="2" max="2" width="8.42578125" customWidth="1"/>
    <col min="3" max="3" width="18.42578125" bestFit="1" customWidth="1"/>
    <col min="4" max="4" width="16.7109375" bestFit="1" customWidth="1"/>
    <col min="5" max="5" width="18.85546875" customWidth="1"/>
    <col min="6" max="7" width="16.7109375" bestFit="1" customWidth="1"/>
    <col min="8" max="13" width="10.5703125" bestFit="1" customWidth="1"/>
  </cols>
  <sheetData>
    <row r="2" spans="1:13">
      <c r="C2" s="3"/>
    </row>
    <row r="3" spans="1:13">
      <c r="D3" s="213" t="s">
        <v>227</v>
      </c>
      <c r="E3" t="s">
        <v>228</v>
      </c>
    </row>
    <row r="5" spans="1:13" s="181" customFormat="1">
      <c r="A5" s="215" t="s">
        <v>88</v>
      </c>
      <c r="B5" s="217" t="s">
        <v>231</v>
      </c>
      <c r="C5" s="229" t="s">
        <v>37</v>
      </c>
      <c r="D5" s="229" t="s">
        <v>38</v>
      </c>
      <c r="E5" s="229" t="s">
        <v>72</v>
      </c>
      <c r="F5" s="229" t="s">
        <v>39</v>
      </c>
      <c r="G5" s="229" t="s">
        <v>71</v>
      </c>
      <c r="H5" s="229" t="s">
        <v>120</v>
      </c>
      <c r="I5" s="229" t="s">
        <v>66</v>
      </c>
      <c r="J5" s="229" t="s">
        <v>220</v>
      </c>
      <c r="K5" s="229" t="s">
        <v>65</v>
      </c>
      <c r="L5" s="229" t="s">
        <v>221</v>
      </c>
      <c r="M5" s="230" t="s">
        <v>28</v>
      </c>
    </row>
    <row r="6" spans="1:13">
      <c r="A6" s="234">
        <v>1000</v>
      </c>
      <c r="B6" s="119">
        <v>9.7000000000000003E-2</v>
      </c>
      <c r="C6" s="256">
        <v>2460472.2150465702</v>
      </c>
      <c r="D6" s="256">
        <v>2460472.2547736098</v>
      </c>
      <c r="E6" s="256">
        <v>2460472.3792818701</v>
      </c>
      <c r="F6" s="256">
        <v>2460472.5035333601</v>
      </c>
      <c r="G6" s="256">
        <v>2460472.54326346</v>
      </c>
      <c r="H6" s="256">
        <v>3.9727044757455497E-2</v>
      </c>
      <c r="I6" s="256">
        <v>0.24875975260510999</v>
      </c>
      <c r="J6" s="256">
        <v>3.9730100426822901E-2</v>
      </c>
      <c r="K6" s="256">
        <v>0.32821689778938801</v>
      </c>
      <c r="L6" s="256">
        <v>0.44153720351587</v>
      </c>
      <c r="M6" s="257">
        <v>1.4377005454104801E-2</v>
      </c>
    </row>
    <row r="7" spans="1:13">
      <c r="A7" s="234">
        <v>5000</v>
      </c>
      <c r="B7" s="119">
        <v>0.04</v>
      </c>
      <c r="C7" s="256">
        <v>2460472.2150535602</v>
      </c>
      <c r="D7" s="256">
        <v>2460472.2547804802</v>
      </c>
      <c r="E7" s="256">
        <v>2460472.3792888201</v>
      </c>
      <c r="F7" s="256">
        <v>2460472.5035401601</v>
      </c>
      <c r="G7" s="256">
        <v>2460472.5432703998</v>
      </c>
      <c r="H7" s="256">
        <v>3.9726921822875703E-2</v>
      </c>
      <c r="I7" s="256">
        <v>0.248759677167981</v>
      </c>
      <c r="J7" s="256">
        <v>3.9730240590870297E-2</v>
      </c>
      <c r="K7" s="256">
        <v>0.32821683958172798</v>
      </c>
      <c r="L7" s="256">
        <v>0.44153723497791802</v>
      </c>
      <c r="M7" s="257">
        <v>1.43770053308677E-2</v>
      </c>
    </row>
    <row r="8" spans="1:13">
      <c r="A8" s="234">
        <v>10000</v>
      </c>
      <c r="B8" s="119">
        <v>3.3000000000000002E-2</v>
      </c>
      <c r="C8" s="256">
        <v>2460472.21507486</v>
      </c>
      <c r="D8" s="256">
        <v>2460472.2548019402</v>
      </c>
      <c r="E8" s="256">
        <v>2460472.37931018</v>
      </c>
      <c r="F8" s="256">
        <v>2460472.5035616201</v>
      </c>
      <c r="G8" s="256">
        <v>2460472.5432918398</v>
      </c>
      <c r="H8" s="256">
        <v>3.9727077819406903E-2</v>
      </c>
      <c r="I8" s="256">
        <v>0.248759679961949</v>
      </c>
      <c r="J8" s="256">
        <v>3.9730219636112403E-2</v>
      </c>
      <c r="K8" s="256">
        <v>0.32821697741746902</v>
      </c>
      <c r="L8" s="256">
        <v>0.441537329175621</v>
      </c>
      <c r="M8" s="257">
        <v>1.43770049619489E-2</v>
      </c>
    </row>
    <row r="9" spans="1:13">
      <c r="A9" s="234">
        <v>20000</v>
      </c>
      <c r="B9" s="119">
        <v>0.03</v>
      </c>
      <c r="C9" s="256">
        <v>2460472.2151606898</v>
      </c>
      <c r="D9" s="256">
        <v>2460472.25488764</v>
      </c>
      <c r="E9" s="256">
        <v>2460472.3793959701</v>
      </c>
      <c r="F9" s="256">
        <v>2460472.5036473302</v>
      </c>
      <c r="G9" s="256">
        <v>2460472.5433774199</v>
      </c>
      <c r="H9" s="256">
        <v>3.9726946968585197E-2</v>
      </c>
      <c r="I9" s="256">
        <v>0.24875969160348099</v>
      </c>
      <c r="J9" s="256">
        <v>3.9730096235871301E-2</v>
      </c>
      <c r="K9" s="256">
        <v>0.328216734807938</v>
      </c>
      <c r="L9" s="256">
        <v>0.44153770966908301</v>
      </c>
      <c r="M9" s="257">
        <v>1.43770034720095E-2</v>
      </c>
    </row>
    <row r="10" spans="1:13">
      <c r="A10" s="234" t="s">
        <v>229</v>
      </c>
      <c r="B10" s="119">
        <v>0.03</v>
      </c>
      <c r="C10" s="256">
        <v>2460472.21516228</v>
      </c>
      <c r="D10" s="256">
        <v>2460472.2548893201</v>
      </c>
      <c r="E10" s="256">
        <v>2460472.37939766</v>
      </c>
      <c r="F10" s="256">
        <v>2460472.5036490001</v>
      </c>
      <c r="G10" s="256">
        <v>2460472.5433791601</v>
      </c>
      <c r="H10" s="256">
        <v>3.9727044757455497E-2</v>
      </c>
      <c r="I10" s="256">
        <v>0.24875967344269101</v>
      </c>
      <c r="J10" s="256">
        <v>3.9730161428451503E-2</v>
      </c>
      <c r="K10" s="256">
        <v>0.32821687962859802</v>
      </c>
      <c r="L10" s="256">
        <v>0.44153828839019199</v>
      </c>
      <c r="M10" s="257">
        <v>1.4377001204148501E-2</v>
      </c>
    </row>
    <row r="11" spans="1:13">
      <c r="A11" s="234">
        <v>40000</v>
      </c>
      <c r="B11" s="119">
        <v>2.9000000000000001E-2</v>
      </c>
      <c r="C11" s="256">
        <v>2460472.2155051399</v>
      </c>
      <c r="D11" s="256">
        <v>2460472.2552321199</v>
      </c>
      <c r="E11" s="256">
        <v>2460472.3797403099</v>
      </c>
      <c r="F11" s="256">
        <v>2460472.5039917198</v>
      </c>
      <c r="G11" s="256">
        <v>2460472.5437219799</v>
      </c>
      <c r="H11" s="256">
        <v>3.9726979099214001E-2</v>
      </c>
      <c r="I11" s="256">
        <v>0.24875960173085301</v>
      </c>
      <c r="J11" s="256">
        <v>3.97302606143057E-2</v>
      </c>
      <c r="K11" s="256">
        <v>0.32821684144437302</v>
      </c>
      <c r="L11" s="256">
        <v>0.44153921861649797</v>
      </c>
      <c r="M11" s="257">
        <v>1.43769975636719E-2</v>
      </c>
    </row>
    <row r="12" spans="1:13">
      <c r="A12" s="234">
        <v>60000</v>
      </c>
      <c r="B12" s="119">
        <v>2.8000000000000001E-2</v>
      </c>
      <c r="C12" s="256">
        <v>2460472.2160628098</v>
      </c>
      <c r="D12" s="256">
        <v>2460472.2557899798</v>
      </c>
      <c r="E12" s="256">
        <v>2460472.38029776</v>
      </c>
      <c r="F12" s="256">
        <v>2460472.5045489101</v>
      </c>
      <c r="G12" s="256">
        <v>2460472.5442791702</v>
      </c>
      <c r="H12" s="256">
        <v>3.9727170951664399E-2</v>
      </c>
      <c r="I12" s="256">
        <v>0.24875893630087301</v>
      </c>
      <c r="J12" s="256">
        <v>3.9730261545628302E-2</v>
      </c>
      <c r="K12" s="256">
        <v>0.32821636879816601</v>
      </c>
      <c r="L12" s="256">
        <v>0.44154196128642698</v>
      </c>
      <c r="M12" s="257">
        <v>1.4376986812069E-2</v>
      </c>
    </row>
    <row r="13" spans="1:13">
      <c r="A13" s="234" t="s">
        <v>222</v>
      </c>
      <c r="B13" s="119">
        <v>4.1000000000000002E-2</v>
      </c>
      <c r="C13" s="256">
        <v>2460472.2168161701</v>
      </c>
      <c r="D13" s="256">
        <v>2460472.2565432698</v>
      </c>
      <c r="E13" s="256">
        <v>2460472.3810505299</v>
      </c>
      <c r="F13" s="256">
        <v>2460472.5053009801</v>
      </c>
      <c r="G13" s="256">
        <v>2460472.5450311201</v>
      </c>
      <c r="H13" s="256">
        <v>3.9727100171148701E-2</v>
      </c>
      <c r="I13" s="256">
        <v>0.24875771393999399</v>
      </c>
      <c r="J13" s="256">
        <v>3.9730136282742003E-2</v>
      </c>
      <c r="K13" s="256">
        <v>0.32821495039388499</v>
      </c>
      <c r="L13" s="256">
        <v>0.441545799643764</v>
      </c>
      <c r="M13" s="257">
        <v>1.4376971772813E-2</v>
      </c>
    </row>
    <row r="14" spans="1:13">
      <c r="A14" s="220" t="s">
        <v>223</v>
      </c>
      <c r="B14" s="184"/>
      <c r="C14" s="184"/>
      <c r="D14" s="258" t="s">
        <v>230</v>
      </c>
      <c r="E14" s="184"/>
      <c r="F14" s="184"/>
      <c r="G14" s="184"/>
      <c r="H14" s="184"/>
      <c r="I14" s="184"/>
      <c r="J14" s="184"/>
      <c r="K14" s="184"/>
      <c r="L14" s="184"/>
      <c r="M14" s="221"/>
    </row>
    <row r="15" spans="1:13">
      <c r="D15" s="214"/>
    </row>
    <row r="16" spans="1:13">
      <c r="A16" s="215" t="s">
        <v>88</v>
      </c>
      <c r="B16" s="217" t="s">
        <v>231</v>
      </c>
      <c r="C16" s="229" t="s">
        <v>37</v>
      </c>
      <c r="D16" s="229" t="s">
        <v>38</v>
      </c>
      <c r="E16" s="229" t="s">
        <v>72</v>
      </c>
      <c r="F16" s="229" t="s">
        <v>39</v>
      </c>
      <c r="G16" s="229" t="s">
        <v>71</v>
      </c>
      <c r="H16" s="229" t="s">
        <v>120</v>
      </c>
      <c r="I16" s="229" t="s">
        <v>66</v>
      </c>
      <c r="J16" s="229" t="s">
        <v>220</v>
      </c>
      <c r="K16" s="229" t="s">
        <v>65</v>
      </c>
      <c r="L16" s="229" t="s">
        <v>221</v>
      </c>
      <c r="M16" s="230" t="s">
        <v>28</v>
      </c>
    </row>
    <row r="17" spans="1:14">
      <c r="A17" s="231" t="s">
        <v>224</v>
      </c>
      <c r="B17" s="232" t="s">
        <v>224</v>
      </c>
      <c r="C17" s="232" t="s">
        <v>225</v>
      </c>
      <c r="D17" s="232" t="s">
        <v>225</v>
      </c>
      <c r="E17" s="232" t="s">
        <v>225</v>
      </c>
      <c r="F17" s="232" t="s">
        <v>225</v>
      </c>
      <c r="G17" s="232" t="s">
        <v>225</v>
      </c>
      <c r="H17" s="232" t="s">
        <v>225</v>
      </c>
      <c r="I17" s="232" t="s">
        <v>225</v>
      </c>
      <c r="J17" s="232" t="s">
        <v>225</v>
      </c>
      <c r="K17" s="232" t="s">
        <v>225</v>
      </c>
      <c r="L17" s="232" t="s">
        <v>226</v>
      </c>
      <c r="M17" s="233" t="s">
        <v>226</v>
      </c>
    </row>
    <row r="18" spans="1:14">
      <c r="A18" s="234">
        <v>5000</v>
      </c>
      <c r="B18" s="235">
        <v>0.04</v>
      </c>
      <c r="C18" s="236">
        <f>ABS(C7-C$6)*60*60*24</f>
        <v>0.60393959283828735</v>
      </c>
      <c r="D18" s="236">
        <f t="shared" ref="D18:K18" si="0">ABS(D7-D$6)*60*60*24</f>
        <v>0.59359967708587646</v>
      </c>
      <c r="E18" s="236">
        <f t="shared" si="0"/>
        <v>0.60047954320907593</v>
      </c>
      <c r="F18" s="236">
        <f t="shared" si="0"/>
        <v>0.58752447366714478</v>
      </c>
      <c r="G18" s="236">
        <f t="shared" si="0"/>
        <v>0.59959441423416138</v>
      </c>
      <c r="H18" s="237">
        <f t="shared" si="0"/>
        <v>1.0621547694178446E-2</v>
      </c>
      <c r="I18" s="237">
        <f t="shared" si="0"/>
        <v>6.5177679445582726E-3</v>
      </c>
      <c r="J18" s="237">
        <f t="shared" si="0"/>
        <v>1.2110173695045745E-2</v>
      </c>
      <c r="K18" s="237">
        <f t="shared" si="0"/>
        <v>5.0291418261849685E-3</v>
      </c>
      <c r="L18" s="238">
        <f t="shared" ref="L18:M21" si="1">ABS(L7/L$6-1)*100</f>
        <v>7.1255712441598007E-6</v>
      </c>
      <c r="M18" s="239">
        <f t="shared" si="1"/>
        <v>8.5718199205331302E-7</v>
      </c>
    </row>
    <row r="19" spans="1:14">
      <c r="A19" s="234">
        <v>10000</v>
      </c>
      <c r="B19" s="240">
        <v>3.3000000000000002E-2</v>
      </c>
      <c r="C19" s="236">
        <f>ABS(C8-C$6)*60*60*24</f>
        <v>2.4442434310913086</v>
      </c>
      <c r="D19" s="236">
        <f t="shared" ref="D19:K21" si="2">ABS(D8-D$6)*60*60*24</f>
        <v>2.4477437138557434</v>
      </c>
      <c r="E19" s="236">
        <f t="shared" si="2"/>
        <v>2.4459734559059143</v>
      </c>
      <c r="F19" s="236">
        <f t="shared" si="2"/>
        <v>2.4416685104370117</v>
      </c>
      <c r="G19" s="236">
        <f t="shared" si="2"/>
        <v>2.4520084261894226</v>
      </c>
      <c r="H19" s="237">
        <f t="shared" si="2"/>
        <v>2.8565526014601161E-3</v>
      </c>
      <c r="I19" s="237">
        <f t="shared" si="2"/>
        <v>6.2763691092371232E-3</v>
      </c>
      <c r="J19" s="237">
        <f t="shared" si="2"/>
        <v>1.0299682612990857E-2</v>
      </c>
      <c r="K19" s="237">
        <f t="shared" si="2"/>
        <v>6.8798661999380784E-3</v>
      </c>
      <c r="L19" s="238">
        <f t="shared" si="1"/>
        <v>2.845960658248714E-5</v>
      </c>
      <c r="M19" s="239">
        <f t="shared" si="1"/>
        <v>3.423215655384837E-6</v>
      </c>
    </row>
    <row r="20" spans="1:14">
      <c r="A20" s="241">
        <v>20000</v>
      </c>
      <c r="B20" s="242">
        <v>0.03</v>
      </c>
      <c r="C20" s="243">
        <f>ABS(C9-C$6)*60*60*24</f>
        <v>9.8599344491958618</v>
      </c>
      <c r="D20" s="243">
        <f t="shared" si="2"/>
        <v>9.8522096872329712</v>
      </c>
      <c r="E20" s="243">
        <f t="shared" si="2"/>
        <v>9.8582446575164795</v>
      </c>
      <c r="F20" s="243">
        <f t="shared" si="2"/>
        <v>9.8470196127891541</v>
      </c>
      <c r="G20" s="243">
        <f t="shared" si="2"/>
        <v>9.8461344838142395</v>
      </c>
      <c r="H20" s="244">
        <f t="shared" si="2"/>
        <v>8.4489583939140189E-3</v>
      </c>
      <c r="I20" s="244">
        <f t="shared" si="2"/>
        <v>5.2705407454389785E-3</v>
      </c>
      <c r="J20" s="244">
        <f t="shared" si="2"/>
        <v>3.6209821820953891E-4</v>
      </c>
      <c r="K20" s="244">
        <f t="shared" si="2"/>
        <v>1.40815972802244E-2</v>
      </c>
      <c r="L20" s="245">
        <f t="shared" si="1"/>
        <v>1.1463432956215769E-4</v>
      </c>
      <c r="M20" s="246">
        <f t="shared" si="1"/>
        <v>1.3786565689066776E-5</v>
      </c>
    </row>
    <row r="21" spans="1:14">
      <c r="A21" s="241">
        <v>20000</v>
      </c>
      <c r="B21" s="242">
        <v>2.1999999999999999E-2</v>
      </c>
      <c r="C21" s="243">
        <f>ABS(C10-C$6)*60*60*24</f>
        <v>9.9973306059837341</v>
      </c>
      <c r="D21" s="243">
        <f t="shared" si="2"/>
        <v>9.9973708391189575</v>
      </c>
      <c r="E21" s="243">
        <f t="shared" si="2"/>
        <v>10.004250705242157</v>
      </c>
      <c r="F21" s="243">
        <f t="shared" si="2"/>
        <v>9.9912956357002258</v>
      </c>
      <c r="G21" s="243">
        <f t="shared" si="2"/>
        <v>9.996485710144043</v>
      </c>
      <c r="H21" s="244">
        <f t="shared" si="2"/>
        <v>0</v>
      </c>
      <c r="I21" s="244">
        <f t="shared" si="2"/>
        <v>6.8396329999664829E-3</v>
      </c>
      <c r="J21" s="244">
        <f t="shared" si="2"/>
        <v>5.2705407112663138E-3</v>
      </c>
      <c r="K21" s="244">
        <f t="shared" si="2"/>
        <v>1.5690922545275043E-3</v>
      </c>
      <c r="L21" s="245">
        <f t="shared" si="1"/>
        <v>2.4570394370204696E-4</v>
      </c>
      <c r="M21" s="246">
        <f t="shared" si="1"/>
        <v>2.9560789371885221E-5</v>
      </c>
    </row>
    <row r="22" spans="1:14">
      <c r="A22" s="234">
        <v>40000</v>
      </c>
      <c r="B22" s="247">
        <v>2.9000000000000001E-2</v>
      </c>
      <c r="C22" s="248">
        <f t="shared" ref="C22:K24" si="3">ABS(C11-C$6)*60*60*24</f>
        <v>39.620424807071686</v>
      </c>
      <c r="D22" s="248">
        <f t="shared" si="3"/>
        <v>39.615274965763092</v>
      </c>
      <c r="E22" s="248">
        <f t="shared" si="3"/>
        <v>39.60919976234436</v>
      </c>
      <c r="F22" s="248">
        <f t="shared" si="3"/>
        <v>39.602279663085938</v>
      </c>
      <c r="G22" s="248">
        <f t="shared" si="3"/>
        <v>39.616119861602783</v>
      </c>
      <c r="H22" s="237">
        <f t="shared" si="3"/>
        <v>5.6728720652987619E-3</v>
      </c>
      <c r="I22" s="237">
        <f t="shared" si="3"/>
        <v>1.3035535802785603E-2</v>
      </c>
      <c r="J22" s="237">
        <f t="shared" si="3"/>
        <v>1.3840198513848101E-2</v>
      </c>
      <c r="K22" s="237">
        <f t="shared" si="3"/>
        <v>4.8682092948837408E-3</v>
      </c>
      <c r="L22" s="238">
        <f t="shared" ref="L22:L24" si="4">ABS(L11/L$6-1)*100</f>
        <v>4.5638297563321828E-4</v>
      </c>
      <c r="M22" s="239">
        <f t="shared" ref="M22:M24" si="5">ABS(M11/M$6-1)*100</f>
        <v>5.4882311384396587E-5</v>
      </c>
    </row>
    <row r="23" spans="1:14">
      <c r="A23" s="234">
        <v>60000</v>
      </c>
      <c r="B23" s="247">
        <v>2.8000000000000001E-2</v>
      </c>
      <c r="C23" s="249">
        <f t="shared" si="3"/>
        <v>87.803104519844055</v>
      </c>
      <c r="D23" s="249">
        <f t="shared" si="3"/>
        <v>87.814369797706604</v>
      </c>
      <c r="E23" s="249">
        <f t="shared" si="3"/>
        <v>87.77288943529129</v>
      </c>
      <c r="F23" s="249">
        <f t="shared" si="3"/>
        <v>87.743519246578217</v>
      </c>
      <c r="G23" s="249">
        <f t="shared" si="3"/>
        <v>87.757359445095062</v>
      </c>
      <c r="H23" s="237">
        <f t="shared" si="3"/>
        <v>1.0903179649135453E-2</v>
      </c>
      <c r="I23" s="237">
        <f t="shared" si="3"/>
        <v>7.0528686075377323E-2</v>
      </c>
      <c r="J23" s="237">
        <f t="shared" si="3"/>
        <v>1.392066478669296E-2</v>
      </c>
      <c r="K23" s="237">
        <f t="shared" si="3"/>
        <v>4.5704841580196387E-2</v>
      </c>
      <c r="L23" s="238">
        <f t="shared" si="4"/>
        <v>1.0775469244883595E-3</v>
      </c>
      <c r="M23" s="239">
        <f t="shared" si="5"/>
        <v>1.2966563767147221E-4</v>
      </c>
    </row>
    <row r="24" spans="1:14">
      <c r="A24" s="250" t="s">
        <v>222</v>
      </c>
      <c r="B24" s="251">
        <v>4.1000000000000002E-2</v>
      </c>
      <c r="C24" s="252">
        <f t="shared" si="3"/>
        <v>152.89343744516373</v>
      </c>
      <c r="D24" s="252">
        <f t="shared" si="3"/>
        <v>152.89862751960754</v>
      </c>
      <c r="E24" s="252">
        <f t="shared" si="3"/>
        <v>152.81220674514771</v>
      </c>
      <c r="F24" s="252">
        <f t="shared" si="3"/>
        <v>152.72236615419388</v>
      </c>
      <c r="G24" s="252">
        <f t="shared" si="3"/>
        <v>152.72582620382309</v>
      </c>
      <c r="H24" s="253">
        <f t="shared" si="3"/>
        <v>4.7877430927822928E-3</v>
      </c>
      <c r="I24" s="253">
        <f t="shared" si="3"/>
        <v>0.1761406660223841</v>
      </c>
      <c r="J24" s="253">
        <f t="shared" si="3"/>
        <v>3.0979514104023664E-3</v>
      </c>
      <c r="K24" s="253">
        <f t="shared" si="3"/>
        <v>0.16825497146104595</v>
      </c>
      <c r="L24" s="254">
        <f t="shared" si="4"/>
        <v>1.9468637807884548E-3</v>
      </c>
      <c r="M24" s="255">
        <f t="shared" si="5"/>
        <v>2.3427195536829259E-4</v>
      </c>
    </row>
    <row r="27" spans="1:14">
      <c r="A27" s="215" t="s">
        <v>88</v>
      </c>
      <c r="B27" s="216"/>
      <c r="C27" s="217" t="s">
        <v>232</v>
      </c>
      <c r="D27" s="217" t="s">
        <v>235</v>
      </c>
      <c r="E27" s="217" t="s">
        <v>234</v>
      </c>
      <c r="F27" s="217" t="s">
        <v>234</v>
      </c>
      <c r="G27" s="218" t="s">
        <v>233</v>
      </c>
      <c r="H27" s="1"/>
    </row>
    <row r="28" spans="1:14">
      <c r="A28" s="219">
        <v>20000</v>
      </c>
      <c r="C28">
        <v>16</v>
      </c>
      <c r="D28" s="124">
        <f>AVERAGE(E28:F28)</f>
        <v>7.0000000000000001E-3</v>
      </c>
      <c r="E28">
        <v>7.0000000000000001E-3</v>
      </c>
      <c r="F28" s="119">
        <v>7.0000000000000001E-3</v>
      </c>
      <c r="G28" s="137">
        <v>2</v>
      </c>
      <c r="H28" s="1"/>
      <c r="I28" s="1"/>
      <c r="J28" s="1"/>
      <c r="K28" s="1"/>
      <c r="L28" s="1"/>
      <c r="M28" s="1"/>
      <c r="N28" s="1"/>
    </row>
    <row r="29" spans="1:14">
      <c r="A29" s="219">
        <v>20000</v>
      </c>
      <c r="C29">
        <v>146</v>
      </c>
      <c r="D29">
        <f t="shared" ref="D29:D32" si="6">AVERAGE(E29:F29)</f>
        <v>9.4999999999999998E-3</v>
      </c>
      <c r="E29">
        <v>8.9999999999999993E-3</v>
      </c>
      <c r="F29" s="119">
        <v>0.01</v>
      </c>
      <c r="G29" s="137">
        <v>2</v>
      </c>
      <c r="I29" s="1"/>
      <c r="J29" s="1"/>
      <c r="K29" s="1"/>
      <c r="L29" s="1"/>
      <c r="M29" s="1"/>
      <c r="N29" s="1"/>
    </row>
    <row r="30" spans="1:14">
      <c r="A30" s="219">
        <v>20000</v>
      </c>
      <c r="C30">
        <v>721</v>
      </c>
      <c r="D30">
        <f t="shared" si="6"/>
        <v>2.5500000000000002E-2</v>
      </c>
      <c r="E30">
        <v>2.1999999999999999E-2</v>
      </c>
      <c r="F30">
        <v>2.9000000000000001E-2</v>
      </c>
      <c r="G30" s="137">
        <v>1</v>
      </c>
    </row>
    <row r="31" spans="1:14">
      <c r="A31" s="219">
        <v>20000</v>
      </c>
      <c r="C31">
        <v>7201</v>
      </c>
      <c r="D31">
        <f t="shared" si="6"/>
        <v>0.16250000000000001</v>
      </c>
      <c r="E31">
        <v>0.161</v>
      </c>
      <c r="F31">
        <v>0.16400000000000001</v>
      </c>
      <c r="G31" s="137">
        <v>1</v>
      </c>
    </row>
    <row r="32" spans="1:14">
      <c r="A32" s="220">
        <v>20000</v>
      </c>
      <c r="B32" s="184"/>
      <c r="C32" s="184">
        <v>7202</v>
      </c>
      <c r="D32" s="184">
        <f t="shared" si="6"/>
        <v>0.1575</v>
      </c>
      <c r="E32" s="184">
        <v>0.155</v>
      </c>
      <c r="F32" s="198">
        <v>0.16</v>
      </c>
      <c r="G32" s="221">
        <v>2</v>
      </c>
    </row>
    <row r="33" spans="2:6">
      <c r="B33" s="3"/>
    </row>
    <row r="34" spans="2:6">
      <c r="B34" s="3"/>
    </row>
    <row r="35" spans="2:6">
      <c r="B35" s="3"/>
      <c r="C35" s="222" t="s">
        <v>236</v>
      </c>
      <c r="D35" s="223">
        <v>2.1165000000000001E-5</v>
      </c>
    </row>
    <row r="36" spans="2:6">
      <c r="C36" s="224" t="s">
        <v>237</v>
      </c>
      <c r="D36" s="225">
        <v>7.695141E-3</v>
      </c>
    </row>
    <row r="37" spans="2:6">
      <c r="C37" s="224" t="s">
        <v>238</v>
      </c>
      <c r="D37" s="137">
        <v>32</v>
      </c>
    </row>
    <row r="38" spans="2:6">
      <c r="C38" s="226" t="s">
        <v>240</v>
      </c>
      <c r="D38" s="221">
        <v>4000</v>
      </c>
    </row>
    <row r="40" spans="2:6">
      <c r="C40" s="215" t="s">
        <v>232</v>
      </c>
      <c r="D40" s="217" t="s">
        <v>235</v>
      </c>
      <c r="E40" s="217" t="s">
        <v>239</v>
      </c>
      <c r="F40" s="218" t="s">
        <v>241</v>
      </c>
    </row>
    <row r="41" spans="2:6">
      <c r="C41" s="219">
        <v>1</v>
      </c>
      <c r="D41" s="124">
        <f t="shared" ref="D41:D49" si="7">C41*$D$35+$D$36</f>
        <v>7.716306E-3</v>
      </c>
      <c r="E41" s="2">
        <f t="shared" ref="E41:E49" si="8">3600/(D41*$D$37)</f>
        <v>14579.515120317934</v>
      </c>
      <c r="F41" s="138">
        <f t="shared" ref="F41:F47" si="9">$D$38/E41</f>
        <v>0.27435754666666667</v>
      </c>
    </row>
    <row r="42" spans="2:6">
      <c r="C42" s="219">
        <v>1000</v>
      </c>
      <c r="D42" s="124">
        <f t="shared" si="7"/>
        <v>2.8860140999999999E-2</v>
      </c>
      <c r="E42" s="2">
        <f t="shared" si="8"/>
        <v>3898.1098533094487</v>
      </c>
      <c r="F42" s="138">
        <f t="shared" si="9"/>
        <v>1.0261383466666667</v>
      </c>
    </row>
    <row r="43" spans="2:6">
      <c r="C43" s="219">
        <v>5000</v>
      </c>
      <c r="D43" s="124">
        <f t="shared" si="7"/>
        <v>0.113520141</v>
      </c>
      <c r="E43" s="2">
        <f t="shared" si="8"/>
        <v>991.01356824424658</v>
      </c>
      <c r="F43" s="138">
        <f t="shared" si="9"/>
        <v>4.0362716800000005</v>
      </c>
    </row>
    <row r="44" spans="2:6">
      <c r="C44" s="219">
        <v>10000</v>
      </c>
      <c r="D44" s="124">
        <f t="shared" si="7"/>
        <v>0.21934514099999999</v>
      </c>
      <c r="E44" s="2">
        <f t="shared" si="8"/>
        <v>512.89032201538487</v>
      </c>
      <c r="F44" s="138">
        <f>$D$38/E44</f>
        <v>7.7989383466666666</v>
      </c>
    </row>
    <row r="45" spans="2:6">
      <c r="C45" s="219">
        <v>15000</v>
      </c>
      <c r="D45" s="124">
        <f t="shared" si="7"/>
        <v>0.32517014100000002</v>
      </c>
      <c r="E45" s="2">
        <f t="shared" si="8"/>
        <v>345.97272570607885</v>
      </c>
      <c r="F45" s="138">
        <f t="shared" si="9"/>
        <v>11.561605013333335</v>
      </c>
    </row>
    <row r="46" spans="2:6">
      <c r="C46" s="219">
        <v>25000</v>
      </c>
      <c r="D46" s="124">
        <f t="shared" si="7"/>
        <v>0.53682014100000008</v>
      </c>
      <c r="E46" s="2">
        <f t="shared" si="8"/>
        <v>209.56739773294009</v>
      </c>
      <c r="F46" s="138">
        <f t="shared" si="9"/>
        <v>19.08693834666667</v>
      </c>
    </row>
    <row r="47" spans="2:6">
      <c r="C47" s="219">
        <v>31000</v>
      </c>
      <c r="D47" s="124">
        <f t="shared" si="7"/>
        <v>0.66381014100000002</v>
      </c>
      <c r="E47" s="2">
        <f t="shared" si="8"/>
        <v>169.4761695422788</v>
      </c>
      <c r="F47" s="138">
        <f t="shared" si="9"/>
        <v>23.602138346666667</v>
      </c>
    </row>
    <row r="48" spans="2:6">
      <c r="C48" s="219">
        <v>100000</v>
      </c>
      <c r="D48" s="124">
        <f t="shared" si="7"/>
        <v>2.1241951410000004</v>
      </c>
      <c r="E48" s="2">
        <f t="shared" si="8"/>
        <v>52.961235918767208</v>
      </c>
      <c r="F48" s="138">
        <f t="shared" ref="F48:F49" si="10">$D$38/E48</f>
        <v>75.526938346666682</v>
      </c>
    </row>
    <row r="49" spans="3:6">
      <c r="C49" s="259">
        <v>20000</v>
      </c>
      <c r="D49" s="227">
        <f t="shared" si="7"/>
        <v>0.43099514100000003</v>
      </c>
      <c r="E49" s="194">
        <f t="shared" si="8"/>
        <v>261.02382439620123</v>
      </c>
      <c r="F49" s="228">
        <f t="shared" si="10"/>
        <v>15.324271680000001</v>
      </c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>
      <selection activeCell="E3" sqref="E3"/>
    </sheetView>
  </sheetViews>
  <sheetFormatPr baseColWidth="10" defaultColWidth="35.28515625" defaultRowHeight="15"/>
  <cols>
    <col min="1" max="1" width="6.5703125" style="151" bestFit="1" customWidth="1"/>
    <col min="2" max="2" width="15.5703125" style="151" bestFit="1" customWidth="1"/>
    <col min="3" max="3" width="11" style="151" bestFit="1" customWidth="1"/>
    <col min="4" max="4" width="18.140625" style="151" bestFit="1" customWidth="1"/>
    <col min="5" max="5" width="18.5703125" style="151" customWidth="1"/>
    <col min="6" max="6" width="6.5703125" style="151" customWidth="1"/>
    <col min="7" max="7" width="16.28515625" style="151" bestFit="1" customWidth="1"/>
    <col min="8" max="16384" width="35.28515625" style="151"/>
  </cols>
  <sheetData>
    <row r="1" spans="1:8">
      <c r="A1" s="171" t="s">
        <v>166</v>
      </c>
      <c r="B1" s="169"/>
      <c r="C1" s="170"/>
    </row>
    <row r="2" spans="1:8">
      <c r="A2" s="172" t="s">
        <v>178</v>
      </c>
      <c r="B2" s="173" t="s">
        <v>179</v>
      </c>
      <c r="C2" s="174" t="s">
        <v>180</v>
      </c>
    </row>
    <row r="3" spans="1:8">
      <c r="A3" s="175">
        <v>1</v>
      </c>
      <c r="B3" s="176" t="s">
        <v>167</v>
      </c>
      <c r="C3" s="177" t="s">
        <v>177</v>
      </c>
    </row>
    <row r="4" spans="1:8">
      <c r="A4" s="175">
        <v>2</v>
      </c>
      <c r="B4" s="176" t="s">
        <v>168</v>
      </c>
      <c r="C4" s="177" t="s">
        <v>176</v>
      </c>
    </row>
    <row r="5" spans="1:8" ht="15.75" thickBot="1">
      <c r="A5" s="178">
        <v>3</v>
      </c>
      <c r="B5" s="179" t="s">
        <v>170</v>
      </c>
      <c r="C5" s="180" t="s">
        <v>175</v>
      </c>
    </row>
    <row r="10" spans="1:8">
      <c r="A10" s="154" t="s">
        <v>154</v>
      </c>
      <c r="B10" s="154" t="s">
        <v>155</v>
      </c>
      <c r="C10" s="154" t="s">
        <v>156</v>
      </c>
      <c r="D10" s="154" t="s">
        <v>157</v>
      </c>
      <c r="E10" s="154" t="s">
        <v>164</v>
      </c>
      <c r="F10" s="151" t="s">
        <v>169</v>
      </c>
      <c r="G10" s="151" t="s">
        <v>171</v>
      </c>
      <c r="H10" s="151" t="s">
        <v>172</v>
      </c>
    </row>
    <row r="11" spans="1:8" ht="30" hidden="1">
      <c r="A11" s="152">
        <v>106</v>
      </c>
      <c r="B11" s="152">
        <v>1</v>
      </c>
      <c r="C11" s="152">
        <v>2018</v>
      </c>
      <c r="D11" s="156" t="s">
        <v>161</v>
      </c>
      <c r="E11" s="165">
        <v>1800</v>
      </c>
    </row>
    <row r="12" spans="1:8">
      <c r="A12" s="152">
        <v>55</v>
      </c>
      <c r="B12" s="152">
        <v>1</v>
      </c>
      <c r="C12" s="152">
        <v>2018</v>
      </c>
      <c r="D12" s="161" t="s">
        <v>160</v>
      </c>
      <c r="E12" s="165">
        <v>1800</v>
      </c>
      <c r="F12" s="151" t="s">
        <v>165</v>
      </c>
      <c r="G12" s="151" t="s">
        <v>165</v>
      </c>
      <c r="H12" s="151" t="s">
        <v>174</v>
      </c>
    </row>
    <row r="13" spans="1:8" hidden="1">
      <c r="A13" s="152">
        <v>97</v>
      </c>
      <c r="B13" s="152">
        <v>1</v>
      </c>
      <c r="C13" s="152">
        <v>2018</v>
      </c>
      <c r="D13" s="159" t="s">
        <v>123</v>
      </c>
      <c r="E13" s="165">
        <v>1800</v>
      </c>
    </row>
    <row r="14" spans="1:8" hidden="1">
      <c r="A14" s="152">
        <v>98</v>
      </c>
      <c r="B14" s="152">
        <v>1</v>
      </c>
      <c r="C14" s="152">
        <v>2018</v>
      </c>
      <c r="D14" s="158" t="s">
        <v>163</v>
      </c>
      <c r="E14" s="165">
        <v>1800</v>
      </c>
    </row>
    <row r="15" spans="1:8" hidden="1">
      <c r="A15" s="152">
        <v>99</v>
      </c>
      <c r="B15" s="152">
        <v>1</v>
      </c>
      <c r="C15" s="152">
        <v>2018</v>
      </c>
      <c r="D15" s="158" t="s">
        <v>163</v>
      </c>
      <c r="E15" s="165">
        <v>1800</v>
      </c>
    </row>
    <row r="16" spans="1:8" hidden="1">
      <c r="A16" s="166">
        <v>109</v>
      </c>
      <c r="B16" s="166">
        <v>1</v>
      </c>
      <c r="C16" s="166">
        <v>2018</v>
      </c>
      <c r="D16" s="167" t="s">
        <v>162</v>
      </c>
      <c r="E16" s="168">
        <v>1800</v>
      </c>
      <c r="F16" s="4"/>
    </row>
    <row r="17" spans="1:6" ht="30" hidden="1">
      <c r="A17" s="152">
        <v>92</v>
      </c>
      <c r="B17" s="152">
        <v>2</v>
      </c>
      <c r="C17" s="152">
        <v>2018</v>
      </c>
      <c r="D17" s="156" t="s">
        <v>161</v>
      </c>
      <c r="E17" s="165">
        <v>1800</v>
      </c>
    </row>
    <row r="18" spans="1:6" hidden="1">
      <c r="A18" s="152">
        <v>56</v>
      </c>
      <c r="B18" s="152">
        <v>2</v>
      </c>
      <c r="C18" s="152">
        <v>2018</v>
      </c>
      <c r="D18" s="161" t="s">
        <v>160</v>
      </c>
      <c r="E18" s="165">
        <v>1800</v>
      </c>
    </row>
    <row r="19" spans="1:6" hidden="1">
      <c r="A19" s="152">
        <v>100</v>
      </c>
      <c r="B19" s="152">
        <v>2</v>
      </c>
      <c r="C19" s="152">
        <v>2018</v>
      </c>
      <c r="D19" s="158" t="s">
        <v>163</v>
      </c>
      <c r="E19" s="165">
        <v>1800</v>
      </c>
    </row>
    <row r="20" spans="1:6" hidden="1">
      <c r="A20" s="152">
        <v>101</v>
      </c>
      <c r="B20" s="152">
        <v>2</v>
      </c>
      <c r="C20" s="152">
        <v>2018</v>
      </c>
      <c r="D20" s="158" t="s">
        <v>163</v>
      </c>
      <c r="E20" s="165">
        <v>1800</v>
      </c>
    </row>
    <row r="21" spans="1:6">
      <c r="A21" s="152">
        <v>110</v>
      </c>
      <c r="B21" s="152">
        <v>2</v>
      </c>
      <c r="C21" s="152">
        <v>2018</v>
      </c>
      <c r="D21" s="160" t="s">
        <v>162</v>
      </c>
      <c r="E21" s="165">
        <v>1800</v>
      </c>
      <c r="F21" s="151" t="s">
        <v>165</v>
      </c>
    </row>
    <row r="22" spans="1:6" ht="30" hidden="1">
      <c r="A22" s="152">
        <v>94</v>
      </c>
      <c r="B22" s="152">
        <v>3</v>
      </c>
      <c r="C22" s="152">
        <v>2018</v>
      </c>
      <c r="D22" s="156" t="s">
        <v>161</v>
      </c>
      <c r="E22" s="165">
        <v>1800</v>
      </c>
    </row>
    <row r="23" spans="1:6" hidden="1">
      <c r="A23" s="152">
        <v>102</v>
      </c>
      <c r="B23" s="152">
        <v>3</v>
      </c>
      <c r="C23" s="152">
        <v>2018</v>
      </c>
      <c r="D23" s="158" t="s">
        <v>163</v>
      </c>
      <c r="E23" s="165">
        <v>1800</v>
      </c>
    </row>
    <row r="24" spans="1:6" hidden="1">
      <c r="A24" s="152">
        <v>103</v>
      </c>
      <c r="B24" s="152">
        <v>3</v>
      </c>
      <c r="C24" s="152">
        <v>2018</v>
      </c>
      <c r="D24" s="158" t="s">
        <v>163</v>
      </c>
      <c r="E24" s="165">
        <v>1800</v>
      </c>
    </row>
    <row r="25" spans="1:6">
      <c r="A25" s="152">
        <v>95</v>
      </c>
      <c r="B25" s="152">
        <v>3</v>
      </c>
      <c r="C25" s="152">
        <v>2018</v>
      </c>
      <c r="D25" s="160" t="s">
        <v>162</v>
      </c>
      <c r="E25" s="165">
        <v>1800</v>
      </c>
      <c r="F25" s="151" t="s">
        <v>165</v>
      </c>
    </row>
    <row r="26" spans="1:6" ht="30" hidden="1">
      <c r="A26" s="152">
        <v>91</v>
      </c>
      <c r="B26" s="152">
        <v>4</v>
      </c>
      <c r="C26" s="152">
        <v>2018</v>
      </c>
      <c r="D26" s="156" t="s">
        <v>161</v>
      </c>
      <c r="E26" s="165">
        <v>1800</v>
      </c>
    </row>
    <row r="27" spans="1:6" hidden="1">
      <c r="A27" s="152">
        <v>57</v>
      </c>
      <c r="B27" s="152">
        <v>4</v>
      </c>
      <c r="C27" s="152">
        <v>2018</v>
      </c>
      <c r="D27" s="161" t="s">
        <v>160</v>
      </c>
      <c r="E27" s="165">
        <v>1800</v>
      </c>
    </row>
    <row r="28" spans="1:6" hidden="1">
      <c r="A28" s="152">
        <v>96</v>
      </c>
      <c r="B28" s="152">
        <v>4</v>
      </c>
      <c r="C28" s="152">
        <v>2018</v>
      </c>
      <c r="D28" s="158" t="s">
        <v>163</v>
      </c>
      <c r="E28" s="165">
        <v>1800</v>
      </c>
    </row>
    <row r="29" spans="1:6" hidden="1">
      <c r="A29" s="152">
        <v>104</v>
      </c>
      <c r="B29" s="152">
        <v>4</v>
      </c>
      <c r="C29" s="152">
        <v>2018</v>
      </c>
      <c r="D29" s="158" t="s">
        <v>163</v>
      </c>
      <c r="E29" s="165">
        <v>1800</v>
      </c>
    </row>
    <row r="30" spans="1:6">
      <c r="A30" s="152">
        <v>111</v>
      </c>
      <c r="B30" s="152">
        <v>4</v>
      </c>
      <c r="C30" s="152">
        <v>2018</v>
      </c>
      <c r="D30" s="160" t="s">
        <v>162</v>
      </c>
      <c r="E30" s="165">
        <v>1800</v>
      </c>
      <c r="F30" s="151" t="s">
        <v>165</v>
      </c>
    </row>
    <row r="31" spans="1:6" ht="30" hidden="1">
      <c r="A31" s="152">
        <v>90</v>
      </c>
      <c r="B31" s="152">
        <v>5</v>
      </c>
      <c r="C31" s="152">
        <v>2018</v>
      </c>
      <c r="D31" s="156" t="s">
        <v>161</v>
      </c>
      <c r="E31" s="165">
        <v>1800</v>
      </c>
    </row>
    <row r="32" spans="1:6" hidden="1">
      <c r="A32" s="152">
        <v>58</v>
      </c>
      <c r="B32" s="152">
        <v>5</v>
      </c>
      <c r="C32" s="152">
        <v>2018</v>
      </c>
      <c r="D32" s="161" t="s">
        <v>160</v>
      </c>
      <c r="E32" s="165">
        <v>1800</v>
      </c>
    </row>
    <row r="33" spans="1:8" hidden="1">
      <c r="A33" s="152">
        <v>105</v>
      </c>
      <c r="B33" s="152">
        <v>5</v>
      </c>
      <c r="C33" s="152">
        <v>2018</v>
      </c>
      <c r="D33" s="158" t="s">
        <v>163</v>
      </c>
      <c r="E33" s="165">
        <v>1800</v>
      </c>
    </row>
    <row r="34" spans="1:8" hidden="1">
      <c r="A34" s="152">
        <v>114</v>
      </c>
      <c r="B34" s="152">
        <v>5</v>
      </c>
      <c r="C34" s="152">
        <v>2018</v>
      </c>
      <c r="D34" s="158" t="s">
        <v>163</v>
      </c>
      <c r="E34" s="165">
        <v>1800</v>
      </c>
    </row>
    <row r="35" spans="1:8">
      <c r="A35" s="152">
        <v>112</v>
      </c>
      <c r="B35" s="152">
        <v>5</v>
      </c>
      <c r="C35" s="152">
        <v>2018</v>
      </c>
      <c r="D35" s="160" t="s">
        <v>162</v>
      </c>
      <c r="E35" s="165">
        <v>1800</v>
      </c>
      <c r="F35" s="151" t="s">
        <v>165</v>
      </c>
    </row>
    <row r="36" spans="1:8" ht="30" hidden="1">
      <c r="A36" s="152">
        <v>93</v>
      </c>
      <c r="B36" s="152">
        <v>6</v>
      </c>
      <c r="C36" s="152">
        <v>2018</v>
      </c>
      <c r="D36" s="156" t="s">
        <v>161</v>
      </c>
      <c r="E36" s="165">
        <v>1800</v>
      </c>
    </row>
    <row r="37" spans="1:8" hidden="1">
      <c r="A37" s="152">
        <v>54</v>
      </c>
      <c r="B37" s="152">
        <v>6</v>
      </c>
      <c r="C37" s="152">
        <v>2018</v>
      </c>
      <c r="D37" s="161" t="s">
        <v>160</v>
      </c>
      <c r="E37" s="165">
        <v>1800</v>
      </c>
    </row>
    <row r="38" spans="1:8" hidden="1">
      <c r="A38" s="152">
        <v>107</v>
      </c>
      <c r="B38" s="152">
        <v>6</v>
      </c>
      <c r="C38" s="152">
        <v>2018</v>
      </c>
      <c r="D38" s="158" t="s">
        <v>163</v>
      </c>
      <c r="E38" s="165">
        <v>1800</v>
      </c>
    </row>
    <row r="39" spans="1:8" hidden="1">
      <c r="A39" s="152">
        <v>108</v>
      </c>
      <c r="B39" s="152">
        <v>6</v>
      </c>
      <c r="C39" s="152">
        <v>2018</v>
      </c>
      <c r="D39" s="158" t="s">
        <v>163</v>
      </c>
      <c r="E39" s="165">
        <v>1800</v>
      </c>
    </row>
    <row r="40" spans="1:8">
      <c r="A40" s="152">
        <v>113</v>
      </c>
      <c r="B40" s="152">
        <v>6</v>
      </c>
      <c r="C40" s="152">
        <v>2018</v>
      </c>
      <c r="D40" s="160" t="s">
        <v>162</v>
      </c>
      <c r="E40" s="165">
        <v>1800</v>
      </c>
      <c r="F40" s="151" t="s">
        <v>165</v>
      </c>
    </row>
    <row r="41" spans="1:8" ht="30" hidden="1">
      <c r="A41" s="152">
        <v>119</v>
      </c>
      <c r="B41" s="152">
        <v>7</v>
      </c>
      <c r="C41" s="152">
        <v>2019</v>
      </c>
      <c r="D41" s="156" t="s">
        <v>161</v>
      </c>
      <c r="E41" s="165">
        <v>1800</v>
      </c>
    </row>
    <row r="42" spans="1:8" hidden="1">
      <c r="A42" s="152">
        <v>61</v>
      </c>
      <c r="B42" s="152">
        <v>7</v>
      </c>
      <c r="C42" s="152">
        <v>2019</v>
      </c>
      <c r="D42" s="161" t="s">
        <v>160</v>
      </c>
      <c r="E42" s="165">
        <v>1800</v>
      </c>
    </row>
    <row r="43" spans="1:8">
      <c r="A43" s="152">
        <v>120</v>
      </c>
      <c r="B43" s="152">
        <v>7</v>
      </c>
      <c r="C43" s="152">
        <v>2019</v>
      </c>
      <c r="D43" s="160" t="s">
        <v>162</v>
      </c>
      <c r="E43" s="165">
        <v>1800</v>
      </c>
      <c r="F43" s="151" t="s">
        <v>165</v>
      </c>
    </row>
    <row r="44" spans="1:8" ht="30" hidden="1">
      <c r="A44" s="152">
        <v>118</v>
      </c>
      <c r="B44" s="152">
        <v>8</v>
      </c>
      <c r="C44" s="152">
        <v>2019</v>
      </c>
      <c r="D44" s="156" t="s">
        <v>161</v>
      </c>
      <c r="E44" s="165">
        <v>1800</v>
      </c>
    </row>
    <row r="45" spans="1:8" hidden="1">
      <c r="A45" s="152">
        <v>60</v>
      </c>
      <c r="B45" s="152">
        <v>8</v>
      </c>
      <c r="C45" s="152">
        <v>2019</v>
      </c>
      <c r="D45" s="161" t="s">
        <v>160</v>
      </c>
      <c r="E45" s="165">
        <v>1800</v>
      </c>
    </row>
    <row r="46" spans="1:8">
      <c r="A46" s="152">
        <v>121</v>
      </c>
      <c r="B46" s="152">
        <v>8</v>
      </c>
      <c r="C46" s="152">
        <v>2019</v>
      </c>
      <c r="D46" s="160" t="s">
        <v>162</v>
      </c>
      <c r="E46" s="165">
        <v>1800</v>
      </c>
      <c r="F46" s="151" t="s">
        <v>165</v>
      </c>
      <c r="H46" s="151" t="s">
        <v>173</v>
      </c>
    </row>
    <row r="47" spans="1:8" ht="30" hidden="1">
      <c r="A47" s="152">
        <v>117</v>
      </c>
      <c r="B47" s="152">
        <v>9</v>
      </c>
      <c r="C47" s="152">
        <v>2019</v>
      </c>
      <c r="D47" s="156" t="s">
        <v>161</v>
      </c>
      <c r="E47" s="165">
        <v>1800</v>
      </c>
    </row>
    <row r="48" spans="1:8" hidden="1">
      <c r="A48" s="152">
        <v>59</v>
      </c>
      <c r="B48" s="152">
        <v>9</v>
      </c>
      <c r="C48" s="152">
        <v>2019</v>
      </c>
      <c r="D48" s="161" t="s">
        <v>160</v>
      </c>
      <c r="E48" s="165">
        <v>1800</v>
      </c>
    </row>
    <row r="49" spans="1:7">
      <c r="A49" s="152">
        <v>122</v>
      </c>
      <c r="B49" s="152">
        <v>9</v>
      </c>
      <c r="C49" s="152">
        <v>2019</v>
      </c>
      <c r="D49" s="160" t="s">
        <v>162</v>
      </c>
      <c r="E49" s="165">
        <v>1800</v>
      </c>
      <c r="F49" s="151" t="s">
        <v>165</v>
      </c>
      <c r="G49" s="151" t="s">
        <v>165</v>
      </c>
    </row>
    <row r="50" spans="1:7" ht="30" hidden="1">
      <c r="A50" s="152">
        <v>116</v>
      </c>
      <c r="B50" s="152">
        <v>10</v>
      </c>
      <c r="C50" s="152">
        <v>2019</v>
      </c>
      <c r="D50" s="156" t="s">
        <v>161</v>
      </c>
      <c r="E50" s="165">
        <v>1800</v>
      </c>
    </row>
    <row r="51" spans="1:7" hidden="1">
      <c r="A51" s="152">
        <v>62</v>
      </c>
      <c r="B51" s="152">
        <v>10</v>
      </c>
      <c r="C51" s="152">
        <v>2019</v>
      </c>
      <c r="D51" s="161" t="s">
        <v>160</v>
      </c>
      <c r="E51" s="165">
        <v>1800</v>
      </c>
    </row>
    <row r="52" spans="1:7">
      <c r="A52" s="152">
        <v>115</v>
      </c>
      <c r="B52" s="152">
        <v>10</v>
      </c>
      <c r="C52" s="152">
        <v>2019</v>
      </c>
      <c r="D52" s="160" t="s">
        <v>162</v>
      </c>
      <c r="E52" s="165">
        <v>1800</v>
      </c>
      <c r="F52" s="151" t="s">
        <v>165</v>
      </c>
    </row>
    <row r="53" spans="1:7">
      <c r="A53" s="152">
        <v>63</v>
      </c>
      <c r="B53" s="152">
        <v>11</v>
      </c>
      <c r="C53" s="152">
        <v>2019</v>
      </c>
      <c r="D53" s="161" t="s">
        <v>160</v>
      </c>
      <c r="E53" s="165">
        <v>1800</v>
      </c>
      <c r="F53" s="151" t="s">
        <v>165</v>
      </c>
      <c r="G53" s="151" t="s">
        <v>165</v>
      </c>
    </row>
    <row r="54" spans="1:7">
      <c r="A54" s="152">
        <v>64</v>
      </c>
      <c r="B54" s="152">
        <v>12</v>
      </c>
      <c r="C54" s="152">
        <v>2019</v>
      </c>
      <c r="D54" s="161" t="s">
        <v>160</v>
      </c>
      <c r="E54" s="165">
        <v>1800</v>
      </c>
      <c r="F54" s="151" t="s">
        <v>165</v>
      </c>
      <c r="G54" s="151" t="s">
        <v>165</v>
      </c>
    </row>
    <row r="55" spans="1:7">
      <c r="A55" s="152">
        <v>65</v>
      </c>
      <c r="B55" s="152">
        <v>13</v>
      </c>
      <c r="C55" s="152">
        <v>2019</v>
      </c>
      <c r="D55" s="161" t="s">
        <v>160</v>
      </c>
      <c r="E55" s="165">
        <v>1800</v>
      </c>
      <c r="F55" s="151" t="s">
        <v>165</v>
      </c>
      <c r="G55" s="151" t="s">
        <v>165</v>
      </c>
    </row>
    <row r="56" spans="1:7">
      <c r="A56" s="152">
        <v>5</v>
      </c>
      <c r="B56" s="152">
        <v>27</v>
      </c>
      <c r="C56" s="152">
        <v>2020</v>
      </c>
      <c r="D56" s="153" t="s">
        <v>158</v>
      </c>
      <c r="E56" s="163">
        <v>120</v>
      </c>
      <c r="F56" s="151" t="s">
        <v>165</v>
      </c>
    </row>
    <row r="57" spans="1:7" hidden="1">
      <c r="A57" s="152">
        <v>70</v>
      </c>
      <c r="B57" s="152">
        <v>27</v>
      </c>
      <c r="C57" s="152">
        <v>2020</v>
      </c>
      <c r="D57" s="161" t="s">
        <v>160</v>
      </c>
      <c r="E57" s="157">
        <v>600</v>
      </c>
    </row>
    <row r="58" spans="1:7" hidden="1">
      <c r="A58" s="152">
        <v>39</v>
      </c>
      <c r="B58" s="152">
        <v>27</v>
      </c>
      <c r="C58" s="152">
        <v>2020</v>
      </c>
      <c r="D58" s="153" t="s">
        <v>159</v>
      </c>
      <c r="E58" s="157">
        <v>600</v>
      </c>
    </row>
    <row r="59" spans="1:7">
      <c r="A59" s="152">
        <v>7</v>
      </c>
      <c r="B59" s="152">
        <v>28</v>
      </c>
      <c r="C59" s="152">
        <v>2020</v>
      </c>
      <c r="D59" s="153" t="s">
        <v>158</v>
      </c>
      <c r="E59" s="163">
        <v>120</v>
      </c>
      <c r="F59" s="151" t="s">
        <v>165</v>
      </c>
    </row>
    <row r="60" spans="1:7" hidden="1">
      <c r="A60" s="152">
        <v>69</v>
      </c>
      <c r="B60" s="152">
        <v>28</v>
      </c>
      <c r="C60" s="152">
        <v>2020</v>
      </c>
      <c r="D60" s="161" t="s">
        <v>160</v>
      </c>
      <c r="E60" s="157">
        <v>600</v>
      </c>
    </row>
    <row r="61" spans="1:7" hidden="1">
      <c r="A61" s="152">
        <v>38</v>
      </c>
      <c r="B61" s="152">
        <v>28</v>
      </c>
      <c r="C61" s="152">
        <v>2020</v>
      </c>
      <c r="D61" s="153" t="s">
        <v>159</v>
      </c>
      <c r="E61" s="157">
        <v>600</v>
      </c>
    </row>
    <row r="62" spans="1:7" hidden="1">
      <c r="A62" s="152">
        <v>3</v>
      </c>
      <c r="B62" s="152">
        <v>29</v>
      </c>
      <c r="C62" s="152">
        <v>2020</v>
      </c>
      <c r="D62" s="153" t="s">
        <v>158</v>
      </c>
      <c r="E62" s="162">
        <v>20</v>
      </c>
    </row>
    <row r="63" spans="1:7">
      <c r="A63" s="152">
        <v>10</v>
      </c>
      <c r="B63" s="152">
        <v>29</v>
      </c>
      <c r="C63" s="152">
        <v>2020</v>
      </c>
      <c r="D63" s="153" t="s">
        <v>158</v>
      </c>
      <c r="E63" s="163">
        <v>120</v>
      </c>
      <c r="F63" s="151" t="s">
        <v>165</v>
      </c>
    </row>
    <row r="64" spans="1:7" hidden="1">
      <c r="A64" s="152">
        <v>66</v>
      </c>
      <c r="B64" s="152">
        <v>29</v>
      </c>
      <c r="C64" s="152">
        <v>2020</v>
      </c>
      <c r="D64" s="161" t="s">
        <v>160</v>
      </c>
      <c r="E64" s="157">
        <v>600</v>
      </c>
    </row>
    <row r="65" spans="1:6" hidden="1">
      <c r="A65" s="152">
        <v>40</v>
      </c>
      <c r="B65" s="152">
        <v>29</v>
      </c>
      <c r="C65" s="152">
        <v>2020</v>
      </c>
      <c r="D65" s="153" t="s">
        <v>159</v>
      </c>
      <c r="E65" s="157">
        <v>600</v>
      </c>
    </row>
    <row r="66" spans="1:6" hidden="1">
      <c r="A66" s="152">
        <v>1</v>
      </c>
      <c r="B66" s="152">
        <v>30</v>
      </c>
      <c r="C66" s="152">
        <v>2020</v>
      </c>
      <c r="D66" s="153" t="s">
        <v>158</v>
      </c>
      <c r="E66" s="162">
        <v>20</v>
      </c>
    </row>
    <row r="67" spans="1:6">
      <c r="A67" s="152">
        <v>9</v>
      </c>
      <c r="B67" s="152">
        <v>30</v>
      </c>
      <c r="C67" s="152">
        <v>2020</v>
      </c>
      <c r="D67" s="153" t="s">
        <v>158</v>
      </c>
      <c r="E67" s="163">
        <v>120</v>
      </c>
      <c r="F67" s="151" t="s">
        <v>165</v>
      </c>
    </row>
    <row r="68" spans="1:6" hidden="1">
      <c r="A68" s="152">
        <v>67</v>
      </c>
      <c r="B68" s="152">
        <v>30</v>
      </c>
      <c r="C68" s="152">
        <v>2020</v>
      </c>
      <c r="D68" s="161" t="s">
        <v>160</v>
      </c>
      <c r="E68" s="157">
        <v>600</v>
      </c>
    </row>
    <row r="69" spans="1:6" hidden="1">
      <c r="A69" s="152">
        <v>37</v>
      </c>
      <c r="B69" s="152">
        <v>30</v>
      </c>
      <c r="C69" s="152">
        <v>2020</v>
      </c>
      <c r="D69" s="153" t="s">
        <v>159</v>
      </c>
      <c r="E69" s="157">
        <v>600</v>
      </c>
    </row>
    <row r="70" spans="1:6" hidden="1">
      <c r="A70" s="152">
        <v>2</v>
      </c>
      <c r="B70" s="152">
        <v>31</v>
      </c>
      <c r="C70" s="152">
        <v>2020</v>
      </c>
      <c r="D70" s="155" t="s">
        <v>158</v>
      </c>
      <c r="E70" s="162">
        <v>20</v>
      </c>
    </row>
    <row r="71" spans="1:6">
      <c r="A71" s="152">
        <v>8</v>
      </c>
      <c r="B71" s="152">
        <v>31</v>
      </c>
      <c r="C71" s="152">
        <v>2020</v>
      </c>
      <c r="D71" s="155" t="s">
        <v>158</v>
      </c>
      <c r="E71" s="163">
        <v>120</v>
      </c>
      <c r="F71" s="151" t="s">
        <v>165</v>
      </c>
    </row>
    <row r="72" spans="1:6" hidden="1">
      <c r="A72" s="152">
        <v>68</v>
      </c>
      <c r="B72" s="152">
        <v>31</v>
      </c>
      <c r="C72" s="152">
        <v>2020</v>
      </c>
      <c r="D72" s="161" t="s">
        <v>160</v>
      </c>
      <c r="E72" s="157">
        <v>600</v>
      </c>
    </row>
    <row r="73" spans="1:6" hidden="1">
      <c r="A73" s="152">
        <v>36</v>
      </c>
      <c r="B73" s="152">
        <v>31</v>
      </c>
      <c r="C73" s="152">
        <v>2020</v>
      </c>
      <c r="D73" s="155" t="s">
        <v>159</v>
      </c>
      <c r="E73" s="157">
        <v>600</v>
      </c>
    </row>
    <row r="74" spans="1:6" hidden="1">
      <c r="A74" s="152">
        <v>4</v>
      </c>
      <c r="B74" s="152">
        <v>32</v>
      </c>
      <c r="C74" s="152">
        <v>2020</v>
      </c>
      <c r="D74" s="155" t="s">
        <v>158</v>
      </c>
      <c r="E74" s="162">
        <v>20</v>
      </c>
    </row>
    <row r="75" spans="1:6">
      <c r="A75" s="152">
        <v>11</v>
      </c>
      <c r="B75" s="152">
        <v>32</v>
      </c>
      <c r="C75" s="152">
        <v>2020</v>
      </c>
      <c r="D75" s="155" t="s">
        <v>158</v>
      </c>
      <c r="E75" s="163">
        <v>120</v>
      </c>
      <c r="F75" s="151" t="s">
        <v>165</v>
      </c>
    </row>
    <row r="76" spans="1:6" hidden="1">
      <c r="A76" s="152">
        <v>71</v>
      </c>
      <c r="B76" s="152">
        <v>32</v>
      </c>
      <c r="C76" s="152">
        <v>2020</v>
      </c>
      <c r="D76" s="161" t="s">
        <v>160</v>
      </c>
      <c r="E76" s="157">
        <v>600</v>
      </c>
    </row>
    <row r="77" spans="1:6" hidden="1">
      <c r="A77" s="152">
        <v>35</v>
      </c>
      <c r="B77" s="152">
        <v>32</v>
      </c>
      <c r="C77" s="152">
        <v>2020</v>
      </c>
      <c r="D77" s="155" t="s">
        <v>159</v>
      </c>
      <c r="E77" s="157">
        <v>600</v>
      </c>
    </row>
    <row r="78" spans="1:6" hidden="1">
      <c r="A78" s="152">
        <v>0</v>
      </c>
      <c r="B78" s="152">
        <v>33</v>
      </c>
      <c r="C78" s="152">
        <v>2020</v>
      </c>
      <c r="D78" s="153" t="s">
        <v>158</v>
      </c>
      <c r="E78" s="162">
        <v>20</v>
      </c>
    </row>
    <row r="79" spans="1:6">
      <c r="A79" s="152">
        <v>6</v>
      </c>
      <c r="B79" s="152">
        <v>33</v>
      </c>
      <c r="C79" s="152">
        <v>2020</v>
      </c>
      <c r="D79" s="153" t="s">
        <v>158</v>
      </c>
      <c r="E79" s="163">
        <v>120</v>
      </c>
      <c r="F79" s="151" t="s">
        <v>165</v>
      </c>
    </row>
    <row r="80" spans="1:6" hidden="1">
      <c r="A80" s="152">
        <v>72</v>
      </c>
      <c r="B80" s="152">
        <v>33</v>
      </c>
      <c r="C80" s="152">
        <v>2020</v>
      </c>
      <c r="D80" s="161" t="s">
        <v>160</v>
      </c>
      <c r="E80" s="157">
        <v>600</v>
      </c>
    </row>
    <row r="81" spans="1:6" hidden="1">
      <c r="A81" s="152">
        <v>34</v>
      </c>
      <c r="B81" s="152">
        <v>33</v>
      </c>
      <c r="C81" s="152">
        <v>2020</v>
      </c>
      <c r="D81" s="153" t="s">
        <v>159</v>
      </c>
      <c r="E81" s="157">
        <v>600</v>
      </c>
    </row>
    <row r="82" spans="1:6" hidden="1">
      <c r="A82" s="152">
        <v>12</v>
      </c>
      <c r="B82" s="152">
        <v>34</v>
      </c>
      <c r="C82" s="152">
        <v>2021</v>
      </c>
      <c r="D82" s="153" t="s">
        <v>158</v>
      </c>
      <c r="E82" s="162">
        <v>20</v>
      </c>
    </row>
    <row r="83" spans="1:6">
      <c r="A83" s="152">
        <v>17</v>
      </c>
      <c r="B83" s="152">
        <v>34</v>
      </c>
      <c r="C83" s="152">
        <v>2021</v>
      </c>
      <c r="D83" s="153" t="s">
        <v>158</v>
      </c>
      <c r="E83" s="163">
        <v>120</v>
      </c>
      <c r="F83" s="151" t="s">
        <v>165</v>
      </c>
    </row>
    <row r="84" spans="1:6" hidden="1">
      <c r="A84" s="152">
        <v>74</v>
      </c>
      <c r="B84" s="152">
        <v>34</v>
      </c>
      <c r="C84" s="152">
        <v>2021</v>
      </c>
      <c r="D84" s="161" t="s">
        <v>160</v>
      </c>
      <c r="E84" s="157">
        <v>600</v>
      </c>
    </row>
    <row r="85" spans="1:6" hidden="1">
      <c r="A85" s="152">
        <v>43</v>
      </c>
      <c r="B85" s="152">
        <v>34</v>
      </c>
      <c r="C85" s="152">
        <v>2021</v>
      </c>
      <c r="D85" s="153" t="s">
        <v>159</v>
      </c>
      <c r="E85" s="157">
        <v>600</v>
      </c>
    </row>
    <row r="86" spans="1:6" hidden="1">
      <c r="A86" s="152">
        <v>14</v>
      </c>
      <c r="B86" s="152">
        <v>35</v>
      </c>
      <c r="C86" s="152">
        <v>2021</v>
      </c>
      <c r="D86" s="153" t="s">
        <v>158</v>
      </c>
      <c r="E86" s="162">
        <v>20</v>
      </c>
    </row>
    <row r="87" spans="1:6">
      <c r="A87" s="152">
        <v>20</v>
      </c>
      <c r="B87" s="152">
        <v>35</v>
      </c>
      <c r="C87" s="152">
        <v>2021</v>
      </c>
      <c r="D87" s="153" t="s">
        <v>158</v>
      </c>
      <c r="E87" s="163">
        <v>120</v>
      </c>
      <c r="F87" s="151" t="s">
        <v>165</v>
      </c>
    </row>
    <row r="88" spans="1:6" hidden="1">
      <c r="A88" s="152">
        <v>75</v>
      </c>
      <c r="B88" s="152">
        <v>35</v>
      </c>
      <c r="C88" s="152">
        <v>2021</v>
      </c>
      <c r="D88" s="161" t="s">
        <v>160</v>
      </c>
      <c r="E88" s="157">
        <v>600</v>
      </c>
    </row>
    <row r="89" spans="1:6" hidden="1">
      <c r="A89" s="152">
        <v>41</v>
      </c>
      <c r="B89" s="152">
        <v>35</v>
      </c>
      <c r="C89" s="152">
        <v>2021</v>
      </c>
      <c r="D89" s="153" t="s">
        <v>159</v>
      </c>
      <c r="E89" s="157">
        <v>600</v>
      </c>
    </row>
    <row r="90" spans="1:6" hidden="1">
      <c r="A90" s="152">
        <v>16</v>
      </c>
      <c r="B90" s="152">
        <v>36</v>
      </c>
      <c r="C90" s="152">
        <v>2021</v>
      </c>
      <c r="D90" s="153" t="s">
        <v>158</v>
      </c>
      <c r="E90" s="162">
        <v>20</v>
      </c>
    </row>
    <row r="91" spans="1:6">
      <c r="A91" s="152">
        <v>21</v>
      </c>
      <c r="B91" s="152">
        <v>36</v>
      </c>
      <c r="C91" s="152">
        <v>2021</v>
      </c>
      <c r="D91" s="153" t="s">
        <v>158</v>
      </c>
      <c r="E91" s="163">
        <v>120</v>
      </c>
      <c r="F91" s="151" t="s">
        <v>165</v>
      </c>
    </row>
    <row r="92" spans="1:6" hidden="1">
      <c r="A92" s="152">
        <v>76</v>
      </c>
      <c r="B92" s="152">
        <v>36</v>
      </c>
      <c r="C92" s="152">
        <v>2021</v>
      </c>
      <c r="D92" s="161" t="s">
        <v>160</v>
      </c>
      <c r="E92" s="157">
        <v>600</v>
      </c>
    </row>
    <row r="93" spans="1:6" hidden="1">
      <c r="A93" s="152">
        <v>42</v>
      </c>
      <c r="B93" s="152">
        <v>36</v>
      </c>
      <c r="C93" s="152">
        <v>2021</v>
      </c>
      <c r="D93" s="153" t="s">
        <v>159</v>
      </c>
      <c r="E93" s="157">
        <v>600</v>
      </c>
    </row>
    <row r="94" spans="1:6" hidden="1">
      <c r="A94" s="152">
        <v>15</v>
      </c>
      <c r="B94" s="152">
        <v>37</v>
      </c>
      <c r="C94" s="152">
        <v>2021</v>
      </c>
      <c r="D94" s="153" t="s">
        <v>158</v>
      </c>
      <c r="E94" s="162">
        <v>20</v>
      </c>
    </row>
    <row r="95" spans="1:6">
      <c r="A95" s="152">
        <v>18</v>
      </c>
      <c r="B95" s="152">
        <v>37</v>
      </c>
      <c r="C95" s="152">
        <v>2021</v>
      </c>
      <c r="D95" s="153" t="s">
        <v>158</v>
      </c>
      <c r="E95" s="163">
        <v>120</v>
      </c>
      <c r="F95" s="151" t="s">
        <v>165</v>
      </c>
    </row>
    <row r="96" spans="1:6" hidden="1">
      <c r="A96" s="152">
        <v>77</v>
      </c>
      <c r="B96" s="152">
        <v>37</v>
      </c>
      <c r="C96" s="152">
        <v>2021</v>
      </c>
      <c r="D96" s="161" t="s">
        <v>160</v>
      </c>
      <c r="E96" s="157">
        <v>600</v>
      </c>
    </row>
    <row r="97" spans="1:6" hidden="1">
      <c r="A97" s="152">
        <v>44</v>
      </c>
      <c r="B97" s="152">
        <v>37</v>
      </c>
      <c r="C97" s="152">
        <v>2021</v>
      </c>
      <c r="D97" s="153" t="s">
        <v>159</v>
      </c>
      <c r="E97" s="157">
        <v>600</v>
      </c>
    </row>
    <row r="98" spans="1:6" hidden="1">
      <c r="A98" s="152">
        <v>13</v>
      </c>
      <c r="B98" s="152">
        <v>38</v>
      </c>
      <c r="C98" s="152">
        <v>2021</v>
      </c>
      <c r="D98" s="153" t="s">
        <v>158</v>
      </c>
      <c r="E98" s="162">
        <v>20</v>
      </c>
    </row>
    <row r="99" spans="1:6">
      <c r="A99" s="152">
        <v>19</v>
      </c>
      <c r="B99" s="152">
        <v>38</v>
      </c>
      <c r="C99" s="152">
        <v>2021</v>
      </c>
      <c r="D99" s="153" t="s">
        <v>158</v>
      </c>
      <c r="E99" s="163">
        <v>120</v>
      </c>
      <c r="F99" s="151" t="s">
        <v>165</v>
      </c>
    </row>
    <row r="100" spans="1:6" hidden="1">
      <c r="A100" s="152">
        <v>73</v>
      </c>
      <c r="B100" s="152">
        <v>38</v>
      </c>
      <c r="C100" s="152">
        <v>2021</v>
      </c>
      <c r="D100" s="161" t="s">
        <v>160</v>
      </c>
      <c r="E100" s="157">
        <v>600</v>
      </c>
    </row>
    <row r="101" spans="1:6" hidden="1">
      <c r="A101" s="152">
        <v>45</v>
      </c>
      <c r="B101" s="152">
        <v>38</v>
      </c>
      <c r="C101" s="152">
        <v>2021</v>
      </c>
      <c r="D101" s="153" t="s">
        <v>159</v>
      </c>
      <c r="E101" s="157">
        <v>600</v>
      </c>
    </row>
    <row r="102" spans="1:6">
      <c r="A102" s="152">
        <v>22</v>
      </c>
      <c r="B102" s="152">
        <v>61</v>
      </c>
      <c r="C102" s="152">
        <v>2023</v>
      </c>
      <c r="D102" s="153" t="s">
        <v>158</v>
      </c>
      <c r="E102" s="163">
        <v>120</v>
      </c>
      <c r="F102" s="151" t="s">
        <v>165</v>
      </c>
    </row>
    <row r="103" spans="1:6" hidden="1">
      <c r="A103" s="152">
        <v>85</v>
      </c>
      <c r="B103" s="152">
        <v>61</v>
      </c>
      <c r="C103" s="152">
        <v>2023</v>
      </c>
      <c r="D103" s="161" t="s">
        <v>160</v>
      </c>
      <c r="E103" s="164">
        <v>200</v>
      </c>
    </row>
    <row r="104" spans="1:6" hidden="1">
      <c r="A104" s="152">
        <v>46</v>
      </c>
      <c r="B104" s="152">
        <v>61</v>
      </c>
      <c r="C104" s="152">
        <v>2023</v>
      </c>
      <c r="D104" s="153" t="s">
        <v>159</v>
      </c>
      <c r="E104" s="164">
        <v>200</v>
      </c>
    </row>
    <row r="105" spans="1:6">
      <c r="A105" s="152">
        <v>23</v>
      </c>
      <c r="B105" s="152">
        <v>62</v>
      </c>
      <c r="C105" s="152">
        <v>2023</v>
      </c>
      <c r="D105" s="153" t="s">
        <v>158</v>
      </c>
      <c r="E105" s="163">
        <v>120</v>
      </c>
      <c r="F105" s="151" t="s">
        <v>165</v>
      </c>
    </row>
    <row r="106" spans="1:6" hidden="1">
      <c r="A106" s="152">
        <v>84</v>
      </c>
      <c r="B106" s="152">
        <v>62</v>
      </c>
      <c r="C106" s="152">
        <v>2023</v>
      </c>
      <c r="D106" s="161" t="s">
        <v>160</v>
      </c>
      <c r="E106" s="164">
        <v>200</v>
      </c>
    </row>
    <row r="107" spans="1:6" hidden="1">
      <c r="A107" s="152">
        <v>47</v>
      </c>
      <c r="B107" s="152">
        <v>62</v>
      </c>
      <c r="C107" s="152">
        <v>2023</v>
      </c>
      <c r="D107" s="153" t="s">
        <v>159</v>
      </c>
      <c r="E107" s="164">
        <v>200</v>
      </c>
    </row>
    <row r="108" spans="1:6">
      <c r="A108" s="152">
        <v>24</v>
      </c>
      <c r="B108" s="152">
        <v>63</v>
      </c>
      <c r="C108" s="152">
        <v>2023</v>
      </c>
      <c r="D108" s="153" t="s">
        <v>158</v>
      </c>
      <c r="E108" s="163">
        <v>120</v>
      </c>
      <c r="F108" s="151" t="s">
        <v>165</v>
      </c>
    </row>
    <row r="109" spans="1:6" hidden="1">
      <c r="A109" s="152">
        <v>83</v>
      </c>
      <c r="B109" s="152">
        <v>63</v>
      </c>
      <c r="C109" s="152">
        <v>2023</v>
      </c>
      <c r="D109" s="161" t="s">
        <v>160</v>
      </c>
      <c r="E109" s="164">
        <v>200</v>
      </c>
    </row>
    <row r="110" spans="1:6" hidden="1">
      <c r="A110" s="152">
        <v>48</v>
      </c>
      <c r="B110" s="152">
        <v>63</v>
      </c>
      <c r="C110" s="152">
        <v>2023</v>
      </c>
      <c r="D110" s="153" t="s">
        <v>159</v>
      </c>
      <c r="E110" s="164">
        <v>200</v>
      </c>
    </row>
    <row r="111" spans="1:6">
      <c r="A111" s="152">
        <v>25</v>
      </c>
      <c r="B111" s="152">
        <v>64</v>
      </c>
      <c r="C111" s="152">
        <v>2023</v>
      </c>
      <c r="D111" s="153" t="s">
        <v>158</v>
      </c>
      <c r="E111" s="163">
        <v>120</v>
      </c>
      <c r="F111" s="151" t="s">
        <v>165</v>
      </c>
    </row>
    <row r="112" spans="1:6" hidden="1">
      <c r="A112" s="152">
        <v>82</v>
      </c>
      <c r="B112" s="152">
        <v>64</v>
      </c>
      <c r="C112" s="152">
        <v>2023</v>
      </c>
      <c r="D112" s="161" t="s">
        <v>160</v>
      </c>
      <c r="E112" s="164">
        <v>200</v>
      </c>
    </row>
    <row r="113" spans="1:6" hidden="1">
      <c r="A113" s="152">
        <v>49</v>
      </c>
      <c r="B113" s="152">
        <v>64</v>
      </c>
      <c r="C113" s="152">
        <v>2023</v>
      </c>
      <c r="D113" s="153" t="s">
        <v>159</v>
      </c>
      <c r="E113" s="164">
        <v>200</v>
      </c>
    </row>
    <row r="114" spans="1:6">
      <c r="A114" s="152">
        <v>26</v>
      </c>
      <c r="B114" s="152">
        <v>65</v>
      </c>
      <c r="C114" s="152">
        <v>2023</v>
      </c>
      <c r="D114" s="153" t="s">
        <v>158</v>
      </c>
      <c r="E114" s="163">
        <v>120</v>
      </c>
      <c r="F114" s="151" t="s">
        <v>165</v>
      </c>
    </row>
    <row r="115" spans="1:6" hidden="1">
      <c r="A115" s="152">
        <v>81</v>
      </c>
      <c r="B115" s="152">
        <v>65</v>
      </c>
      <c r="C115" s="152">
        <v>2023</v>
      </c>
      <c r="D115" s="161" t="s">
        <v>160</v>
      </c>
      <c r="E115" s="164">
        <v>200</v>
      </c>
    </row>
    <row r="116" spans="1:6" hidden="1">
      <c r="A116" s="152">
        <v>50</v>
      </c>
      <c r="B116" s="152">
        <v>65</v>
      </c>
      <c r="C116" s="152">
        <v>2023</v>
      </c>
      <c r="D116" s="153" t="s">
        <v>159</v>
      </c>
      <c r="E116" s="164">
        <v>200</v>
      </c>
    </row>
    <row r="117" spans="1:6">
      <c r="A117" s="152">
        <v>27</v>
      </c>
      <c r="B117" s="152">
        <v>67</v>
      </c>
      <c r="C117" s="152">
        <v>2023</v>
      </c>
      <c r="D117" s="153" t="s">
        <v>158</v>
      </c>
      <c r="E117" s="163">
        <v>120</v>
      </c>
      <c r="F117" s="151" t="s">
        <v>165</v>
      </c>
    </row>
    <row r="118" spans="1:6" hidden="1">
      <c r="A118" s="152">
        <v>80</v>
      </c>
      <c r="B118" s="152">
        <v>67</v>
      </c>
      <c r="C118" s="152">
        <v>2023</v>
      </c>
      <c r="D118" s="161" t="s">
        <v>160</v>
      </c>
      <c r="E118" s="164">
        <v>200</v>
      </c>
    </row>
    <row r="119" spans="1:6" hidden="1">
      <c r="A119" s="152">
        <v>51</v>
      </c>
      <c r="B119" s="152">
        <v>67</v>
      </c>
      <c r="C119" s="152">
        <v>2023</v>
      </c>
      <c r="D119" s="153" t="s">
        <v>159</v>
      </c>
      <c r="E119" s="164">
        <v>200</v>
      </c>
    </row>
    <row r="120" spans="1:6">
      <c r="A120" s="152">
        <v>28</v>
      </c>
      <c r="B120" s="152">
        <v>68</v>
      </c>
      <c r="C120" s="152">
        <v>2023</v>
      </c>
      <c r="D120" s="153" t="s">
        <v>158</v>
      </c>
      <c r="E120" s="163">
        <v>120</v>
      </c>
      <c r="F120" s="151" t="s">
        <v>165</v>
      </c>
    </row>
    <row r="121" spans="1:6" hidden="1">
      <c r="A121" s="152">
        <v>78</v>
      </c>
      <c r="B121" s="152">
        <v>68</v>
      </c>
      <c r="C121" s="152">
        <v>2023</v>
      </c>
      <c r="D121" s="161" t="s">
        <v>160</v>
      </c>
      <c r="E121" s="164">
        <v>200</v>
      </c>
    </row>
    <row r="122" spans="1:6" hidden="1">
      <c r="A122" s="152">
        <v>52</v>
      </c>
      <c r="B122" s="152">
        <v>68</v>
      </c>
      <c r="C122" s="152">
        <v>2023</v>
      </c>
      <c r="D122" s="153" t="s">
        <v>159</v>
      </c>
      <c r="E122" s="164">
        <v>200</v>
      </c>
    </row>
    <row r="123" spans="1:6">
      <c r="A123" s="152">
        <v>29</v>
      </c>
      <c r="B123" s="152">
        <v>69</v>
      </c>
      <c r="C123" s="152">
        <v>2023</v>
      </c>
      <c r="D123" s="153" t="s">
        <v>158</v>
      </c>
      <c r="E123" s="163">
        <v>120</v>
      </c>
      <c r="F123" s="151" t="s">
        <v>165</v>
      </c>
    </row>
    <row r="124" spans="1:6" hidden="1">
      <c r="A124" s="152">
        <v>79</v>
      </c>
      <c r="B124" s="152">
        <v>69</v>
      </c>
      <c r="C124" s="152">
        <v>2023</v>
      </c>
      <c r="D124" s="161" t="s">
        <v>160</v>
      </c>
      <c r="E124" s="164">
        <v>200</v>
      </c>
    </row>
    <row r="125" spans="1:6" hidden="1">
      <c r="A125" s="152">
        <v>53</v>
      </c>
      <c r="B125" s="152">
        <v>69</v>
      </c>
      <c r="C125" s="152">
        <v>2023</v>
      </c>
      <c r="D125" s="153" t="s">
        <v>159</v>
      </c>
      <c r="E125" s="164">
        <v>200</v>
      </c>
    </row>
    <row r="126" spans="1:6">
      <c r="A126" s="152">
        <v>30</v>
      </c>
      <c r="B126" s="152">
        <v>87</v>
      </c>
      <c r="C126" s="152">
        <v>2024</v>
      </c>
      <c r="D126" s="153" t="s">
        <v>158</v>
      </c>
      <c r="E126" s="163">
        <v>120</v>
      </c>
      <c r="F126" s="151" t="s">
        <v>165</v>
      </c>
    </row>
    <row r="127" spans="1:6" hidden="1">
      <c r="A127" s="152">
        <v>86</v>
      </c>
      <c r="B127" s="152">
        <v>87</v>
      </c>
      <c r="C127" s="152">
        <v>2024</v>
      </c>
      <c r="D127" s="161" t="s">
        <v>160</v>
      </c>
      <c r="E127" s="164">
        <v>200</v>
      </c>
    </row>
    <row r="128" spans="1:6">
      <c r="A128" s="152">
        <v>33</v>
      </c>
      <c r="B128" s="152">
        <v>88</v>
      </c>
      <c r="C128" s="152">
        <v>2025</v>
      </c>
      <c r="D128" s="153" t="s">
        <v>158</v>
      </c>
      <c r="E128" s="163">
        <v>120</v>
      </c>
      <c r="F128" s="151" t="s">
        <v>165</v>
      </c>
    </row>
    <row r="129" spans="1:6" hidden="1">
      <c r="A129" s="152">
        <v>89</v>
      </c>
      <c r="B129" s="152">
        <v>88</v>
      </c>
      <c r="C129" s="152">
        <v>2025</v>
      </c>
      <c r="D129" s="161" t="s">
        <v>160</v>
      </c>
      <c r="E129" s="164">
        <v>200</v>
      </c>
    </row>
    <row r="130" spans="1:6">
      <c r="A130" s="152">
        <v>31</v>
      </c>
      <c r="B130" s="152">
        <v>89</v>
      </c>
      <c r="C130" s="152">
        <v>2025</v>
      </c>
      <c r="D130" s="153" t="s">
        <v>158</v>
      </c>
      <c r="E130" s="163">
        <v>120</v>
      </c>
      <c r="F130" s="151" t="s">
        <v>165</v>
      </c>
    </row>
    <row r="131" spans="1:6" hidden="1">
      <c r="A131" s="152">
        <v>88</v>
      </c>
      <c r="B131" s="152">
        <v>89</v>
      </c>
      <c r="C131" s="152">
        <v>2025</v>
      </c>
      <c r="D131" s="161" t="s">
        <v>160</v>
      </c>
      <c r="E131" s="164">
        <v>200</v>
      </c>
    </row>
    <row r="132" spans="1:6">
      <c r="A132" s="152">
        <v>32</v>
      </c>
      <c r="B132" s="152">
        <v>90</v>
      </c>
      <c r="C132" s="152">
        <v>2025</v>
      </c>
      <c r="D132" s="153" t="s">
        <v>158</v>
      </c>
      <c r="E132" s="163">
        <v>120</v>
      </c>
      <c r="F132" s="151" t="s">
        <v>165</v>
      </c>
    </row>
    <row r="133" spans="1:6" hidden="1">
      <c r="A133" s="152">
        <v>87</v>
      </c>
      <c r="B133" s="152">
        <v>90</v>
      </c>
      <c r="C133" s="152">
        <v>2025</v>
      </c>
      <c r="D133" s="161" t="s">
        <v>160</v>
      </c>
      <c r="E133" s="164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>
      <selection activeCell="B18" sqref="B18"/>
    </sheetView>
  </sheetViews>
  <sheetFormatPr baseColWidth="10" defaultColWidth="11.5703125" defaultRowHeight="15"/>
  <cols>
    <col min="1" max="1" width="2.7109375" customWidth="1"/>
    <col min="2" max="2" width="25.85546875" bestFit="1" customWidth="1"/>
    <col min="3" max="20" width="13.14062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topLeftCell="E18" workbookViewId="0">
      <selection activeCell="J25" sqref="J25"/>
    </sheetView>
  </sheetViews>
  <sheetFormatPr baseColWidth="10" defaultColWidth="11.5703125" defaultRowHeight="15"/>
  <cols>
    <col min="1" max="142" width="2.14062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5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5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138</v>
      </c>
    </row>
    <row r="38" spans="2:2">
      <c r="B38" t="s">
        <v>137</v>
      </c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topLeftCell="A202" workbookViewId="0">
      <selection activeCell="A228" sqref="A228"/>
    </sheetView>
  </sheetViews>
  <sheetFormatPr baseColWidth="10"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baseColWidth="10"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C8" sqref="C8"/>
    </sheetView>
  </sheetViews>
  <sheetFormatPr baseColWidth="10"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5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3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3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3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3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3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3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3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3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3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3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K19" sqref="K19"/>
    </sheetView>
  </sheetViews>
  <sheetFormatPr baseColWidth="10" defaultColWidth="11.5703125" defaultRowHeight="15"/>
  <cols>
    <col min="1" max="1" width="4.5703125" customWidth="1"/>
    <col min="2" max="2" width="7" customWidth="1"/>
    <col min="3" max="6" width="7.85546875" customWidth="1"/>
    <col min="7" max="7" width="6.5703125" style="137" customWidth="1"/>
    <col min="8" max="8" width="13.85546875" customWidth="1"/>
    <col min="9" max="10" width="13.85546875" style="137" customWidth="1"/>
    <col min="11" max="14" width="9" customWidth="1"/>
  </cols>
  <sheetData>
    <row r="1" spans="2:15">
      <c r="H1" s="117">
        <v>2460695.5345518598</v>
      </c>
      <c r="I1" s="143">
        <f>'89d'!$K$30</f>
        <v>2460736.6349054021</v>
      </c>
      <c r="J1" s="143">
        <v>2460718.6125820568</v>
      </c>
      <c r="M1" s="133">
        <v>41.1</v>
      </c>
    </row>
    <row r="2" spans="2:15">
      <c r="B2" s="148" t="s">
        <v>31</v>
      </c>
      <c r="C2" s="148" t="s">
        <v>139</v>
      </c>
      <c r="D2" s="148" t="s">
        <v>140</v>
      </c>
      <c r="E2" s="148" t="s">
        <v>141</v>
      </c>
      <c r="F2" s="148" t="s">
        <v>142</v>
      </c>
      <c r="G2" s="149" t="s">
        <v>143</v>
      </c>
      <c r="H2" s="133" t="s">
        <v>151</v>
      </c>
      <c r="I2" s="147" t="s">
        <v>150</v>
      </c>
      <c r="J2" s="147" t="s">
        <v>149</v>
      </c>
      <c r="K2" s="150" t="s">
        <v>144</v>
      </c>
      <c r="L2" s="150" t="s">
        <v>145</v>
      </c>
      <c r="M2" s="150" t="s">
        <v>146</v>
      </c>
      <c r="N2" s="150" t="s">
        <v>152</v>
      </c>
    </row>
    <row r="3" spans="2:15">
      <c r="B3" s="119">
        <v>40</v>
      </c>
      <c r="C3" s="19">
        <v>260</v>
      </c>
      <c r="D3" s="19">
        <v>88.8</v>
      </c>
      <c r="E3" s="124">
        <v>4.4499999999999998E-2</v>
      </c>
      <c r="F3" s="124">
        <v>1.4166000000000001</v>
      </c>
      <c r="G3" s="138">
        <v>93.5</v>
      </c>
      <c r="H3" s="66">
        <v>2460688.5068999999</v>
      </c>
      <c r="I3" s="144">
        <v>2460728.1666000001</v>
      </c>
      <c r="J3" s="144"/>
      <c r="K3" s="118">
        <f t="shared" ref="K3:K11" si="0">H3-H$1</f>
        <v>-7.0276518599130213</v>
      </c>
      <c r="L3" s="118">
        <f t="shared" ref="L3:L11" si="1">I3-I$1</f>
        <v>-8.4683054019697011</v>
      </c>
      <c r="M3" s="118">
        <f t="shared" ref="M3:M11" si="2">I3-H3-M$1</f>
        <v>-1.4402999998070314</v>
      </c>
      <c r="N3" s="118"/>
    </row>
    <row r="4" spans="2:15">
      <c r="B4" s="119">
        <v>40</v>
      </c>
      <c r="C4" s="19">
        <v>296.91800000000001</v>
      </c>
      <c r="D4" s="19">
        <v>88.8</v>
      </c>
      <c r="E4" s="124">
        <v>4.4499999999999998E-2</v>
      </c>
      <c r="F4" s="124">
        <v>1.4166000000000001</v>
      </c>
      <c r="G4" s="138">
        <v>93.5</v>
      </c>
      <c r="H4" s="66">
        <v>2460677.0693999999</v>
      </c>
      <c r="I4" s="144">
        <v>2460718.0759999999</v>
      </c>
      <c r="J4" s="144"/>
      <c r="K4" s="118">
        <f t="shared" si="0"/>
        <v>-18.465151859913021</v>
      </c>
      <c r="L4" s="118">
        <f t="shared" si="1"/>
        <v>-18.558905402198434</v>
      </c>
      <c r="M4" s="118">
        <f t="shared" si="2"/>
        <v>-9.3400000035764208E-2</v>
      </c>
      <c r="N4" s="118"/>
    </row>
    <row r="5" spans="2:15">
      <c r="B5" s="119">
        <v>40.200000000000003</v>
      </c>
      <c r="C5" s="19">
        <v>260</v>
      </c>
      <c r="D5" s="19">
        <v>88.8</v>
      </c>
      <c r="E5" s="124">
        <v>4.4499999999999998E-2</v>
      </c>
      <c r="F5" s="124">
        <v>1.4166000000000001</v>
      </c>
      <c r="G5" s="138">
        <v>93.5</v>
      </c>
      <c r="H5" s="66">
        <v>2460697.1943999999</v>
      </c>
      <c r="I5" s="144">
        <v>2460736.8125</v>
      </c>
      <c r="J5" s="144"/>
      <c r="K5" s="118">
        <f t="shared" si="0"/>
        <v>1.6598481400869787</v>
      </c>
      <c r="L5" s="118">
        <f t="shared" si="1"/>
        <v>0.17759459791705012</v>
      </c>
      <c r="M5" s="118">
        <f t="shared" si="2"/>
        <v>-1.4818999999202802</v>
      </c>
      <c r="N5" s="118"/>
    </row>
    <row r="6" spans="2:15">
      <c r="B6" s="119">
        <v>40.5</v>
      </c>
      <c r="C6" s="19">
        <v>275</v>
      </c>
      <c r="D6" s="19">
        <v>88.8</v>
      </c>
      <c r="E6" s="124">
        <v>4.4499999999999998E-2</v>
      </c>
      <c r="F6" s="124">
        <v>1.4166000000000001</v>
      </c>
      <c r="G6" s="138">
        <v>93.5</v>
      </c>
      <c r="H6" s="66">
        <v>2460678.3610999999</v>
      </c>
      <c r="I6" s="144">
        <v>2460718.8818999999</v>
      </c>
      <c r="J6" s="144"/>
      <c r="K6" s="118">
        <f t="shared" si="0"/>
        <v>-17.173451859969646</v>
      </c>
      <c r="L6" s="118">
        <f t="shared" si="1"/>
        <v>-17.753005402162671</v>
      </c>
      <c r="M6" s="118">
        <f t="shared" si="2"/>
        <v>-0.57919999994337701</v>
      </c>
      <c r="N6" s="118"/>
    </row>
    <row r="7" spans="2:15">
      <c r="B7" s="119">
        <v>40.5</v>
      </c>
      <c r="C7" s="19">
        <v>287</v>
      </c>
      <c r="D7" s="19">
        <v>88.8</v>
      </c>
      <c r="E7" s="124">
        <v>4.4499999999999998E-2</v>
      </c>
      <c r="F7" s="124">
        <v>1.4166000000000001</v>
      </c>
      <c r="G7" s="138">
        <v>93.5</v>
      </c>
      <c r="H7" s="66">
        <v>2460689.2083000001</v>
      </c>
      <c r="I7" s="144">
        <v>2460730.4722000002</v>
      </c>
      <c r="J7" s="144"/>
      <c r="K7" s="118">
        <f t="shared" si="0"/>
        <v>-6.3262518597766757</v>
      </c>
      <c r="L7" s="118">
        <f t="shared" si="1"/>
        <v>-6.1627054018899798</v>
      </c>
      <c r="M7" s="118">
        <f t="shared" si="2"/>
        <v>0.1639000001363442</v>
      </c>
      <c r="N7" s="118"/>
    </row>
    <row r="8" spans="2:15">
      <c r="B8" s="119">
        <v>40.5</v>
      </c>
      <c r="C8" s="19">
        <v>296.91800000000001</v>
      </c>
      <c r="D8" s="19">
        <v>88.8</v>
      </c>
      <c r="E8" s="124">
        <v>4.4499999999999998E-2</v>
      </c>
      <c r="F8" s="124">
        <v>1.4166000000000001</v>
      </c>
      <c r="G8" s="138">
        <v>93.5</v>
      </c>
      <c r="H8" s="66">
        <v>2460693.5550000002</v>
      </c>
      <c r="I8" s="144">
        <v>2460735.1310000001</v>
      </c>
      <c r="J8" s="144"/>
      <c r="K8" s="118">
        <f t="shared" si="0"/>
        <v>-1.9795518596656621</v>
      </c>
      <c r="L8" s="118">
        <f t="shared" si="1"/>
        <v>-1.5039054020307958</v>
      </c>
      <c r="M8" s="118">
        <f t="shared" si="2"/>
        <v>0.47599999988451458</v>
      </c>
      <c r="N8" s="118"/>
    </row>
    <row r="9" spans="2:15">
      <c r="B9" s="119">
        <v>40.5</v>
      </c>
      <c r="C9" s="19">
        <v>300</v>
      </c>
      <c r="D9" s="19">
        <v>88.8</v>
      </c>
      <c r="E9" s="124">
        <v>4.4499999999999998E-2</v>
      </c>
      <c r="F9" s="124">
        <v>1.4166000000000001</v>
      </c>
      <c r="G9" s="138">
        <v>93.5</v>
      </c>
      <c r="H9" s="66">
        <v>2460694.6041000001</v>
      </c>
      <c r="I9" s="144">
        <v>2460736.2637999998</v>
      </c>
      <c r="J9" s="144"/>
      <c r="K9" s="118">
        <f t="shared" si="0"/>
        <v>-0.93045185972005129</v>
      </c>
      <c r="L9" s="118">
        <f t="shared" si="1"/>
        <v>-0.3711054022423923</v>
      </c>
      <c r="M9" s="118">
        <f t="shared" si="2"/>
        <v>0.55969999972730733</v>
      </c>
      <c r="N9" s="118"/>
    </row>
    <row r="10" spans="2:15">
      <c r="B10" s="119">
        <v>40.563400000000001</v>
      </c>
      <c r="C10" s="19">
        <v>296.91800000000001</v>
      </c>
      <c r="D10" s="19">
        <v>88.8</v>
      </c>
      <c r="E10" s="124">
        <v>4.4499999999999998E-2</v>
      </c>
      <c r="F10" s="124">
        <v>1.4166000000000001</v>
      </c>
      <c r="G10" s="138">
        <v>93.5</v>
      </c>
      <c r="H10" s="66">
        <v>2460695.5068999999</v>
      </c>
      <c r="I10" s="144">
        <v>2460737.14</v>
      </c>
      <c r="J10" s="144"/>
      <c r="K10" s="118">
        <f t="shared" si="0"/>
        <v>-2.7651859913021326E-2</v>
      </c>
      <c r="L10" s="118">
        <f t="shared" si="1"/>
        <v>0.50509459804743528</v>
      </c>
      <c r="M10" s="118">
        <f t="shared" si="2"/>
        <v>0.53310000021010495</v>
      </c>
      <c r="N10" s="118"/>
    </row>
    <row r="11" spans="2:15">
      <c r="B11" s="134">
        <v>40.563400000000001</v>
      </c>
      <c r="C11" s="135">
        <v>280.60000000000002</v>
      </c>
      <c r="D11" s="19">
        <v>88.8</v>
      </c>
      <c r="E11" s="136">
        <v>4.4499999999999998E-2</v>
      </c>
      <c r="F11" s="136">
        <v>1.4166000000000001</v>
      </c>
      <c r="G11" s="139">
        <v>93.5</v>
      </c>
      <c r="H11" s="66">
        <v>2460687.7985999999</v>
      </c>
      <c r="I11" s="144">
        <v>2460728.8958000001</v>
      </c>
      <c r="J11" s="144">
        <v>2460720.1804999998</v>
      </c>
      <c r="K11" s="118">
        <f t="shared" si="0"/>
        <v>-7.7359518599696457</v>
      </c>
      <c r="L11" s="118">
        <f t="shared" si="1"/>
        <v>-7.7391054020263255</v>
      </c>
      <c r="M11" s="118">
        <f t="shared" si="2"/>
        <v>-2.7999998070313836E-3</v>
      </c>
      <c r="N11" s="118">
        <f t="shared" ref="N11" si="3">J11-$J$1</f>
        <v>1.5679179430007935</v>
      </c>
    </row>
    <row r="12" spans="2:15">
      <c r="B12" s="134">
        <v>40.563400000000001</v>
      </c>
      <c r="C12" s="135">
        <v>280.60000000000002</v>
      </c>
      <c r="D12" s="19">
        <v>88.8</v>
      </c>
      <c r="E12" s="136">
        <v>4.4499999999999998E-2</v>
      </c>
      <c r="F12" s="136">
        <v>1.4166000000000001</v>
      </c>
      <c r="G12" s="140">
        <v>87.5</v>
      </c>
      <c r="H12" s="66">
        <v>2460683.9027</v>
      </c>
      <c r="I12" s="144">
        <v>2460724.7152</v>
      </c>
      <c r="J12" s="144"/>
      <c r="K12" s="118">
        <f t="shared" ref="K12:K13" si="4">H12-H$1</f>
        <v>-11.631851859856397</v>
      </c>
      <c r="L12" s="118">
        <f t="shared" ref="L12:L13" si="5">I12-I$1</f>
        <v>-11.919705402106047</v>
      </c>
      <c r="M12" s="118">
        <f t="shared" ref="M12:M13" si="6">I12-H12-M$1</f>
        <v>-0.28750000000000142</v>
      </c>
      <c r="N12" s="118"/>
    </row>
    <row r="13" spans="2:15">
      <c r="B13" s="134">
        <v>40.563400000000001</v>
      </c>
      <c r="C13" s="135">
        <v>280.60000000000002</v>
      </c>
      <c r="D13" s="19">
        <v>88.8</v>
      </c>
      <c r="E13" s="136">
        <v>4.4499999999999998E-2</v>
      </c>
      <c r="F13" s="136">
        <v>1.4166000000000001</v>
      </c>
      <c r="G13" s="140">
        <v>99.5</v>
      </c>
      <c r="H13" s="66">
        <v>2460690.7708000001</v>
      </c>
      <c r="I13" s="144">
        <v>2460732.1041000001</v>
      </c>
      <c r="J13" s="144"/>
      <c r="K13" s="118">
        <f t="shared" si="4"/>
        <v>-4.7637518597766757</v>
      </c>
      <c r="L13" s="118">
        <f t="shared" si="5"/>
        <v>-4.5308054019697011</v>
      </c>
      <c r="M13" s="118">
        <f t="shared" si="6"/>
        <v>0.23330000005662299</v>
      </c>
      <c r="N13" s="118"/>
      <c r="O13" s="118"/>
    </row>
    <row r="14" spans="2:15">
      <c r="B14" s="134">
        <v>40.563400000000001</v>
      </c>
      <c r="C14" s="135">
        <v>280.60000000000002</v>
      </c>
      <c r="D14" s="19">
        <v>88.8</v>
      </c>
      <c r="E14" s="136">
        <v>4.4499999999999998E-2</v>
      </c>
      <c r="F14" s="136">
        <v>1.4166000000000001</v>
      </c>
      <c r="G14" s="140">
        <v>109</v>
      </c>
      <c r="H14" s="66">
        <v>2460694.0554999998</v>
      </c>
      <c r="I14" s="144">
        <v>2460735.7083000001</v>
      </c>
      <c r="J14" s="144"/>
      <c r="K14" s="118">
        <f t="shared" ref="K14:K16" si="7">H14-H$1</f>
        <v>-1.479051860049367</v>
      </c>
      <c r="L14" s="118">
        <f t="shared" ref="L14:L16" si="8">I14-I$1</f>
        <v>-0.92660540202632546</v>
      </c>
      <c r="M14" s="118">
        <f t="shared" ref="M14:M16" si="9">I14-H14-M$1</f>
        <v>0.55280000027268983</v>
      </c>
      <c r="N14" s="118"/>
    </row>
    <row r="15" spans="2:15">
      <c r="B15" s="134">
        <v>40.563400000000001</v>
      </c>
      <c r="C15" s="127">
        <v>290</v>
      </c>
      <c r="D15" s="19">
        <v>88.8</v>
      </c>
      <c r="E15" s="136">
        <v>4.4499999999999998E-2</v>
      </c>
      <c r="F15" s="136">
        <v>1.4166000000000001</v>
      </c>
      <c r="G15" s="140">
        <v>87.5</v>
      </c>
      <c r="H15" s="66">
        <v>2460689.9512999998</v>
      </c>
      <c r="I15" s="144">
        <v>2460731.1387999998</v>
      </c>
      <c r="J15" s="144">
        <v>2460720.2985999999</v>
      </c>
      <c r="K15" s="118">
        <f t="shared" si="7"/>
        <v>-5.5832518599927425</v>
      </c>
      <c r="L15" s="118">
        <f t="shared" si="8"/>
        <v>-5.4961054022423923</v>
      </c>
      <c r="M15" s="118">
        <f t="shared" si="9"/>
        <v>8.7499999999998579E-2</v>
      </c>
      <c r="N15" s="118">
        <f t="shared" ref="N15:N16" si="10">J15-$J$1</f>
        <v>1.6860179430805147</v>
      </c>
    </row>
    <row r="16" spans="2:15">
      <c r="B16" s="134">
        <v>40.563400000000001</v>
      </c>
      <c r="C16" s="127">
        <v>300</v>
      </c>
      <c r="D16" s="19">
        <v>88.8</v>
      </c>
      <c r="E16" s="136">
        <v>4.4499999999999998E-2</v>
      </c>
      <c r="F16" s="136">
        <v>1.4166000000000001</v>
      </c>
      <c r="G16" s="140">
        <v>80</v>
      </c>
      <c r="H16" s="66">
        <v>2460691.7152</v>
      </c>
      <c r="I16" s="144">
        <v>2460732.9512999998</v>
      </c>
      <c r="J16" s="144">
        <v>2460720.3887999998</v>
      </c>
      <c r="K16" s="118">
        <f t="shared" si="7"/>
        <v>-3.8193518598563969</v>
      </c>
      <c r="L16" s="118">
        <f t="shared" si="8"/>
        <v>-3.6836054022423923</v>
      </c>
      <c r="M16" s="118">
        <f t="shared" si="9"/>
        <v>0.13609999986365295</v>
      </c>
      <c r="N16" s="118">
        <f t="shared" si="10"/>
        <v>1.7762179430574179</v>
      </c>
    </row>
    <row r="17" spans="1:14">
      <c r="A17" t="s">
        <v>148</v>
      </c>
      <c r="B17" s="134">
        <v>40.563400000000001</v>
      </c>
      <c r="C17" s="127">
        <v>310</v>
      </c>
      <c r="D17" s="19">
        <v>88.8</v>
      </c>
      <c r="E17" s="136">
        <v>4.4499999999999998E-2</v>
      </c>
      <c r="F17" s="136">
        <v>1.4166000000000001</v>
      </c>
      <c r="G17" s="140">
        <v>70</v>
      </c>
      <c r="H17" s="66">
        <v>2460692.2291000001</v>
      </c>
      <c r="I17" s="144">
        <v>2460733.3958000001</v>
      </c>
      <c r="J17" s="144">
        <v>2460720.4722000002</v>
      </c>
      <c r="K17" s="118">
        <f t="shared" ref="K17" si="11">H17-H$1</f>
        <v>-3.3054518597200513</v>
      </c>
      <c r="L17" s="118">
        <f t="shared" ref="L17" si="12">I17-I$1</f>
        <v>-3.2391054020263255</v>
      </c>
      <c r="M17" s="118">
        <f t="shared" ref="M17" si="13">I17-H17-M$1</f>
        <v>6.6699999943374166E-2</v>
      </c>
      <c r="N17" s="118">
        <f>J17-$J$1</f>
        <v>1.8596179434098303</v>
      </c>
    </row>
    <row r="18" spans="1:14">
      <c r="B18" s="119">
        <v>40.6</v>
      </c>
      <c r="C18" s="19">
        <v>287</v>
      </c>
      <c r="D18" s="19">
        <v>88.8</v>
      </c>
      <c r="E18" s="124">
        <v>4.4499999999999998E-2</v>
      </c>
      <c r="F18" s="124">
        <v>1.4166000000000001</v>
      </c>
      <c r="G18" s="138">
        <v>93.5</v>
      </c>
      <c r="H18" s="66">
        <v>2460692.4443999999</v>
      </c>
      <c r="I18" s="144">
        <v>2460733.7985999999</v>
      </c>
      <c r="J18" s="144"/>
      <c r="K18" s="118">
        <f t="shared" ref="K18:K31" si="14">H18-H$1</f>
        <v>-3.0901518599130213</v>
      </c>
      <c r="L18" s="118">
        <f t="shared" ref="L18:L31" si="15">I18-I$1</f>
        <v>-2.8363054022192955</v>
      </c>
      <c r="M18" s="118">
        <f t="shared" ref="M18:M31" si="16">I18-H18-M$1</f>
        <v>0.25419999994337417</v>
      </c>
      <c r="N18" s="118"/>
    </row>
    <row r="19" spans="1:14">
      <c r="B19" s="119">
        <v>40.6</v>
      </c>
      <c r="C19" s="19">
        <v>296.91800000000001</v>
      </c>
      <c r="D19" s="19">
        <v>88.8</v>
      </c>
      <c r="E19" s="124">
        <v>4.4499999999999998E-2</v>
      </c>
      <c r="F19" s="124">
        <v>1.4166000000000001</v>
      </c>
      <c r="G19" s="138">
        <v>93.5</v>
      </c>
      <c r="H19" s="66">
        <v>2460696.625</v>
      </c>
      <c r="I19" s="144">
        <v>2460738.298</v>
      </c>
      <c r="J19" s="144"/>
      <c r="K19" s="118">
        <f t="shared" si="14"/>
        <v>1.0904481401666999</v>
      </c>
      <c r="L19" s="118">
        <f t="shared" si="15"/>
        <v>1.6630945978686213</v>
      </c>
      <c r="M19" s="118">
        <f t="shared" si="16"/>
        <v>0.57299999995156981</v>
      </c>
      <c r="N19" s="118"/>
    </row>
    <row r="20" spans="1:14">
      <c r="B20" s="119">
        <v>40.700000000000003</v>
      </c>
      <c r="C20" s="19">
        <v>287</v>
      </c>
      <c r="D20" s="19">
        <v>88.8</v>
      </c>
      <c r="E20" s="124">
        <v>4.4499999999999998E-2</v>
      </c>
      <c r="F20" s="124">
        <v>1.4166000000000001</v>
      </c>
      <c r="G20" s="138">
        <v>93.5</v>
      </c>
      <c r="H20" s="66">
        <v>2460695.6179999998</v>
      </c>
      <c r="I20" s="144">
        <v>2460737.0625</v>
      </c>
      <c r="J20" s="144"/>
      <c r="K20" s="118">
        <f t="shared" si="14"/>
        <v>8.3448139950633049E-2</v>
      </c>
      <c r="L20" s="118">
        <f t="shared" si="15"/>
        <v>0.42759459791705012</v>
      </c>
      <c r="M20" s="118">
        <f t="shared" si="16"/>
        <v>0.34450000021606542</v>
      </c>
      <c r="N20" s="118"/>
    </row>
    <row r="21" spans="1:14">
      <c r="B21" s="119">
        <v>40.799999999999997</v>
      </c>
      <c r="C21" s="19">
        <v>275</v>
      </c>
      <c r="D21" s="19">
        <v>88.8</v>
      </c>
      <c r="E21" s="124">
        <v>4.4499999999999998E-2</v>
      </c>
      <c r="F21" s="124">
        <v>1.4166000000000001</v>
      </c>
      <c r="G21" s="138">
        <v>93.5</v>
      </c>
      <c r="H21" s="66">
        <v>2460692.3958000001</v>
      </c>
      <c r="I21" s="144">
        <v>2460733.5137999998</v>
      </c>
      <c r="J21" s="144"/>
      <c r="K21" s="118">
        <f t="shared" si="14"/>
        <v>-3.1387518597766757</v>
      </c>
      <c r="L21" s="118">
        <f t="shared" si="15"/>
        <v>-3.1211054022423923</v>
      </c>
      <c r="M21" s="118">
        <f t="shared" si="16"/>
        <v>1.7999999783931742E-2</v>
      </c>
      <c r="N21" s="118"/>
    </row>
    <row r="22" spans="1:14">
      <c r="B22" s="119">
        <v>40.799999999999997</v>
      </c>
      <c r="C22" s="19">
        <v>281</v>
      </c>
      <c r="D22" s="19">
        <v>88.8</v>
      </c>
      <c r="E22" s="124">
        <v>4.4499999999999998E-2</v>
      </c>
      <c r="F22" s="124">
        <v>1.4166000000000001</v>
      </c>
      <c r="G22" s="138">
        <v>93.5</v>
      </c>
      <c r="H22" s="66">
        <v>2460695.7708000001</v>
      </c>
      <c r="I22" s="144">
        <v>2460737.0972000002</v>
      </c>
      <c r="J22" s="144"/>
      <c r="K22" s="118">
        <f t="shared" si="14"/>
        <v>0.2362481402233243</v>
      </c>
      <c r="L22" s="118">
        <f t="shared" si="15"/>
        <v>0.46229459811002016</v>
      </c>
      <c r="M22" s="118">
        <f t="shared" si="16"/>
        <v>0.2264000001363442</v>
      </c>
      <c r="N22" s="118"/>
    </row>
    <row r="23" spans="1:14">
      <c r="B23" s="119">
        <v>40.799999999999997</v>
      </c>
      <c r="C23" s="19">
        <v>287</v>
      </c>
      <c r="D23" s="19">
        <v>88.8</v>
      </c>
      <c r="E23" s="124">
        <v>4.4499999999999998E-2</v>
      </c>
      <c r="F23" s="124">
        <v>1.4166000000000001</v>
      </c>
      <c r="G23" s="138">
        <v>93.5</v>
      </c>
      <c r="H23" s="66">
        <v>2460698.75</v>
      </c>
      <c r="I23" s="144">
        <v>2460740.2847000002</v>
      </c>
      <c r="J23" s="144"/>
      <c r="K23" s="118">
        <f t="shared" si="14"/>
        <v>3.2154481401666999</v>
      </c>
      <c r="L23" s="118">
        <f t="shared" si="15"/>
        <v>3.6497945981100202</v>
      </c>
      <c r="M23" s="118">
        <f t="shared" si="16"/>
        <v>0.43470000019296862</v>
      </c>
      <c r="N23" s="118"/>
    </row>
    <row r="24" spans="1:14">
      <c r="B24" s="119">
        <v>40.9</v>
      </c>
      <c r="C24" s="19">
        <v>275</v>
      </c>
      <c r="D24" s="19">
        <v>88.8</v>
      </c>
      <c r="E24" s="124">
        <v>4.4499999999999998E-2</v>
      </c>
      <c r="F24" s="124">
        <v>1.4166000000000001</v>
      </c>
      <c r="G24" s="138">
        <v>93.5</v>
      </c>
      <c r="H24" s="66">
        <v>2460695.6666000001</v>
      </c>
      <c r="I24" s="144">
        <v>2460736.8610999999</v>
      </c>
      <c r="J24" s="144"/>
      <c r="K24" s="118">
        <f t="shared" si="14"/>
        <v>0.13204814027994871</v>
      </c>
      <c r="L24" s="118">
        <f t="shared" si="15"/>
        <v>0.2261945977807045</v>
      </c>
      <c r="M24" s="118">
        <f t="shared" si="16"/>
        <v>9.4499999750404129E-2</v>
      </c>
      <c r="N24" s="118"/>
    </row>
    <row r="25" spans="1:14">
      <c r="B25" s="119">
        <v>40.9</v>
      </c>
      <c r="C25" s="19">
        <v>281</v>
      </c>
      <c r="D25" s="19">
        <v>88.8</v>
      </c>
      <c r="E25" s="124">
        <v>4.4499999999999998E-2</v>
      </c>
      <c r="F25" s="124">
        <v>1.4166000000000001</v>
      </c>
      <c r="G25" s="138">
        <v>93.5</v>
      </c>
      <c r="H25" s="66">
        <v>2460698.9512999998</v>
      </c>
      <c r="I25" s="144">
        <v>2460740.3541000001</v>
      </c>
      <c r="J25" s="144"/>
      <c r="K25" s="118">
        <f t="shared" si="14"/>
        <v>3.4167481400072575</v>
      </c>
      <c r="L25" s="118">
        <f t="shared" si="15"/>
        <v>3.7191945980302989</v>
      </c>
      <c r="M25" s="118">
        <f t="shared" si="16"/>
        <v>0.30280000027268983</v>
      </c>
      <c r="N25" s="118"/>
    </row>
    <row r="26" spans="1:14">
      <c r="B26" s="119">
        <v>40.950000000000003</v>
      </c>
      <c r="C26" s="19">
        <v>270</v>
      </c>
      <c r="D26" s="19">
        <v>88.8</v>
      </c>
      <c r="E26" s="124">
        <v>4.4499999999999998E-2</v>
      </c>
      <c r="F26" s="124">
        <v>1.4166000000000001</v>
      </c>
      <c r="G26" s="138">
        <v>93.5</v>
      </c>
      <c r="H26" s="66">
        <v>2460694.3472000002</v>
      </c>
      <c r="I26" s="144">
        <v>2460735.4027</v>
      </c>
      <c r="J26" s="144"/>
      <c r="K26" s="118">
        <f t="shared" si="14"/>
        <v>-1.1873518596403301</v>
      </c>
      <c r="L26" s="118">
        <f t="shared" si="15"/>
        <v>-1.2322054021060467</v>
      </c>
      <c r="M26" s="118">
        <f t="shared" si="16"/>
        <v>-4.4500000216068258E-2</v>
      </c>
      <c r="N26" s="118"/>
    </row>
    <row r="27" spans="1:14">
      <c r="B27" s="119">
        <v>40.98</v>
      </c>
      <c r="C27" s="19">
        <v>270</v>
      </c>
      <c r="D27" s="19">
        <v>88.8</v>
      </c>
      <c r="E27" s="124">
        <v>4.4499999999999998E-2</v>
      </c>
      <c r="F27" s="124">
        <v>1.4166000000000001</v>
      </c>
      <c r="G27" s="138">
        <v>93.5</v>
      </c>
      <c r="H27" s="66">
        <v>2460695.3333000001</v>
      </c>
      <c r="I27" s="144">
        <v>2460736.4166000001</v>
      </c>
      <c r="J27" s="144"/>
      <c r="K27" s="118">
        <f t="shared" si="14"/>
        <v>-0.2012518597766757</v>
      </c>
      <c r="L27" s="118">
        <f t="shared" si="15"/>
        <v>-0.21830540196970105</v>
      </c>
      <c r="M27" s="118">
        <f t="shared" si="16"/>
        <v>-1.6699999943377009E-2</v>
      </c>
      <c r="N27" s="118"/>
    </row>
    <row r="28" spans="1:14">
      <c r="A28" t="s">
        <v>147</v>
      </c>
      <c r="B28" s="128">
        <v>40.985999999999997</v>
      </c>
      <c r="C28" s="129">
        <v>270</v>
      </c>
      <c r="D28" s="129">
        <v>88.8</v>
      </c>
      <c r="E28" s="130">
        <v>4.4499999999999998E-2</v>
      </c>
      <c r="F28" s="130">
        <v>1.4166000000000001</v>
      </c>
      <c r="G28" s="141">
        <v>93.5</v>
      </c>
      <c r="H28" s="131">
        <v>2460695.5277</v>
      </c>
      <c r="I28" s="145">
        <v>2460736.6179999998</v>
      </c>
      <c r="J28" s="145">
        <v>2460726.5</v>
      </c>
      <c r="K28" s="132">
        <f t="shared" si="14"/>
        <v>-6.8518598563969135E-3</v>
      </c>
      <c r="L28" s="132">
        <f t="shared" si="15"/>
        <v>-1.6905402299016714E-2</v>
      </c>
      <c r="M28" s="132">
        <f t="shared" si="16"/>
        <v>-9.7000001929714585E-3</v>
      </c>
      <c r="N28" s="132">
        <f>J28-$J$1</f>
        <v>7.8874179432168603</v>
      </c>
    </row>
    <row r="29" spans="1:14">
      <c r="B29" s="120">
        <v>40.985999999999997</v>
      </c>
      <c r="C29" s="121">
        <v>270</v>
      </c>
      <c r="D29" s="127">
        <v>91</v>
      </c>
      <c r="E29" s="125">
        <v>4.4499999999999998E-2</v>
      </c>
      <c r="F29" s="125">
        <v>1.4166000000000001</v>
      </c>
      <c r="G29" s="142">
        <v>93.5</v>
      </c>
      <c r="H29" s="122">
        <v>2460695.4722000002</v>
      </c>
      <c r="I29" s="146">
        <v>2460736.5625</v>
      </c>
      <c r="J29" s="146"/>
      <c r="K29" s="123">
        <f t="shared" si="14"/>
        <v>-6.2351859640330076E-2</v>
      </c>
      <c r="L29" s="123">
        <f t="shared" si="15"/>
        <v>-7.2405402082949877E-2</v>
      </c>
      <c r="M29" s="123">
        <f t="shared" si="16"/>
        <v>-9.7000001929714585E-3</v>
      </c>
      <c r="N29" s="123"/>
    </row>
    <row r="30" spans="1:14">
      <c r="B30" s="120">
        <v>40.985999999999997</v>
      </c>
      <c r="C30" s="121">
        <v>270</v>
      </c>
      <c r="D30" s="121">
        <v>88.8</v>
      </c>
      <c r="E30" s="126">
        <v>0.03</v>
      </c>
      <c r="F30" s="125">
        <v>1.4166000000000001</v>
      </c>
      <c r="G30" s="142">
        <v>93.5</v>
      </c>
      <c r="H30" s="122">
        <v>2460694.7083000001</v>
      </c>
      <c r="I30" s="146">
        <v>2460735.7708000001</v>
      </c>
      <c r="J30" s="146"/>
      <c r="K30" s="123">
        <f t="shared" si="14"/>
        <v>-0.8262518597766757</v>
      </c>
      <c r="L30" s="123">
        <f t="shared" si="15"/>
        <v>-0.86410540202632546</v>
      </c>
      <c r="M30" s="123">
        <f t="shared" si="16"/>
        <v>-3.7500000000001421E-2</v>
      </c>
      <c r="N30" s="123"/>
    </row>
    <row r="31" spans="1:14">
      <c r="B31" s="120">
        <v>40.985999999999997</v>
      </c>
      <c r="C31" s="121">
        <v>270</v>
      </c>
      <c r="D31" s="121">
        <v>88.8</v>
      </c>
      <c r="E31" s="126">
        <v>0.06</v>
      </c>
      <c r="F31" s="125">
        <v>1.4166000000000001</v>
      </c>
      <c r="G31" s="142">
        <v>93.5</v>
      </c>
      <c r="H31" s="122">
        <v>2460696.6597000002</v>
      </c>
      <c r="I31" s="146">
        <v>2460737.7568999999</v>
      </c>
      <c r="J31" s="146"/>
      <c r="K31" s="123">
        <f t="shared" si="14"/>
        <v>1.1251481403596699</v>
      </c>
      <c r="L31" s="123">
        <f t="shared" si="15"/>
        <v>1.1219945978373289</v>
      </c>
      <c r="M31" s="123">
        <f t="shared" si="16"/>
        <v>-2.8000002726926709E-3</v>
      </c>
      <c r="N31" s="123"/>
    </row>
    <row r="32" spans="1:14">
      <c r="B32" s="120">
        <v>40.985999999999997</v>
      </c>
      <c r="C32" s="121">
        <v>270</v>
      </c>
      <c r="D32" s="121">
        <v>88.8</v>
      </c>
      <c r="E32" s="125">
        <v>4.4499999999999998E-2</v>
      </c>
      <c r="F32" s="126">
        <v>1.2</v>
      </c>
      <c r="G32" s="142">
        <v>93.5</v>
      </c>
      <c r="H32" s="122">
        <v>2460694.0208000001</v>
      </c>
      <c r="I32" s="146">
        <v>2460735.3887999998</v>
      </c>
      <c r="J32" s="146"/>
      <c r="K32" s="123">
        <f t="shared" ref="K32" si="17">H32-H$1</f>
        <v>-1.5137518597766757</v>
      </c>
      <c r="L32" s="123">
        <f t="shared" ref="L32" si="18">I32-I$1</f>
        <v>-1.2461054022423923</v>
      </c>
      <c r="M32" s="123">
        <f t="shared" ref="M32" si="19">I32-H32-M$1</f>
        <v>0.26799999978393174</v>
      </c>
      <c r="N32" s="123"/>
    </row>
    <row r="33" spans="1:14">
      <c r="B33" s="120">
        <v>40.985999999999997</v>
      </c>
      <c r="C33" s="121">
        <v>270</v>
      </c>
      <c r="D33" s="121">
        <v>88.8</v>
      </c>
      <c r="E33" s="125">
        <v>4.4499999999999998E-2</v>
      </c>
      <c r="F33" s="126">
        <v>1.6</v>
      </c>
      <c r="G33" s="142">
        <v>93.5</v>
      </c>
      <c r="H33" s="122">
        <v>2460696.4304999998</v>
      </c>
      <c r="I33" s="146">
        <v>2460737.2568999999</v>
      </c>
      <c r="J33" s="146"/>
      <c r="K33" s="123">
        <f>H33-H$1</f>
        <v>0.89594813995063305</v>
      </c>
      <c r="L33" s="123">
        <f>I33-I$1</f>
        <v>0.62199459783732891</v>
      </c>
      <c r="M33" s="123">
        <f>I33-H33-M$1</f>
        <v>-0.2735999998636558</v>
      </c>
      <c r="N33" s="123"/>
    </row>
    <row r="34" spans="1:14">
      <c r="B34" s="120">
        <v>40.985999999999997</v>
      </c>
      <c r="C34" s="121">
        <v>270</v>
      </c>
      <c r="D34" s="121">
        <v>88.8</v>
      </c>
      <c r="E34" s="125">
        <v>4.4499999999999998E-2</v>
      </c>
      <c r="F34" s="125">
        <v>1.4166000000000001</v>
      </c>
      <c r="G34" s="140">
        <v>90</v>
      </c>
      <c r="H34" s="122">
        <v>2460694.0972000002</v>
      </c>
      <c r="I34" s="146">
        <v>2460734.7777</v>
      </c>
      <c r="J34" s="146"/>
      <c r="K34" s="123">
        <f t="shared" ref="K34:K35" si="20">H34-H$1</f>
        <v>-1.4373518596403301</v>
      </c>
      <c r="L34" s="123">
        <f t="shared" ref="L34:L35" si="21">I34-I$1</f>
        <v>-1.8572054021060467</v>
      </c>
      <c r="M34" s="123">
        <f t="shared" ref="M34:M35" si="22">I34-H34-M$1</f>
        <v>-0.41950000021606826</v>
      </c>
      <c r="N34" s="123"/>
    </row>
    <row r="35" spans="1:14">
      <c r="B35" s="120">
        <v>40.985999999999997</v>
      </c>
      <c r="C35" s="121">
        <v>270</v>
      </c>
      <c r="D35" s="121">
        <v>88.8</v>
      </c>
      <c r="E35" s="125">
        <v>4.4499999999999998E-2</v>
      </c>
      <c r="F35" s="125">
        <v>1.4166000000000001</v>
      </c>
      <c r="G35" s="140">
        <v>100</v>
      </c>
      <c r="H35" s="122">
        <v>2460700.1387999998</v>
      </c>
      <c r="I35" s="146">
        <v>2460741.2291000001</v>
      </c>
      <c r="J35" s="146"/>
      <c r="K35" s="123">
        <f t="shared" si="20"/>
        <v>4.6042481400072575</v>
      </c>
      <c r="L35" s="123">
        <f t="shared" si="21"/>
        <v>4.5941945980302989</v>
      </c>
      <c r="M35" s="123">
        <f t="shared" si="22"/>
        <v>-9.6999997273101712E-3</v>
      </c>
      <c r="N35" s="123"/>
    </row>
    <row r="36" spans="1:14">
      <c r="B36" s="119">
        <v>41</v>
      </c>
      <c r="C36" s="19">
        <v>270</v>
      </c>
      <c r="D36" s="19">
        <v>88.8</v>
      </c>
      <c r="E36" s="124">
        <v>4.4499999999999998E-2</v>
      </c>
      <c r="F36" s="124">
        <v>1.4166000000000001</v>
      </c>
      <c r="G36" s="138">
        <v>93.5</v>
      </c>
      <c r="H36" s="66">
        <v>2460695.9860999999</v>
      </c>
      <c r="I36" s="144">
        <v>2460737.0833000001</v>
      </c>
      <c r="J36" s="144"/>
      <c r="K36" s="118">
        <f>H36-H$1</f>
        <v>0.45154814003035426</v>
      </c>
      <c r="L36" s="118">
        <f>I36-I$1</f>
        <v>0.44839459797367454</v>
      </c>
      <c r="M36" s="118">
        <f>I36-H36-M$1</f>
        <v>-2.7999998070313836E-3</v>
      </c>
      <c r="N36" s="118"/>
    </row>
    <row r="37" spans="1:14">
      <c r="B37" s="119">
        <v>41</v>
      </c>
      <c r="C37" s="19">
        <v>275</v>
      </c>
      <c r="D37" s="19">
        <v>88.8</v>
      </c>
      <c r="E37" s="124">
        <v>4.4499999999999998E-2</v>
      </c>
      <c r="F37" s="124">
        <v>1.4166000000000001</v>
      </c>
      <c r="G37" s="138">
        <v>93.5</v>
      </c>
      <c r="H37" s="66">
        <v>2460698.8887999998</v>
      </c>
      <c r="I37" s="144">
        <v>2460740.1597000002</v>
      </c>
      <c r="J37" s="144"/>
      <c r="K37" s="118">
        <f>H37-H$1</f>
        <v>3.3542481400072575</v>
      </c>
      <c r="L37" s="118">
        <f>I37-I$1</f>
        <v>3.5247945981100202</v>
      </c>
      <c r="M37" s="118">
        <f>I37-H37-M$1</f>
        <v>0.17090000035241104</v>
      </c>
      <c r="N37" s="118"/>
    </row>
    <row r="39" spans="1:14">
      <c r="A39" t="s">
        <v>147</v>
      </c>
    </row>
    <row r="49" spans="1:1">
      <c r="A49" t="s">
        <v>148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W91"/>
  <sheetViews>
    <sheetView tabSelected="1" zoomScale="106" zoomScaleNormal="106" workbookViewId="0">
      <selection activeCell="T21" sqref="T21"/>
    </sheetView>
  </sheetViews>
  <sheetFormatPr baseColWidth="10"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1" width="12.28515625" style="7" bestFit="1" customWidth="1"/>
    <col min="12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23">
      <c r="F1" s="10"/>
      <c r="J1" s="10"/>
    </row>
    <row r="2" spans="1:23">
      <c r="A2" s="101" t="s">
        <v>131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132</v>
      </c>
    </row>
    <row r="3" spans="1:23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133</v>
      </c>
      <c r="R3" s="110" t="s">
        <v>136</v>
      </c>
      <c r="S3" s="110"/>
    </row>
    <row r="4" spans="1:23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134</v>
      </c>
      <c r="S4" s="8" t="s">
        <v>135</v>
      </c>
    </row>
    <row r="5" spans="1:23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23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23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23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13"/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23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23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23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23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13"/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23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23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23">
      <c r="A15" s="8" t="s">
        <v>20</v>
      </c>
      <c r="B15" s="17">
        <v>89</v>
      </c>
      <c r="C15" s="17" t="s">
        <v>110</v>
      </c>
      <c r="D15" s="12"/>
      <c r="E15" s="12"/>
      <c r="F15" s="13"/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:O16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23">
      <c r="A16" s="8" t="s">
        <v>20</v>
      </c>
      <c r="B16" s="17">
        <v>95</v>
      </c>
      <c r="C16" s="17" t="s">
        <v>129</v>
      </c>
      <c r="F16" s="10"/>
      <c r="J16" s="10"/>
      <c r="K16" s="12">
        <v>2460886.2719999999</v>
      </c>
      <c r="L16" s="31">
        <f>W16-T16</f>
        <v>0.27699999999992997</v>
      </c>
      <c r="M16" s="7">
        <f>V16-U16</f>
        <v>0.15499999999997272</v>
      </c>
      <c r="N16" s="317">
        <v>1.34E-2</v>
      </c>
      <c r="O16" s="31">
        <f t="shared" si="8"/>
        <v>0.12199999999995725</v>
      </c>
      <c r="Q16" s="109">
        <f>K16-'Planet c'!$G$228</f>
        <v>45867.271999999881</v>
      </c>
      <c r="R16" s="112"/>
      <c r="S16" s="112"/>
      <c r="T16" s="261">
        <v>886.13800000000003</v>
      </c>
      <c r="U16" s="261">
        <v>886.21</v>
      </c>
      <c r="V16" s="261">
        <v>886.36500000000001</v>
      </c>
      <c r="W16" s="261">
        <v>886.41499999999996</v>
      </c>
    </row>
    <row r="17" spans="1:23" ht="15.75" thickBot="1">
      <c r="A17" s="97" t="s">
        <v>20</v>
      </c>
      <c r="B17" s="98">
        <v>97</v>
      </c>
      <c r="C17" s="98" t="s">
        <v>130</v>
      </c>
      <c r="D17" s="99"/>
      <c r="E17" s="99"/>
      <c r="F17" s="102"/>
      <c r="G17" s="99"/>
      <c r="H17" s="99"/>
      <c r="I17" s="99"/>
      <c r="J17" s="102"/>
      <c r="K17" s="100">
        <f t="shared" ref="K17" si="9">K16+82.5</f>
        <v>2460968.7719999999</v>
      </c>
      <c r="L17" s="99"/>
      <c r="M17" s="99"/>
      <c r="N17" s="318"/>
      <c r="O17" s="99"/>
      <c r="P17" s="99"/>
      <c r="Q17" s="114">
        <f>K17-'Planet c'!$G$228</f>
        <v>45949.771999999881</v>
      </c>
      <c r="R17" s="112"/>
      <c r="S17" s="112"/>
      <c r="T17" s="261"/>
      <c r="U17" s="261"/>
      <c r="V17" s="261"/>
      <c r="W17" s="261"/>
    </row>
    <row r="18" spans="1:23">
      <c r="A18" s="8" t="s">
        <v>21</v>
      </c>
      <c r="B18" s="17">
        <v>88</v>
      </c>
      <c r="C18" s="17" t="s">
        <v>36</v>
      </c>
      <c r="F18" s="10"/>
      <c r="J18" s="10"/>
      <c r="K18" s="12">
        <f>'88d'!$K$30</f>
        <v>2460695.5345518598</v>
      </c>
      <c r="L18" s="31">
        <f>'88d'!$K$39</f>
        <v>0.10972392838448286</v>
      </c>
      <c r="M18" s="31">
        <f>'88d'!$K$37</f>
        <v>9.0279181487858295E-2</v>
      </c>
      <c r="N18" s="62">
        <f>'88d'!$K$43</f>
        <v>7.1684587813620748E-3</v>
      </c>
      <c r="O18" s="31">
        <f t="shared" ref="O18" si="10">L18-M18</f>
        <v>1.9444746896624565E-2</v>
      </c>
      <c r="Q18" s="109">
        <f>K18-'Planet c'!$G$228</f>
        <v>45676.534551859833</v>
      </c>
      <c r="R18" s="112"/>
      <c r="S18" s="112"/>
      <c r="T18" s="261"/>
      <c r="U18" s="261"/>
      <c r="V18" s="261"/>
      <c r="W18" s="261"/>
    </row>
    <row r="19" spans="1:23">
      <c r="A19" s="8" t="s">
        <v>21</v>
      </c>
      <c r="B19" s="17">
        <v>89</v>
      </c>
      <c r="C19" s="17" t="s">
        <v>37</v>
      </c>
      <c r="F19" s="10"/>
      <c r="J19" s="10"/>
      <c r="K19" s="12">
        <f>'89d'!$K$30</f>
        <v>2460736.6349054021</v>
      </c>
      <c r="L19" s="31">
        <f>'89d'!$K$39</f>
        <v>0.10972265526652336</v>
      </c>
      <c r="M19" s="31">
        <f>'89d'!$K$37</f>
        <v>8.4722556639462709E-2</v>
      </c>
      <c r="N19" s="62">
        <f>'89d'!$K$43</f>
        <v>7.4842097646194983E-3</v>
      </c>
      <c r="O19" s="31">
        <f t="shared" ref="O19" si="11">L19-M19</f>
        <v>2.5000098627060652E-2</v>
      </c>
      <c r="Q19" s="109">
        <f>K19-'Planet c'!$G$228</f>
        <v>45717.634905402083</v>
      </c>
      <c r="R19" s="112"/>
      <c r="S19" s="112"/>
      <c r="T19" s="316" t="s">
        <v>37</v>
      </c>
      <c r="U19" s="316" t="s">
        <v>38</v>
      </c>
      <c r="V19" s="316" t="s">
        <v>39</v>
      </c>
      <c r="W19" s="316" t="s">
        <v>71</v>
      </c>
    </row>
    <row r="20" spans="1:23">
      <c r="A20" s="8" t="s">
        <v>21</v>
      </c>
      <c r="B20" s="17">
        <v>94</v>
      </c>
      <c r="C20" s="17" t="s">
        <v>71</v>
      </c>
      <c r="F20" s="10"/>
      <c r="J20" s="10"/>
      <c r="K20" s="12">
        <f>(V20+U20)/2+2460800</f>
        <v>2460859.2275</v>
      </c>
      <c r="L20" s="31">
        <f>W20-T20</f>
        <v>0.17999999999999972</v>
      </c>
      <c r="M20" s="7">
        <f>V20-U20</f>
        <v>0.10500000000000398</v>
      </c>
      <c r="N20" s="317">
        <v>8.2000000000000007E-3</v>
      </c>
      <c r="O20" s="31">
        <f t="shared" ref="O20" si="12">L20-M20</f>
        <v>7.4999999999995737E-2</v>
      </c>
      <c r="Q20" s="109">
        <f>K20-'Planet c'!$G$228</f>
        <v>45840.227500000037</v>
      </c>
      <c r="R20" s="112"/>
      <c r="S20" s="112"/>
      <c r="T20" s="261">
        <v>59.13</v>
      </c>
      <c r="U20" s="261">
        <v>59.174999999999997</v>
      </c>
      <c r="V20" s="261">
        <v>59.28</v>
      </c>
      <c r="W20" s="261">
        <v>59.31</v>
      </c>
    </row>
    <row r="21" spans="1:23">
      <c r="A21" s="8" t="s">
        <v>21</v>
      </c>
      <c r="B21" s="17">
        <v>95</v>
      </c>
      <c r="C21" s="17" t="s">
        <v>117</v>
      </c>
      <c r="F21" s="10"/>
      <c r="J21" s="10"/>
      <c r="K21" s="12">
        <v>2460900.06</v>
      </c>
      <c r="L21" s="31">
        <f>W21-T21</f>
        <v>0.15999999999996817</v>
      </c>
      <c r="M21" s="7">
        <f>V21-U21</f>
        <v>7.0000000000050022E-2</v>
      </c>
      <c r="N21" s="317">
        <v>0.01</v>
      </c>
      <c r="O21" s="31">
        <f t="shared" ref="O21" si="13">L21-M21</f>
        <v>8.9999999999918145E-2</v>
      </c>
      <c r="Q21" s="109">
        <f>K21-'Planet c'!$G$228</f>
        <v>45881.060000000056</v>
      </c>
      <c r="R21" s="112">
        <v>45863</v>
      </c>
      <c r="S21" s="112">
        <v>45889</v>
      </c>
      <c r="T21" s="261">
        <v>899.97</v>
      </c>
      <c r="U21" s="261">
        <v>900.02</v>
      </c>
      <c r="V21" s="261">
        <v>900.09</v>
      </c>
      <c r="W21" s="261">
        <v>900.13</v>
      </c>
    </row>
    <row r="22" spans="1:23">
      <c r="A22" s="8" t="s">
        <v>0</v>
      </c>
      <c r="B22" s="17">
        <v>96</v>
      </c>
      <c r="C22" s="17" t="s">
        <v>0</v>
      </c>
      <c r="F22" s="10"/>
      <c r="J22" s="10"/>
      <c r="K22" s="116" t="s">
        <v>0</v>
      </c>
      <c r="N22" s="317"/>
      <c r="Q22" s="115" t="s">
        <v>0</v>
      </c>
      <c r="R22" s="112">
        <v>45889</v>
      </c>
      <c r="S22" s="112">
        <v>45915</v>
      </c>
      <c r="T22" s="261"/>
      <c r="U22" s="261"/>
      <c r="V22" s="261"/>
      <c r="W22" s="261"/>
    </row>
    <row r="23" spans="1:23">
      <c r="A23" s="8" t="s">
        <v>21</v>
      </c>
      <c r="B23" s="17">
        <v>97</v>
      </c>
      <c r="C23" s="17" t="s">
        <v>118</v>
      </c>
      <c r="F23" s="10"/>
      <c r="J23" s="10"/>
      <c r="K23" s="18">
        <f>K21+40.8</f>
        <v>2460940.86</v>
      </c>
      <c r="N23" s="317"/>
      <c r="Q23" s="113">
        <f>K23-'Planet c'!$G$228</f>
        <v>45921.85999999987</v>
      </c>
      <c r="R23" s="112">
        <v>45915</v>
      </c>
      <c r="S23" s="112">
        <v>45970</v>
      </c>
      <c r="T23" s="261"/>
      <c r="U23" s="261"/>
      <c r="V23" s="261"/>
      <c r="W23" s="261"/>
    </row>
    <row r="24" spans="1:23">
      <c r="A24" s="8" t="s">
        <v>21</v>
      </c>
      <c r="B24" s="17">
        <v>97</v>
      </c>
      <c r="C24" s="17" t="s">
        <v>119</v>
      </c>
      <c r="F24" s="10"/>
      <c r="J24" s="10"/>
      <c r="K24" s="18">
        <f>K23+40.8</f>
        <v>2460981.6599999997</v>
      </c>
      <c r="N24" s="317"/>
      <c r="Q24" s="113">
        <f>K24-'Planet c'!$G$228</f>
        <v>45962.659999999683</v>
      </c>
      <c r="R24" s="112">
        <v>45915</v>
      </c>
      <c r="S24" s="112">
        <v>45970</v>
      </c>
      <c r="T24" s="261"/>
      <c r="U24" s="261"/>
      <c r="V24" s="261"/>
      <c r="W24" s="261"/>
    </row>
    <row r="25" spans="1:23">
      <c r="A25" s="8" t="s">
        <v>21</v>
      </c>
      <c r="B25" s="17">
        <v>98</v>
      </c>
      <c r="C25" s="17" t="s">
        <v>32</v>
      </c>
      <c r="F25" s="10"/>
      <c r="J25" s="10"/>
      <c r="K25" s="18">
        <f>K24+40.8</f>
        <v>2461022.4599999995</v>
      </c>
      <c r="N25" s="317"/>
      <c r="Q25" s="113">
        <f>K25-'Planet c'!$G$228</f>
        <v>46003.459999999497</v>
      </c>
      <c r="R25" s="112">
        <v>45970</v>
      </c>
      <c r="S25" s="112">
        <v>46027</v>
      </c>
      <c r="T25" s="261"/>
      <c r="U25" s="261"/>
      <c r="V25" s="261"/>
      <c r="W25" s="261"/>
    </row>
    <row r="26" spans="1:23">
      <c r="A26" s="8"/>
      <c r="K26" s="12"/>
      <c r="R26" s="112"/>
      <c r="S26" s="112"/>
    </row>
    <row r="27" spans="1:23">
      <c r="A27" s="8"/>
      <c r="K27" s="12"/>
      <c r="R27" s="112"/>
      <c r="S27" s="112"/>
    </row>
    <row r="28" spans="1:23">
      <c r="L28" s="12"/>
      <c r="M28" s="12"/>
    </row>
    <row r="30" spans="1:23">
      <c r="D30" s="8" t="s">
        <v>29</v>
      </c>
      <c r="E30" s="11" t="s">
        <v>31</v>
      </c>
    </row>
    <row r="31" spans="1:23">
      <c r="D31" s="18">
        <v>2458483.2110000001</v>
      </c>
      <c r="E31" s="13">
        <v>81.802400000393391</v>
      </c>
      <c r="F31" s="21">
        <f>SIN((D31-H31)/H32*2*PI())*H34+H33</f>
        <v>81.702855122563122</v>
      </c>
      <c r="G31" s="7" t="s">
        <v>45</v>
      </c>
      <c r="H31" s="7">
        <f>2458740</f>
        <v>2458740</v>
      </c>
    </row>
    <row r="32" spans="1:23">
      <c r="D32" s="18">
        <v>2458565.0902</v>
      </c>
      <c r="E32" s="13">
        <v>81.879199999850243</v>
      </c>
      <c r="F32" s="7">
        <f t="shared" ref="F32:F51" si="14">SIN((D32-$H$31)/$H$32*2*PI())*$H$34+$H$33</f>
        <v>81.7992822018347</v>
      </c>
      <c r="G32" s="7" t="s">
        <v>52</v>
      </c>
      <c r="H32" s="7">
        <v>980</v>
      </c>
    </row>
    <row r="33" spans="4:8">
      <c r="D33" s="18">
        <v>2458647.3328</v>
      </c>
      <c r="E33" s="13">
        <v>82.242599999997765</v>
      </c>
      <c r="F33" s="7">
        <f t="shared" si="14"/>
        <v>82.140213815813425</v>
      </c>
      <c r="G33" s="7" t="s">
        <v>53</v>
      </c>
      <c r="H33" s="7">
        <v>82.7</v>
      </c>
    </row>
    <row r="34" spans="4:8">
      <c r="D34" s="18">
        <f>D33+83</f>
        <v>2458730.3328</v>
      </c>
      <c r="E34" s="13"/>
      <c r="F34" s="7">
        <f t="shared" si="14"/>
        <v>82.638059258736973</v>
      </c>
      <c r="G34" s="7" t="s">
        <v>44</v>
      </c>
      <c r="H34" s="7">
        <v>1</v>
      </c>
    </row>
    <row r="35" spans="4:8">
      <c r="D35" s="18">
        <f t="shared" ref="D35:D38" si="15">D34+83</f>
        <v>2458813.3328</v>
      </c>
      <c r="E35" s="13"/>
      <c r="F35" s="7">
        <f t="shared" si="14"/>
        <v>83.153035090454694</v>
      </c>
    </row>
    <row r="36" spans="4:8">
      <c r="D36" s="18">
        <f t="shared" si="15"/>
        <v>2458896.3328</v>
      </c>
      <c r="E36" s="13"/>
      <c r="F36" s="7">
        <f t="shared" si="14"/>
        <v>83.542719117801852</v>
      </c>
    </row>
    <row r="37" spans="4:8">
      <c r="D37" s="18">
        <f t="shared" si="15"/>
        <v>2458979.3328</v>
      </c>
      <c r="E37" s="13"/>
      <c r="F37" s="7">
        <f t="shared" si="14"/>
        <v>83.699339965118099</v>
      </c>
    </row>
    <row r="38" spans="4:8">
      <c r="D38" s="18">
        <f t="shared" si="15"/>
        <v>2459062.3328</v>
      </c>
      <c r="E38" s="13"/>
      <c r="F38" s="7">
        <f t="shared" si="14"/>
        <v>83.579582425754424</v>
      </c>
    </row>
    <row r="39" spans="4:8">
      <c r="D39" s="18">
        <v>2459148.4781999998</v>
      </c>
      <c r="E39" s="13">
        <v>83.241199999582022</v>
      </c>
      <c r="F39" s="7">
        <f t="shared" si="14"/>
        <v>83.199195419955913</v>
      </c>
    </row>
    <row r="40" spans="4:8">
      <c r="D40" s="18">
        <v>2459231.1144000003</v>
      </c>
      <c r="E40" s="13">
        <v>82.636200000531971</v>
      </c>
      <c r="F40" s="7">
        <f t="shared" si="14"/>
        <v>82.692855181495872</v>
      </c>
    </row>
    <row r="41" spans="4:8">
      <c r="D41" s="18">
        <v>2459313.2535000001</v>
      </c>
      <c r="E41" s="13">
        <v>82.139099999796599</v>
      </c>
      <c r="F41" s="7">
        <f t="shared" si="14"/>
        <v>82.191215220517591</v>
      </c>
    </row>
    <row r="42" spans="4:8">
      <c r="D42" s="18">
        <f t="shared" ref="D42:D49" si="16">D41+83</f>
        <v>2459396.2535000001</v>
      </c>
      <c r="E42" s="13"/>
      <c r="F42" s="7">
        <f t="shared" si="14"/>
        <v>81.824765723684834</v>
      </c>
    </row>
    <row r="43" spans="4:8">
      <c r="D43" s="18">
        <f t="shared" si="16"/>
        <v>2459479.2535000001</v>
      </c>
      <c r="E43" s="13"/>
      <c r="F43" s="7">
        <f t="shared" si="14"/>
        <v>81.70037182924797</v>
      </c>
    </row>
    <row r="44" spans="4:8">
      <c r="D44" s="18">
        <f t="shared" si="16"/>
        <v>2459562.2535000001</v>
      </c>
      <c r="E44" s="13"/>
      <c r="F44" s="7">
        <f t="shared" si="14"/>
        <v>81.852436027908183</v>
      </c>
    </row>
    <row r="45" spans="4:8">
      <c r="D45" s="18">
        <f t="shared" si="16"/>
        <v>2459645.2535000001</v>
      </c>
      <c r="E45" s="13"/>
      <c r="F45" s="7">
        <f t="shared" si="14"/>
        <v>82.238903303990682</v>
      </c>
    </row>
    <row r="46" spans="4:8">
      <c r="D46" s="18">
        <f t="shared" si="16"/>
        <v>2459728.2535000001</v>
      </c>
      <c r="E46" s="13"/>
      <c r="F46" s="7">
        <f t="shared" si="14"/>
        <v>82.752891909545326</v>
      </c>
    </row>
    <row r="47" spans="4:8">
      <c r="D47" s="18">
        <f t="shared" si="16"/>
        <v>2459811.2535000001</v>
      </c>
      <c r="E47" s="13"/>
      <c r="F47" s="7">
        <f t="shared" si="14"/>
        <v>83.252252679589731</v>
      </c>
    </row>
    <row r="48" spans="4:8">
      <c r="D48" s="18">
        <f t="shared" si="16"/>
        <v>2459894.2535000001</v>
      </c>
      <c r="E48" s="13"/>
      <c r="F48" s="7">
        <f t="shared" si="14"/>
        <v>83.598881936883473</v>
      </c>
    </row>
    <row r="49" spans="4:6">
      <c r="D49" s="18">
        <f t="shared" si="16"/>
        <v>2459977.2535000001</v>
      </c>
      <c r="E49" s="13"/>
      <c r="F49" s="7">
        <f t="shared" si="14"/>
        <v>83.696915572864086</v>
      </c>
    </row>
    <row r="50" spans="4:6">
      <c r="D50" s="18">
        <v>2460059.6189000001</v>
      </c>
      <c r="E50" s="13">
        <v>83.569600000046194</v>
      </c>
      <c r="F50" s="7">
        <f t="shared" si="14"/>
        <v>83.521567708892789</v>
      </c>
    </row>
    <row r="51" spans="4:6">
      <c r="D51" s="18">
        <v>2460142.6048000003</v>
      </c>
      <c r="E51" s="13">
        <v>82.985900000203401</v>
      </c>
      <c r="F51" s="7">
        <f t="shared" si="14"/>
        <v>83.118777348149962</v>
      </c>
    </row>
    <row r="75" spans="1:5">
      <c r="D75" s="7" t="s">
        <v>37</v>
      </c>
      <c r="E75" s="7" t="s">
        <v>71</v>
      </c>
    </row>
    <row r="76" spans="1:5">
      <c r="A76" s="8" t="s">
        <v>20</v>
      </c>
      <c r="B76" s="16">
        <v>28</v>
      </c>
      <c r="C76" s="16" t="s">
        <v>32</v>
      </c>
      <c r="D76" s="31">
        <f>'28c'!$K$31</f>
        <v>2459065.0931111425</v>
      </c>
      <c r="E76" s="31">
        <f>'28c'!$K$34</f>
        <v>2459065.3847746374</v>
      </c>
    </row>
    <row r="77" spans="1:5">
      <c r="A77" s="8" t="s">
        <v>20</v>
      </c>
      <c r="B77" s="16">
        <v>31</v>
      </c>
      <c r="C77" s="16" t="s">
        <v>33</v>
      </c>
      <c r="D77" s="31">
        <f>'31c'!$K$31</f>
        <v>2459148.3431854933</v>
      </c>
      <c r="E77" s="31">
        <f>'31c'!$K$34</f>
        <v>2459148.6279118527</v>
      </c>
    </row>
    <row r="78" spans="1:5">
      <c r="A78" s="8" t="s">
        <v>20</v>
      </c>
      <c r="B78" s="16">
        <v>34</v>
      </c>
      <c r="C78" s="16" t="s">
        <v>34</v>
      </c>
      <c r="D78" s="31">
        <f>'34c'!$K$31</f>
        <v>2459230.96270811</v>
      </c>
      <c r="E78" s="31">
        <f>'34c'!$K$34</f>
        <v>2459231.2543796636</v>
      </c>
    </row>
    <row r="79" spans="1:5">
      <c r="A79" s="8" t="s">
        <v>20</v>
      </c>
      <c r="B79" s="16">
        <v>37</v>
      </c>
      <c r="C79" s="16" t="s">
        <v>35</v>
      </c>
      <c r="D79" s="31">
        <f>'37c'!$K$31</f>
        <v>2459313.1088080285</v>
      </c>
      <c r="E79" s="31">
        <f>'37c'!$K$34</f>
        <v>2459313.4004717376</v>
      </c>
    </row>
    <row r="80" spans="1:5">
      <c r="A80" s="8" t="s">
        <v>20</v>
      </c>
      <c r="B80" s="16">
        <v>61</v>
      </c>
      <c r="C80" s="16" t="s">
        <v>40</v>
      </c>
      <c r="D80" s="31">
        <f>'61c'!$K$31</f>
        <v>2459975.9278488979</v>
      </c>
      <c r="E80" s="31">
        <f>'61c'!$K$34</f>
        <v>2459976.2070197146</v>
      </c>
    </row>
    <row r="81" spans="1:5">
      <c r="A81" s="8" t="s">
        <v>20</v>
      </c>
      <c r="B81" s="17">
        <v>64</v>
      </c>
      <c r="C81" s="17" t="s">
        <v>41</v>
      </c>
      <c r="D81" s="31">
        <f>'64c'!$K$31</f>
        <v>2460059.4809668693</v>
      </c>
      <c r="E81" s="31">
        <f>'64c'!$K$34</f>
        <v>2460059.7564260294</v>
      </c>
    </row>
    <row r="82" spans="1:5">
      <c r="A82" s="8" t="s">
        <v>20</v>
      </c>
      <c r="B82" s="17">
        <v>67</v>
      </c>
      <c r="C82" s="17" t="s">
        <v>42</v>
      </c>
      <c r="D82" s="31">
        <f>'67c'!$K$31</f>
        <v>2460142.4609310823</v>
      </c>
      <c r="E82" s="31">
        <f>'67c'!$K$34</f>
        <v>2460142.7363902261</v>
      </c>
    </row>
    <row r="83" spans="1:5">
      <c r="A83" s="8" t="s">
        <v>20</v>
      </c>
      <c r="B83" s="17">
        <v>89</v>
      </c>
      <c r="C83" s="17" t="s">
        <v>110</v>
      </c>
      <c r="D83" s="31">
        <f>'89c'!$K$31</f>
        <v>2460718.4882754739</v>
      </c>
      <c r="E83" s="31">
        <f>'89c'!$K$34</f>
        <v>2460718.7410553764</v>
      </c>
    </row>
    <row r="84" spans="1:5">
      <c r="A84" s="8" t="s">
        <v>20</v>
      </c>
      <c r="B84" s="17"/>
      <c r="C84" s="17" t="s">
        <v>128</v>
      </c>
    </row>
    <row r="85" spans="1:5">
      <c r="A85" s="8" t="s">
        <v>20</v>
      </c>
      <c r="B85" s="17">
        <v>95</v>
      </c>
      <c r="C85" s="17" t="s">
        <v>129</v>
      </c>
    </row>
    <row r="86" spans="1:5" ht="15.75" thickBot="1">
      <c r="A86" s="97" t="s">
        <v>20</v>
      </c>
      <c r="B86" s="98">
        <v>97</v>
      </c>
      <c r="C86" s="98" t="s">
        <v>130</v>
      </c>
      <c r="D86" s="99"/>
      <c r="E86" s="99"/>
    </row>
    <row r="87" spans="1:5">
      <c r="A87" s="8" t="s">
        <v>21</v>
      </c>
      <c r="B87" s="17">
        <v>88</v>
      </c>
      <c r="C87" s="17" t="s">
        <v>36</v>
      </c>
      <c r="D87" s="31">
        <f>'88d'!$K$31</f>
        <v>2460695.4796898947</v>
      </c>
      <c r="E87" s="31">
        <f>'88d'!$K$34</f>
        <v>2460695.5894138231</v>
      </c>
    </row>
    <row r="88" spans="1:5">
      <c r="A88" s="8" t="s">
        <v>21</v>
      </c>
      <c r="B88" s="17">
        <v>89</v>
      </c>
      <c r="C88" s="17" t="s">
        <v>37</v>
      </c>
      <c r="D88" s="31">
        <f>'89d'!$K$31</f>
        <v>2460736.5800440735</v>
      </c>
      <c r="E88" s="31">
        <f>'89d'!$K$34</f>
        <v>2460736.6897667288</v>
      </c>
    </row>
    <row r="89" spans="1:5">
      <c r="A89" s="8" t="s">
        <v>21</v>
      </c>
      <c r="B89" s="17"/>
      <c r="C89" s="17" t="s">
        <v>38</v>
      </c>
      <c r="D89" s="260"/>
    </row>
    <row r="90" spans="1:5">
      <c r="A90" s="8" t="s">
        <v>21</v>
      </c>
      <c r="B90" s="17"/>
      <c r="C90" s="17" t="s">
        <v>39</v>
      </c>
      <c r="D90" s="260"/>
    </row>
    <row r="91" spans="1:5">
      <c r="A91" s="8" t="s">
        <v>21</v>
      </c>
      <c r="B91" s="17">
        <v>94</v>
      </c>
      <c r="C91" s="17" t="s">
        <v>71</v>
      </c>
      <c r="D91" s="31"/>
    </row>
  </sheetData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6" activePane="bottomRight" state="frozen"/>
      <selection activeCell="L30" sqref="L30"/>
      <selection pane="topRight" activeCell="L30" sqref="L30"/>
      <selection pane="bottomLeft" activeCell="L30" sqref="L30"/>
      <selection pane="bottomRight" activeCell="K34" sqref="K34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35</vt:i4>
      </vt:variant>
    </vt:vector>
  </HeadingPairs>
  <TitlesOfParts>
    <vt:vector size="35" baseType="lpstr">
      <vt:lpstr>mcmc</vt:lpstr>
      <vt:lpstr>RV</vt:lpstr>
      <vt:lpstr>with(out) b</vt:lpstr>
      <vt:lpstr>Rebound</vt:lpstr>
      <vt:lpstr>Rebound2</vt:lpstr>
      <vt:lpstr>TESS Data Processing</vt:lpstr>
      <vt:lpstr>Planner</vt:lpstr>
      <vt:lpstr>96years</vt:lpstr>
      <vt:lpstr>Planet c</vt:lpstr>
      <vt:lpstr>prognose transits c</vt:lpstr>
      <vt:lpstr>Transits c</vt:lpstr>
      <vt:lpstr>manual fit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2025-09-05T20:14:51Z</dcterms:modified>
</cp:coreProperties>
</file>