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2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23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4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earch\star_systems\TOI-4504\"/>
    </mc:Choice>
  </mc:AlternateContent>
  <xr:revisionPtr revIDLastSave="0" documentId="13_ncr:1_{BD0E173F-6AB3-4EAF-BD9F-8FD5E5DA63DC}" xr6:coauthVersionLast="47" xr6:coauthVersionMax="47" xr10:uidLastSave="{00000000-0000-0000-0000-000000000000}"/>
  <bookViews>
    <workbookView xWindow="-120" yWindow="-120" windowWidth="29040" windowHeight="15720" tabRatio="1000" activeTab="1" xr2:uid="{6919DDE8-15F9-45FB-B5F7-4209377AF865}"/>
  </bookViews>
  <sheets>
    <sheet name="mcmc" sheetId="44" r:id="rId1"/>
    <sheet name="with(out) b" sheetId="45" r:id="rId2"/>
    <sheet name="Rebound" sheetId="41" r:id="rId3"/>
    <sheet name="Rebound2" sheetId="43" r:id="rId4"/>
    <sheet name="TESS Data Processing" sheetId="42" r:id="rId5"/>
    <sheet name="Planner" sheetId="19" r:id="rId6"/>
    <sheet name="96years" sheetId="20" r:id="rId7"/>
    <sheet name="Planet c" sheetId="5" r:id="rId8"/>
    <sheet name="prognose transits c" sheetId="8" r:id="rId9"/>
    <sheet name="Transits c" sheetId="9" r:id="rId10"/>
    <sheet name="fit transits d" sheetId="40" r:id="rId11"/>
    <sheet name="Transits" sheetId="7" r:id="rId12"/>
    <sheet name="28c" sheetId="11" r:id="rId13"/>
    <sheet name="31c" sheetId="12" r:id="rId14"/>
    <sheet name="34c" sheetId="15" r:id="rId15"/>
    <sheet name="37c" sheetId="16" r:id="rId16"/>
    <sheet name="61c" sheetId="28" r:id="rId17"/>
    <sheet name="64c" sheetId="14" r:id="rId18"/>
    <sheet name="67c" sheetId="13" r:id="rId19"/>
    <sheet name="89c" sheetId="26" r:id="rId20"/>
    <sheet name="88d" sheetId="21" r:id="rId21"/>
    <sheet name="89d" sheetId="25" r:id="rId22"/>
    <sheet name="all curves" sheetId="18" r:id="rId23"/>
    <sheet name="28c (2)" sheetId="29" r:id="rId24"/>
    <sheet name="31c (2)" sheetId="30" r:id="rId25"/>
    <sheet name="34c (2)" sheetId="31" r:id="rId26"/>
    <sheet name="37c (2)" sheetId="32" r:id="rId27"/>
    <sheet name="61c (2)" sheetId="33" r:id="rId28"/>
    <sheet name="64c (2)" sheetId="34" r:id="rId29"/>
    <sheet name="67c (2)" sheetId="35" r:id="rId30"/>
    <sheet name="89c (2)" sheetId="36" r:id="rId31"/>
    <sheet name="88d (2)" sheetId="37" r:id="rId32"/>
    <sheet name="89d (2)" sheetId="38" r:id="rId33"/>
    <sheet name="all curves (2)" sheetId="39" r:id="rId34"/>
  </sheets>
  <definedNames>
    <definedName name="_xlnm._FilterDatabase" localSheetId="4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2" i="45" l="1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L35" i="44"/>
  <c r="L34" i="44"/>
  <c r="L33" i="44"/>
  <c r="L32" i="44"/>
  <c r="L31" i="44"/>
  <c r="L30" i="44"/>
  <c r="L29" i="44"/>
  <c r="L28" i="44"/>
  <c r="H28" i="44"/>
  <c r="F28" i="44"/>
  <c r="F2" i="44"/>
  <c r="F14" i="44"/>
  <c r="F13" i="44"/>
  <c r="F12" i="44"/>
  <c r="F11" i="44"/>
  <c r="F10" i="44"/>
  <c r="F9" i="44"/>
  <c r="F8" i="44"/>
  <c r="F7" i="44"/>
  <c r="F6" i="44"/>
  <c r="F5" i="44"/>
  <c r="F4" i="44"/>
  <c r="F3" i="44"/>
  <c r="H17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91" i="7"/>
  <c r="E90" i="7"/>
  <c r="E86" i="7"/>
  <c r="E85" i="7"/>
  <c r="E84" i="7"/>
  <c r="E83" i="7"/>
  <c r="E82" i="7"/>
  <c r="E81" i="7"/>
  <c r="E80" i="7"/>
  <c r="E79" i="7"/>
  <c r="D91" i="7"/>
  <c r="D90" i="7"/>
  <c r="D86" i="7"/>
  <c r="D85" i="7"/>
  <c r="D84" i="7"/>
  <c r="D83" i="7"/>
  <c r="D82" i="7"/>
  <c r="D81" i="7"/>
  <c r="D80" i="7"/>
  <c r="D79" i="7"/>
  <c r="K23" i="7"/>
  <c r="K24" i="7" s="1"/>
  <c r="K26" i="7" s="1"/>
  <c r="K27" i="7" s="1"/>
  <c r="K28" i="7" s="1"/>
  <c r="M23" i="7"/>
  <c r="L23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O23" i="7" l="1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9" i="7"/>
  <c r="M19" i="7"/>
  <c r="L19" i="7"/>
  <c r="K19" i="7"/>
  <c r="N20" i="7"/>
  <c r="M20" i="7"/>
  <c r="L20" i="7"/>
  <c r="K20" i="7"/>
  <c r="K21" i="7" s="1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16" i="7" s="1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9" i="7" s="1"/>
  <c r="Q16" i="7"/>
  <c r="K17" i="7"/>
  <c r="Q15" i="7"/>
  <c r="Q21" i="7"/>
  <c r="K22" i="7"/>
  <c r="Q20" i="7"/>
  <c r="O19" i="7"/>
  <c r="O20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4" i="7"/>
  <c r="F44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5" i="7"/>
  <c r="D46" i="7" s="1"/>
  <c r="D47" i="7" s="1"/>
  <c r="D48" i="7" s="1"/>
  <c r="D49" i="7" s="1"/>
  <c r="D50" i="7" s="1"/>
  <c r="D51" i="7" s="1"/>
  <c r="D52" i="7" s="1"/>
  <c r="D37" i="7"/>
  <c r="D38" i="7" s="1"/>
  <c r="D39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7" i="7"/>
  <c r="K18" i="7"/>
  <c r="Q22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4" i="7"/>
  <c r="F47" i="7"/>
  <c r="F45" i="7"/>
  <c r="F46" i="7"/>
  <c r="F52" i="7"/>
  <c r="F53" i="7"/>
  <c r="F35" i="7"/>
  <c r="F54" i="7"/>
  <c r="F39" i="7"/>
  <c r="F50" i="7"/>
  <c r="F37" i="7"/>
  <c r="F42" i="7"/>
  <c r="F48" i="7"/>
  <c r="F49" i="7"/>
  <c r="F51" i="7"/>
  <c r="F36" i="7"/>
  <c r="F38" i="7"/>
  <c r="F43" i="7"/>
  <c r="D40" i="7"/>
  <c r="F40" i="7" s="1"/>
  <c r="F9" i="7"/>
  <c r="Q18" i="7" l="1"/>
  <c r="Q23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41" i="7"/>
  <c r="F41" i="7" s="1"/>
  <c r="Q24" i="7" l="1"/>
  <c r="Q26" i="7" l="1"/>
  <c r="Q28" i="7" l="1"/>
  <c r="Q27" i="7"/>
</calcChain>
</file>

<file path=xl/sharedStrings.xml><?xml version="1.0" encoding="utf-8"?>
<sst xmlns="http://schemas.openxmlformats.org/spreadsheetml/2006/main" count="1197" uniqueCount="276">
  <si>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</si>
  <si>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</si>
  <si>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</si>
  <si>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</si>
  <si>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</si>
  <si>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</si>
  <si>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</si>
  <si>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</si>
  <si>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</si>
  <si>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</si>
  <si>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</si>
  <si>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</si>
  <si>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</si>
  <si>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</si>
  <si>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</si>
  <si>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</si>
  <si>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</si>
  <si>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</si>
  <si>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</si>
  <si>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</si>
  <si>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</si>
  <si>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</si>
  <si>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</si>
  <si>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</si>
  <si>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</si>
  <si>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</si>
  <si>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</si>
  <si>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</si>
  <si>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</si>
  <si>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</si>
  <si>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</si>
  <si>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</si>
  <si>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</si>
  <si>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</si>
  <si>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</si>
  <si>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</si>
  <si>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</si>
  <si>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</si>
  <si>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</si>
  <si>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</si>
  <si>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</si>
  <si>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</si>
  <si>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</si>
  <si>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</si>
  <si>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</si>
  <si>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</si>
  <si>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</si>
  <si>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</si>
  <si>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</si>
  <si>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</si>
  <si>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</si>
  <si>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</si>
  <si>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</si>
  <si>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</si>
  <si>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</si>
  <si>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</si>
  <si>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</si>
  <si>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</si>
  <si>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</si>
  <si>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</si>
  <si>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</si>
  <si>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</si>
  <si>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</si>
  <si>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</si>
  <si>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</si>
  <si>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</si>
  <si>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</si>
  <si>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</si>
  <si>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</si>
  <si>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</si>
  <si>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</si>
  <si>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</si>
  <si>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</si>
  <si>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</si>
  <si>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</si>
  <si>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</si>
  <si>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</si>
  <si>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</si>
  <si>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</si>
  <si>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</si>
  <si>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</si>
  <si>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</si>
  <si>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</si>
  <si>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</si>
  <si>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</si>
  <si>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</si>
  <si>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</si>
  <si>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</si>
  <si>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</si>
  <si>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</si>
  <si>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</si>
  <si>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</si>
  <si>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</si>
  <si>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</si>
  <si>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</si>
  <si>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</si>
  <si>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</si>
  <si>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</si>
  <si>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</si>
  <si>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</si>
  <si>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</si>
  <si>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</si>
  <si>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</si>
  <si>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</si>
  <si>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</si>
  <si>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</si>
  <si>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</si>
  <si>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</si>
  <si>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</si>
  <si>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</si>
  <si>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</si>
  <si>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</si>
  <si>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</si>
  <si>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</si>
  <si>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</si>
  <si>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</si>
  <si>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</si>
  <si>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</si>
  <si>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</si>
  <si>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</si>
  <si>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</si>
  <si>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</si>
  <si>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</si>
  <si>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</si>
  <si>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</si>
  <si>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</si>
  <si>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</si>
  <si>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</si>
  <si>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</si>
  <si>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</si>
  <si>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</si>
  <si>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</si>
  <si>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</si>
  <si>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</si>
  <si>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</si>
  <si>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</si>
  <si>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</si>
  <si>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</si>
  <si>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</si>
  <si>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</si>
  <si>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</si>
  <si>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</si>
  <si>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</si>
  <si>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</si>
  <si>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</si>
  <si>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</si>
  <si>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</si>
  <si>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</si>
  <si>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</si>
  <si>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</si>
  <si>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</si>
  <si>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</si>
  <si>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</si>
  <si>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</si>
  <si>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</si>
  <si>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</si>
  <si>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</si>
  <si>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</si>
  <si>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</si>
  <si>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</si>
  <si>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</si>
  <si>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</si>
  <si>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</si>
  <si>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</si>
  <si>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</si>
  <si>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</si>
  <si>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</si>
  <si>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</si>
  <si>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</si>
  <si>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</si>
  <si>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</si>
  <si>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</si>
  <si>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</si>
  <si>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</si>
  <si>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</si>
  <si>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</si>
  <si>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</si>
  <si>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</si>
  <si>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</si>
  <si>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</si>
  <si>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</si>
  <si>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</si>
  <si>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</si>
  <si>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</si>
  <si>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</si>
  <si>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</si>
  <si>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</si>
  <si>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</si>
  <si>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</si>
  <si>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</si>
  <si>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</si>
  <si>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</si>
  <si>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</si>
  <si>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</si>
  <si>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</si>
  <si>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</si>
  <si>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</si>
  <si>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</si>
  <si>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</si>
  <si>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</si>
  <si>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</si>
  <si>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</si>
  <si>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</si>
  <si>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</si>
  <si>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</si>
  <si>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</si>
  <si>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</si>
  <si>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</si>
  <si>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</si>
  <si>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</si>
  <si>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</si>
  <si>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</si>
  <si>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</si>
  <si>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</si>
  <si>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</si>
  <si>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</si>
  <si>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</si>
  <si>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</si>
  <si>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</si>
  <si>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</si>
  <si>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</si>
  <si>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</si>
  <si>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</si>
  <si>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</si>
  <si>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</si>
  <si>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</si>
  <si>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</si>
  <si>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</si>
  <si>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</si>
  <si>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</si>
  <si>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</si>
  <si>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</si>
  <si>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</si>
  <si>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</si>
  <si>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</si>
  <si>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</si>
  <si>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</si>
  <si>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</si>
  <si>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</si>
  <si>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</si>
  <si>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</si>
  <si>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</si>
  <si>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</si>
  <si>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</si>
  <si>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</si>
  <si>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</si>
  <si>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</si>
  <si>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</si>
  <si>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</si>
  <si>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</si>
  <si>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</si>
  <si>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</si>
  <si>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</si>
  <si>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</si>
  <si>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</si>
  <si>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</si>
  <si>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</si>
  <si>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</si>
  <si>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2460801,648</t>
  </si>
  <si>
    <t>miss</t>
  </si>
  <si>
    <t>Planet b</t>
  </si>
  <si>
    <t>sigma</t>
  </si>
  <si>
    <t>sigma/P</t>
  </si>
  <si>
    <t>sigma * 7 Jahre</t>
  </si>
  <si>
    <t>delta</t>
  </si>
  <si>
    <t>mit etwas anderen Parametern fuer c und d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</si>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</sst>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000000000"/>
  </numFmts>
  <fonts count="32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</fonts>
  <fills count="2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</fills>
  <borders count="3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297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6" borderId="0" xfId="0" applyNumberFormat="1" applyFont="1" applyFill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7" borderId="0" xfId="0" applyNumberFormat="1" applyFill="1"/>
    <xf numFmtId="164" fontId="0" fillId="17" borderId="0" xfId="0" applyNumberFormat="1" applyFill="1"/>
    <xf numFmtId="166" fontId="0" fillId="17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7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8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8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0" borderId="0" xfId="3" applyFont="1" applyFill="1" applyAlignment="1">
      <alignment horizontal="right" vertical="center" wrapText="1"/>
    </xf>
    <xf numFmtId="0" fontId="20" fillId="21" borderId="0" xfId="0" applyFont="1" applyFill="1" applyAlignment="1">
      <alignment horizontal="right" vertical="center" wrapText="1"/>
    </xf>
    <xf numFmtId="0" fontId="21" fillId="22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8" borderId="0" xfId="0" applyFont="1" applyFill="1" applyAlignment="1">
      <alignment horizontal="right" vertical="center" wrapText="1"/>
    </xf>
    <xf numFmtId="0" fontId="20" fillId="23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2" borderId="0" xfId="3" applyFont="1" applyFill="1" applyAlignment="1">
      <alignment horizontal="right" vertical="center" wrapText="1"/>
    </xf>
    <xf numFmtId="0" fontId="22" fillId="23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2" borderId="0" xfId="0" applyFill="1"/>
    <xf numFmtId="0" fontId="0" fillId="22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8" borderId="0" xfId="0" applyNumberFormat="1" applyFill="1"/>
    <xf numFmtId="1" fontId="0" fillId="17" borderId="0" xfId="0" applyNumberFormat="1" applyFill="1"/>
    <xf numFmtId="2" fontId="0" fillId="17" borderId="0" xfId="0" applyNumberFormat="1" applyFill="1"/>
    <xf numFmtId="177" fontId="0" fillId="17" borderId="0" xfId="0" applyNumberFormat="1" applyFill="1"/>
    <xf numFmtId="177" fontId="0" fillId="17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7" borderId="0" xfId="0" applyNumberFormat="1" applyFont="1" applyFill="1"/>
    <xf numFmtId="2" fontId="1" fillId="17" borderId="0" xfId="0" applyNumberFormat="1" applyFont="1" applyFill="1"/>
    <xf numFmtId="177" fontId="1" fillId="17" borderId="0" xfId="0" applyNumberFormat="1" applyFont="1" applyFill="1"/>
    <xf numFmtId="177" fontId="1" fillId="17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8" borderId="4" xfId="0" applyNumberFormat="1" applyFill="1" applyBorder="1"/>
    <xf numFmtId="1" fontId="0" fillId="7" borderId="4" xfId="0" applyNumberFormat="1" applyFill="1" applyBorder="1"/>
    <xf numFmtId="2" fontId="0" fillId="17" borderId="4" xfId="0" applyNumberFormat="1" applyFill="1" applyBorder="1"/>
    <xf numFmtId="177" fontId="0" fillId="17" borderId="4" xfId="0" applyNumberFormat="1" applyFill="1" applyBorder="1"/>
    <xf numFmtId="177" fontId="0" fillId="17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1" fontId="31" fillId="0" borderId="0" xfId="0" applyNumberFormat="1" applyFont="1"/>
    <xf numFmtId="0" fontId="31" fillId="0" borderId="0" xfId="0" applyFont="1"/>
    <xf numFmtId="170" fontId="31" fillId="16" borderId="0" xfId="0" applyNumberFormat="1" applyFont="1" applyFill="1"/>
    <xf numFmtId="0" fontId="4" fillId="13" borderId="0" xfId="0" applyFont="1" applyFill="1" applyAlignment="1">
      <alignment horizontal="center"/>
    </xf>
    <xf numFmtId="0" fontId="4" fillId="13" borderId="0" xfId="0" applyFont="1" applyFill="1"/>
    <xf numFmtId="166" fontId="4" fillId="13" borderId="0" xfId="0" applyNumberFormat="1" applyFont="1" applyFill="1"/>
    <xf numFmtId="2" fontId="4" fillId="24" borderId="0" xfId="0" applyNumberFormat="1" applyFont="1" applyFill="1" applyAlignment="1">
      <alignment horizontal="center"/>
    </xf>
    <xf numFmtId="0" fontId="4" fillId="24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10" borderId="8" xfId="0" applyNumberFormat="1" applyFill="1" applyBorder="1"/>
    <xf numFmtId="2" fontId="0" fillId="25" borderId="0" xfId="0" applyNumberFormat="1" applyFill="1"/>
    <xf numFmtId="2" fontId="0" fillId="25" borderId="8" xfId="0" applyNumberFormat="1" applyFill="1" applyBorder="1"/>
    <xf numFmtId="0" fontId="0" fillId="25" borderId="0" xfId="0" applyFill="1" applyAlignment="1">
      <alignment horizontal="center"/>
    </xf>
    <xf numFmtId="0" fontId="5" fillId="20" borderId="8" xfId="0" applyFont="1" applyFill="1" applyBorder="1" applyAlignment="1">
      <alignment horizontal="center"/>
    </xf>
    <xf numFmtId="0" fontId="0" fillId="0" borderId="0" xfId="0" applyAlignment="1">
      <alignment wrapText="1"/>
    </xf>
    <xf numFmtId="180" fontId="0" fillId="0" borderId="0" xfId="0" applyNumberFormat="1"/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6" borderId="36" xfId="0" applyFont="1" applyFill="1" applyBorder="1" applyAlignment="1">
      <alignment horizontal="center" vertical="center" wrapText="1"/>
    </xf>
    <xf numFmtId="0" fontId="1" fillId="26" borderId="37" xfId="0" applyFont="1" applyFill="1" applyBorder="1" applyAlignment="1">
      <alignment horizontal="center" vertical="center" wrapText="1"/>
    </xf>
    <xf numFmtId="0" fontId="1" fillId="26" borderId="38" xfId="0" applyFont="1" applyFill="1" applyBorder="1" applyAlignment="1">
      <alignment horizontal="center" vertical="center" wrapText="1"/>
    </xf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Transits!$E$33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Transits!$E$34:$E$54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Transits!$F$33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Transits!$D$34:$D$54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Transits!$F$34:$F$54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4.png"/><Relationship Id="rId1" Type="http://schemas.openxmlformats.org/officeDocument/2006/relationships/chart" Target="../charts/chart6.xml"/><Relationship Id="rId5" Type="http://schemas.openxmlformats.org/officeDocument/2006/relationships/image" Target="../media/image25.png"/><Relationship Id="rId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10" Type="http://schemas.openxmlformats.org/officeDocument/2006/relationships/chart" Target="../charts/chart28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6.xml"/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10" Type="http://schemas.openxmlformats.org/officeDocument/2006/relationships/chart" Target="../charts/chart48.xml"/><Relationship Id="rId4" Type="http://schemas.openxmlformats.org/officeDocument/2006/relationships/chart" Target="../charts/chart42.xml"/><Relationship Id="rId9" Type="http://schemas.openxmlformats.org/officeDocument/2006/relationships/chart" Target="../charts/chart4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238125</xdr:colOff>
      <xdr:row>1</xdr:row>
      <xdr:rowOff>123825</xdr:rowOff>
    </xdr:from>
    <xdr:to>
      <xdr:col>21</xdr:col>
      <xdr:colOff>29397</xdr:colOff>
      <xdr:row>34</xdr:row>
      <xdr:rowOff>67546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B6F53F85-8ED0-7125-125E-0A506B2C6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25" y="323850"/>
          <a:ext cx="5887272" cy="62397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32</xdr:row>
      <xdr:rowOff>84771</xdr:rowOff>
    </xdr:from>
    <xdr:to>
      <xdr:col>14</xdr:col>
      <xdr:colOff>498751</xdr:colOff>
      <xdr:row>46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62</xdr:row>
      <xdr:rowOff>130492</xdr:rowOff>
    </xdr:from>
    <xdr:to>
      <xdr:col>14</xdr:col>
      <xdr:colOff>489962</xdr:colOff>
      <xdr:row>75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47</xdr:row>
      <xdr:rowOff>25592</xdr:rowOff>
    </xdr:from>
    <xdr:to>
      <xdr:col>16</xdr:col>
      <xdr:colOff>653631</xdr:colOff>
      <xdr:row>60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71887</xdr:colOff>
      <xdr:row>4</xdr:row>
      <xdr:rowOff>12220</xdr:rowOff>
    </xdr:from>
    <xdr:to>
      <xdr:col>24</xdr:col>
      <xdr:colOff>250703</xdr:colOff>
      <xdr:row>18</xdr:row>
      <xdr:rowOff>104594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30</xdr:row>
      <xdr:rowOff>28755</xdr:rowOff>
    </xdr:from>
    <xdr:to>
      <xdr:col>21</xdr:col>
      <xdr:colOff>280360</xdr:colOff>
      <xdr:row>46</xdr:row>
      <xdr:rowOff>10661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2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csgnetwork.com/juliangregcalconv.html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M37"/>
  <sheetViews>
    <sheetView workbookViewId="0">
      <selection activeCell="K17" sqref="K17"/>
    </sheetView>
  </sheetViews>
  <sheetFormatPr baseColWidth="10" defaultRowHeight="15"/>
  <cols>
    <col min="6" max="6" width="12" bestFit="1" customWidth="1"/>
    <col min="12" max="12" width="19.42578125" bestFit="1" customWidth="1"/>
  </cols>
  <sheetData>
    <row r="1" spans="1:8" s="269" customFormat="1" ht="15.75" thickBot="1">
      <c r="A1" s="270" t="s">
        <v>127</v>
      </c>
      <c r="B1" s="270" t="s">
        <v>24</v>
      </c>
      <c r="C1" s="270" t="s">
        <v>43</v>
      </c>
      <c r="D1" s="270" t="s">
        <v>29</v>
      </c>
      <c r="E1" s="270" t="s">
        <v>242</v>
      </c>
      <c r="F1" s="277" t="s">
        <v>242</v>
      </c>
      <c r="G1" s="270" t="s">
        <v>243</v>
      </c>
      <c r="H1" s="277" t="s">
        <v>243</v>
      </c>
    </row>
    <row r="2" spans="1:8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72">
        <f>D2-E2</f>
        <v>0.49576152954250574</v>
      </c>
      <c r="G2" s="1" t="s">
        <v>0</v>
      </c>
      <c r="H2" s="1" t="s">
        <v>259</v>
      </c>
    </row>
    <row r="3" spans="1:8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72">
        <f>D3-E3</f>
        <v>0.25393407000228763</v>
      </c>
      <c r="G3" t="s">
        <v>247</v>
      </c>
      <c r="H3" s="274">
        <f t="shared" ref="H3:H17" si="0">G3-D3</f>
        <v>-1.4920000000856817</v>
      </c>
    </row>
    <row r="4" spans="1:8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72">
        <f t="shared" ref="F4:F14" si="1">D4-E4</f>
        <v>-0.2604475999251008</v>
      </c>
      <c r="G4" t="s">
        <v>248</v>
      </c>
      <c r="H4" s="272">
        <f t="shared" si="0"/>
        <v>-0.7421999997459352</v>
      </c>
    </row>
    <row r="5" spans="1:8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74">
        <f t="shared" si="1"/>
        <v>-0.820448889862746</v>
      </c>
      <c r="G5" t="s">
        <v>249</v>
      </c>
      <c r="H5" s="271">
        <f t="shared" si="0"/>
        <v>-8.7999999523162842E-3</v>
      </c>
    </row>
    <row r="6" spans="1:8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72">
        <f t="shared" si="1"/>
        <v>-0.10387307964265347</v>
      </c>
      <c r="G6" t="s">
        <v>250</v>
      </c>
      <c r="H6" s="271">
        <f t="shared" si="0"/>
        <v>3.0000000260770321E-3</v>
      </c>
    </row>
    <row r="7" spans="1:8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71">
        <f t="shared" si="1"/>
        <v>3.6203698255121708E-3</v>
      </c>
      <c r="G7" t="s">
        <v>251</v>
      </c>
      <c r="H7" s="271">
        <f t="shared" si="0"/>
        <v>7.8000002540647984E-3</v>
      </c>
    </row>
    <row r="8" spans="1:8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72">
        <f t="shared" si="1"/>
        <v>7.8995450399816036E-2</v>
      </c>
      <c r="G8" t="s">
        <v>252</v>
      </c>
      <c r="H8" s="271">
        <f t="shared" si="0"/>
        <v>-3.4000002779066563E-3</v>
      </c>
    </row>
    <row r="9" spans="1:8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72">
        <f t="shared" si="1"/>
        <v>0.17890055989846587</v>
      </c>
      <c r="G9" t="s">
        <v>253</v>
      </c>
      <c r="H9" s="271">
        <f t="shared" si="0"/>
        <v>-3.5000001080334187E-3</v>
      </c>
    </row>
    <row r="10" spans="1:8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74">
        <f t="shared" si="1"/>
        <v>4.4367684801109135</v>
      </c>
      <c r="G10" t="s">
        <v>254</v>
      </c>
      <c r="H10" s="272">
        <f t="shared" si="0"/>
        <v>0.15469999983906746</v>
      </c>
    </row>
    <row r="11" spans="1:8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74">
        <f t="shared" si="1"/>
        <v>4.2400251901708543</v>
      </c>
      <c r="G11" t="s">
        <v>255</v>
      </c>
      <c r="H11" s="271">
        <f t="shared" si="0"/>
        <v>-3.8999998942017555E-3</v>
      </c>
    </row>
    <row r="12" spans="1:8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74">
        <f t="shared" si="1"/>
        <v>3.7067049103789032</v>
      </c>
      <c r="G12" t="s">
        <v>256</v>
      </c>
      <c r="H12" s="271">
        <f t="shared" si="0"/>
        <v>1.2199999764561653E-2</v>
      </c>
    </row>
    <row r="13" spans="1:8">
      <c r="A13" s="8" t="s">
        <v>20</v>
      </c>
      <c r="B13" s="17">
        <v>89</v>
      </c>
      <c r="C13" s="17" t="s">
        <v>110</v>
      </c>
      <c r="D13" s="12">
        <v>2460718.6125820568</v>
      </c>
      <c r="E13">
        <v>2460713.49076935</v>
      </c>
      <c r="F13" s="274">
        <f t="shared" si="1"/>
        <v>5.1218127068132162</v>
      </c>
      <c r="G13" t="s">
        <v>257</v>
      </c>
      <c r="H13" s="271">
        <f t="shared" si="0"/>
        <v>4.4179433025419712E-3</v>
      </c>
    </row>
    <row r="14" spans="1:8" s="269" customFormat="1" ht="15.75" thickBot="1">
      <c r="A14" s="97" t="s">
        <v>20</v>
      </c>
      <c r="B14" s="98"/>
      <c r="C14" s="98" t="s">
        <v>128</v>
      </c>
      <c r="D14" s="99">
        <v>2460801.1125820568</v>
      </c>
      <c r="E14" s="269">
        <v>2460795.8240436199</v>
      </c>
      <c r="F14" s="275">
        <f t="shared" si="1"/>
        <v>5.288538436871022</v>
      </c>
      <c r="G14" s="269" t="s">
        <v>258</v>
      </c>
      <c r="H14" s="273">
        <f t="shared" si="0"/>
        <v>0.53541794326156378</v>
      </c>
    </row>
    <row r="15" spans="1:8">
      <c r="A15" s="8" t="s">
        <v>21</v>
      </c>
      <c r="B15" s="17">
        <v>88</v>
      </c>
      <c r="C15" s="17" t="s">
        <v>36</v>
      </c>
      <c r="D15" s="7">
        <v>2460695.5345518598</v>
      </c>
      <c r="E15" s="1" t="s">
        <v>0</v>
      </c>
      <c r="F15" s="276" t="s">
        <v>259</v>
      </c>
      <c r="G15" t="s">
        <v>244</v>
      </c>
      <c r="H15" s="274">
        <f t="shared" si="0"/>
        <v>-14.898551859892905</v>
      </c>
    </row>
    <row r="16" spans="1:8">
      <c r="A16" s="8" t="s">
        <v>21</v>
      </c>
      <c r="B16" s="17">
        <v>89</v>
      </c>
      <c r="C16" s="17" t="s">
        <v>37</v>
      </c>
      <c r="D16" s="7">
        <v>2460736.6349054021</v>
      </c>
      <c r="E16" s="1" t="s">
        <v>0</v>
      </c>
      <c r="F16" s="276" t="s">
        <v>259</v>
      </c>
      <c r="G16" t="s">
        <v>245</v>
      </c>
      <c r="H16" s="274">
        <f t="shared" si="0"/>
        <v>-15.291905402205884</v>
      </c>
    </row>
    <row r="17" spans="1:12">
      <c r="A17" s="8" t="s">
        <v>21</v>
      </c>
      <c r="B17" s="17">
        <v>94</v>
      </c>
      <c r="C17" s="17" t="s">
        <v>71</v>
      </c>
      <c r="D17" s="7">
        <v>2460859.2275</v>
      </c>
      <c r="E17" s="1" t="s">
        <v>0</v>
      </c>
      <c r="F17" s="276" t="s">
        <v>259</v>
      </c>
      <c r="G17" t="s">
        <v>246</v>
      </c>
      <c r="H17" s="274">
        <f t="shared" si="0"/>
        <v>-17.38150000013411</v>
      </c>
    </row>
    <row r="25" spans="1:12">
      <c r="C25" t="s">
        <v>36</v>
      </c>
      <c r="D25">
        <v>2459038.4580000001</v>
      </c>
    </row>
    <row r="27" spans="1:12">
      <c r="D27" t="s">
        <v>31</v>
      </c>
      <c r="E27" t="s">
        <v>261</v>
      </c>
      <c r="F27" t="s">
        <v>262</v>
      </c>
      <c r="H27" t="s">
        <v>263</v>
      </c>
      <c r="J27" t="s">
        <v>139</v>
      </c>
      <c r="K27" t="s">
        <v>72</v>
      </c>
      <c r="L27" t="s">
        <v>264</v>
      </c>
    </row>
    <row r="28" spans="1:12">
      <c r="C28" t="s">
        <v>260</v>
      </c>
      <c r="D28" s="278">
        <v>2.4261400000000002</v>
      </c>
      <c r="E28">
        <v>1.3999999999999999E-4</v>
      </c>
      <c r="F28">
        <f>E28/D28</f>
        <v>5.770483154310962E-5</v>
      </c>
      <c r="H28">
        <f>7*365*F28</f>
        <v>0.14743584459264508</v>
      </c>
      <c r="J28">
        <v>0</v>
      </c>
      <c r="K28">
        <v>2459038.0837577302</v>
      </c>
      <c r="L28" s="279">
        <f>K28-$D$25</f>
        <v>-0.37424226989969611</v>
      </c>
    </row>
    <row r="29" spans="1:12">
      <c r="J29">
        <v>1</v>
      </c>
      <c r="K29">
        <v>2459038.0770952599</v>
      </c>
      <c r="L29" s="279">
        <f t="shared" ref="L29:L35" si="2">K29-$D$25</f>
        <v>-0.38090474018827081</v>
      </c>
    </row>
    <row r="30" spans="1:12">
      <c r="J30">
        <v>303.82830000000001</v>
      </c>
      <c r="K30">
        <v>2459038.4543197202</v>
      </c>
      <c r="L30" s="279">
        <f t="shared" si="2"/>
        <v>-3.6802799440920353E-3</v>
      </c>
    </row>
    <row r="31" spans="1:12">
      <c r="J31">
        <v>303.27589999999998</v>
      </c>
      <c r="K31">
        <v>2459038.4579737098</v>
      </c>
      <c r="L31" s="279">
        <f t="shared" si="2"/>
        <v>-2.6290304958820343E-5</v>
      </c>
    </row>
    <row r="32" spans="1:12">
      <c r="J32">
        <v>303.27190000000002</v>
      </c>
      <c r="K32">
        <v>2459038.4580001999</v>
      </c>
      <c r="L32" s="279">
        <f t="shared" si="2"/>
        <v>1.9976869225502014E-7</v>
      </c>
    </row>
    <row r="33" spans="10:13">
      <c r="J33">
        <v>303.27190000000002</v>
      </c>
      <c r="K33">
        <v>2459038.45800011</v>
      </c>
      <c r="L33" s="279">
        <f t="shared" si="2"/>
        <v>1.0989606380462646E-7</v>
      </c>
      <c r="M33" t="s">
        <v>265</v>
      </c>
    </row>
    <row r="34" spans="10:13">
      <c r="L34" s="279">
        <f t="shared" si="2"/>
        <v>-2459038.4580000001</v>
      </c>
    </row>
    <row r="35" spans="10:13">
      <c r="L35" s="279">
        <f t="shared" si="2"/>
        <v>-2459038.4580000001</v>
      </c>
    </row>
    <row r="36" spans="10:13">
      <c r="L36" s="279"/>
    </row>
    <row r="37" spans="10:13">
      <c r="L37" s="279"/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tabSelected="1" workbookViewId="0">
      <selection activeCell="G25" sqref="G25"/>
    </sheetView>
  </sheetViews>
  <sheetFormatPr baseColWidth="10" defaultRowHeight="15"/>
  <cols>
    <col min="1" max="4" width="13.28515625" bestFit="1" customWidth="1"/>
    <col min="6" max="7" width="11.42578125" style="152"/>
    <col min="9" max="9" width="12" bestFit="1" customWidth="1"/>
  </cols>
  <sheetData>
    <row r="1" spans="1:9" ht="30">
      <c r="A1" s="294" t="s">
        <v>272</v>
      </c>
      <c r="B1" s="295" t="s">
        <v>273</v>
      </c>
      <c r="C1" s="295" t="s">
        <v>271</v>
      </c>
      <c r="D1" s="296" t="s">
        <v>268</v>
      </c>
      <c r="E1" s="284"/>
      <c r="F1" s="294" t="s">
        <v>274</v>
      </c>
      <c r="G1" s="295" t="s">
        <v>275</v>
      </c>
      <c r="H1" s="295" t="s">
        <v>269</v>
      </c>
      <c r="I1" s="296" t="s">
        <v>270</v>
      </c>
    </row>
    <row r="2" spans="1:9">
      <c r="A2" s="285">
        <v>2458401.3609383898</v>
      </c>
      <c r="B2" s="286">
        <v>2458401.3609145102</v>
      </c>
      <c r="C2" s="286"/>
      <c r="D2" s="287">
        <f>B2-A2</f>
        <v>-2.3879576474428177E-5</v>
      </c>
      <c r="F2" s="285">
        <v>2458408.73679613</v>
      </c>
      <c r="G2" s="286">
        <v>2458408.7368300399</v>
      </c>
      <c r="H2" s="286"/>
      <c r="I2" s="287">
        <f>G2-F2</f>
        <v>3.390992060303688E-5</v>
      </c>
    </row>
    <row r="3" spans="1:9">
      <c r="A3" s="288">
        <v>2458483.5697785099</v>
      </c>
      <c r="B3" s="289">
        <v>2458483.5931558199</v>
      </c>
      <c r="C3" s="289">
        <f>B3-B2</f>
        <v>82.232241309713572</v>
      </c>
      <c r="D3" s="290">
        <f t="shared" ref="D3:D6" si="0">B3-A3</f>
        <v>2.3377310018986464E-2</v>
      </c>
      <c r="F3" s="288">
        <v>2458449.5877999901</v>
      </c>
      <c r="G3" s="289">
        <v>2458449.60172843</v>
      </c>
      <c r="H3" s="289">
        <f>G3-G2</f>
        <v>40.864898390136659</v>
      </c>
      <c r="I3" s="290">
        <f t="shared" ref="I3:I19" si="1">G3-F3</f>
        <v>1.3928439933806658E-2</v>
      </c>
    </row>
    <row r="4" spans="1:9">
      <c r="A4" s="288">
        <v>2458566.1425414602</v>
      </c>
      <c r="B4" s="289">
        <v>2458566.1907410002</v>
      </c>
      <c r="C4" s="289">
        <f>B4-B3</f>
        <v>82.59758518030867</v>
      </c>
      <c r="D4" s="290">
        <f t="shared" si="0"/>
        <v>4.8199540004134178E-2</v>
      </c>
      <c r="F4" s="288">
        <v>2458490.5174117601</v>
      </c>
      <c r="G4" s="289">
        <v>2458490.5446373899</v>
      </c>
      <c r="H4" s="289">
        <f t="shared" ref="H4:H19" si="2">G4-G3</f>
        <v>40.9429089599289</v>
      </c>
      <c r="I4" s="290">
        <f t="shared" si="1"/>
        <v>2.7225629892200232E-2</v>
      </c>
    </row>
    <row r="5" spans="1:9">
      <c r="A5" s="288">
        <v>2458649.1149729202</v>
      </c>
      <c r="B5" s="289">
        <v>2458649.1896425099</v>
      </c>
      <c r="C5" s="289">
        <f>B5-B4</f>
        <v>82.998901509679854</v>
      </c>
      <c r="D5" s="290">
        <f t="shared" si="0"/>
        <v>7.4669589754194021E-2</v>
      </c>
      <c r="F5" s="288">
        <v>2458531.0698458999</v>
      </c>
      <c r="G5" s="289">
        <v>2458531.1098401798</v>
      </c>
      <c r="H5" s="289">
        <f t="shared" si="2"/>
        <v>40.565202789846808</v>
      </c>
      <c r="I5" s="290">
        <f t="shared" si="1"/>
        <v>3.9994279853999615E-2</v>
      </c>
    </row>
    <row r="6" spans="1:9">
      <c r="A6" s="288">
        <v>2458732.4045311902</v>
      </c>
      <c r="B6" s="289">
        <v>2458732.5070172702</v>
      </c>
      <c r="C6" s="289">
        <f>B6-B5</f>
        <v>83.31737476028502</v>
      </c>
      <c r="D6" s="290">
        <f t="shared" si="0"/>
        <v>0.10248608002439141</v>
      </c>
      <c r="F6" s="288">
        <v>2458571.6846155901</v>
      </c>
      <c r="G6" s="289">
        <v>2458571.7367076799</v>
      </c>
      <c r="H6" s="289">
        <f t="shared" si="2"/>
        <v>40.626867500133812</v>
      </c>
      <c r="I6" s="290">
        <f t="shared" si="1"/>
        <v>5.2092089783400297E-2</v>
      </c>
    </row>
    <row r="7" spans="1:9">
      <c r="A7" s="288">
        <v>2458815.89610876</v>
      </c>
      <c r="B7" s="289">
        <v>2458816.0271902401</v>
      </c>
      <c r="C7" s="289">
        <f>B7-B6</f>
        <v>83.520172969903797</v>
      </c>
      <c r="D7" s="290">
        <f>B7-A7</f>
        <v>0.13108148006722331</v>
      </c>
      <c r="F7" s="288">
        <v>2458611.8808831801</v>
      </c>
      <c r="G7" s="289">
        <v>2458611.9444357501</v>
      </c>
      <c r="H7" s="289">
        <f t="shared" si="2"/>
        <v>40.20772807020694</v>
      </c>
      <c r="I7" s="290">
        <f t="shared" si="1"/>
        <v>6.3552570063620806E-2</v>
      </c>
    </row>
    <row r="8" spans="1:9">
      <c r="A8" s="288">
        <v>2458899.5215814998</v>
      </c>
      <c r="B8" s="289">
        <v>2458899.6810806398</v>
      </c>
      <c r="C8" s="289">
        <f>B8-B7</f>
        <v>83.65389039972797</v>
      </c>
      <c r="D8" s="290">
        <f>B8-A8</f>
        <v>0.15949913999065757</v>
      </c>
      <c r="F8" s="288">
        <v>2458652.1483992799</v>
      </c>
      <c r="G8" s="289">
        <v>2458652.2226722799</v>
      </c>
      <c r="H8" s="289">
        <f t="shared" si="2"/>
        <v>40.278236529789865</v>
      </c>
      <c r="I8" s="290">
        <f t="shared" si="1"/>
        <v>7.4273000005632639E-2</v>
      </c>
    </row>
    <row r="9" spans="1:9">
      <c r="A9" s="288">
        <v>2458983.1898336699</v>
      </c>
      <c r="B9" s="289">
        <v>2458983.3765817499</v>
      </c>
      <c r="C9" s="289">
        <f>B9-B8</f>
        <v>83.695501110050827</v>
      </c>
      <c r="D9" s="290">
        <f>B9-A9</f>
        <v>0.18674807995557785</v>
      </c>
      <c r="F9" s="288">
        <v>2458692.0547713502</v>
      </c>
      <c r="G9" s="289">
        <v>2458692.1393663599</v>
      </c>
      <c r="H9" s="289">
        <f t="shared" si="2"/>
        <v>39.91669407999143</v>
      </c>
      <c r="I9" s="290">
        <f t="shared" si="1"/>
        <v>8.4595009684562683E-2</v>
      </c>
    </row>
    <row r="10" spans="1:9">
      <c r="A10" s="288">
        <v>2459066.6648150501</v>
      </c>
      <c r="B10" s="289">
        <v>2459066.87542067</v>
      </c>
      <c r="C10" s="289">
        <f>B10-B9</f>
        <v>83.498838920146227</v>
      </c>
      <c r="D10" s="290">
        <f>B10-A10</f>
        <v>0.21060561994090676</v>
      </c>
      <c r="F10" s="288">
        <v>2458732.0249835099</v>
      </c>
      <c r="G10" s="289">
        <v>2458732.11930741</v>
      </c>
      <c r="H10" s="289">
        <f t="shared" si="2"/>
        <v>39.979941050056368</v>
      </c>
      <c r="I10" s="290">
        <f t="shared" si="1"/>
        <v>9.4323900062590837E-2</v>
      </c>
    </row>
    <row r="11" spans="1:9">
      <c r="A11" s="288">
        <v>2459149.6327673499</v>
      </c>
      <c r="B11" s="289">
        <v>2459149.8639535499</v>
      </c>
      <c r="C11" s="289">
        <f>B11-B10</f>
        <v>82.988532879855484</v>
      </c>
      <c r="D11" s="290">
        <f>B11-A11</f>
        <v>0.23118619993329048</v>
      </c>
      <c r="F11" s="288">
        <v>2458771.77823589</v>
      </c>
      <c r="G11" s="289">
        <v>2458771.88238631</v>
      </c>
      <c r="H11" s="289">
        <f t="shared" si="2"/>
        <v>39.763078900054097</v>
      </c>
      <c r="I11" s="290">
        <f t="shared" si="1"/>
        <v>0.10415042005479336</v>
      </c>
    </row>
    <row r="12" spans="1:9">
      <c r="A12" s="288">
        <v>2459231.98201659</v>
      </c>
      <c r="B12" s="289">
        <v>2459232.23297239</v>
      </c>
      <c r="C12" s="289">
        <f>B12-B11</f>
        <v>82.369018840137869</v>
      </c>
      <c r="D12" s="290">
        <f t="shared" ref="D12" si="3">B12-A12</f>
        <v>0.25095580006018281</v>
      </c>
      <c r="F12" s="288">
        <v>2458811.5348153999</v>
      </c>
      <c r="G12" s="289">
        <v>2458811.6483304701</v>
      </c>
      <c r="H12" s="289">
        <f t="shared" si="2"/>
        <v>39.765944160055369</v>
      </c>
      <c r="I12" s="290">
        <f t="shared" si="1"/>
        <v>0.1135150701738894</v>
      </c>
    </row>
    <row r="13" spans="1:9">
      <c r="A13" s="288">
        <v>2459313.8721701298</v>
      </c>
      <c r="B13" s="289">
        <v>2459314.1440190198</v>
      </c>
      <c r="C13" s="289">
        <f>B13-B12</f>
        <v>81.91104662977159</v>
      </c>
      <c r="D13" s="290">
        <f>B13-A13</f>
        <v>0.27184888999909163</v>
      </c>
      <c r="F13" s="288">
        <v>2458851.2554892702</v>
      </c>
      <c r="G13" s="289">
        <v>2458851.3789188899</v>
      </c>
      <c r="H13" s="289">
        <f t="shared" si="2"/>
        <v>39.730588419828564</v>
      </c>
      <c r="I13" s="290">
        <f t="shared" si="1"/>
        <v>0.12342961970716715</v>
      </c>
    </row>
    <row r="14" spans="1:9">
      <c r="A14" s="288">
        <v>2459395.5372113101</v>
      </c>
      <c r="B14" s="289">
        <v>2459395.8312265598</v>
      </c>
      <c r="C14" s="289">
        <f>B14-B13</f>
        <v>81.687207540031523</v>
      </c>
      <c r="D14" s="290">
        <f>B14-A14</f>
        <v>0.29401524970307946</v>
      </c>
      <c r="F14" s="288">
        <v>2458890.8969122502</v>
      </c>
      <c r="G14" s="289">
        <v>2458891.0301721999</v>
      </c>
      <c r="H14" s="289">
        <f t="shared" si="2"/>
        <v>39.651253310032189</v>
      </c>
      <c r="I14" s="290">
        <f t="shared" si="1"/>
        <v>0.13325994974002242</v>
      </c>
    </row>
    <row r="15" spans="1:9">
      <c r="A15" s="288">
        <v>2459477.18233595</v>
      </c>
      <c r="B15" s="289">
        <v>2459477.4994596499</v>
      </c>
      <c r="C15" s="289">
        <f>B15-B14</f>
        <v>81.668233090080321</v>
      </c>
      <c r="D15" s="290">
        <f>B15-A15</f>
        <v>0.31712369993329048</v>
      </c>
      <c r="F15" s="288">
        <v>2458930.6742428602</v>
      </c>
      <c r="G15" s="289">
        <v>2458930.81818623</v>
      </c>
      <c r="H15" s="289">
        <f t="shared" si="2"/>
        <v>39.788014030084014</v>
      </c>
      <c r="I15" s="290">
        <f t="shared" si="1"/>
        <v>0.14394336985424161</v>
      </c>
    </row>
    <row r="16" spans="1:9">
      <c r="A16" s="288">
        <v>2459558.9955313602</v>
      </c>
      <c r="B16" s="289">
        <v>2459559.3370103398</v>
      </c>
      <c r="C16" s="289">
        <f>B16-B15</f>
        <v>81.837550689931959</v>
      </c>
      <c r="D16" s="290">
        <f>B16-A16</f>
        <v>0.34147897968068719</v>
      </c>
      <c r="F16" s="288">
        <v>2458970.3501343098</v>
      </c>
      <c r="G16" s="289">
        <v>2458970.5054608802</v>
      </c>
      <c r="H16" s="289">
        <f t="shared" si="2"/>
        <v>39.687274650204927</v>
      </c>
      <c r="I16" s="290">
        <f t="shared" si="1"/>
        <v>0.15532657038420439</v>
      </c>
    </row>
    <row r="17" spans="1:9">
      <c r="A17" s="288">
        <v>2459641.1733694398</v>
      </c>
      <c r="B17" s="289">
        <v>2459641.54071391</v>
      </c>
      <c r="C17" s="289">
        <f>B17-B16</f>
        <v>82.203703570179641</v>
      </c>
      <c r="D17" s="290">
        <f>B17-A17</f>
        <v>0.36734447022899985</v>
      </c>
      <c r="F17" s="288">
        <v>2459010.28386751</v>
      </c>
      <c r="G17" s="289">
        <v>2459010.4514603</v>
      </c>
      <c r="H17" s="289">
        <f t="shared" si="2"/>
        <v>39.945999419782311</v>
      </c>
      <c r="I17" s="290">
        <f t="shared" si="1"/>
        <v>0.16759278997778893</v>
      </c>
    </row>
    <row r="18" spans="1:9">
      <c r="A18" s="288">
        <v>2459723.9015353802</v>
      </c>
      <c r="B18" s="289">
        <v>2459724.2963712402</v>
      </c>
      <c r="C18" s="289">
        <f>B18-B17</f>
        <v>82.755657330155373</v>
      </c>
      <c r="D18" s="290">
        <f>B18-A18</f>
        <v>0.39483586000278592</v>
      </c>
      <c r="F18" s="288">
        <v>2459050.2339763599</v>
      </c>
      <c r="G18" s="289">
        <v>2459050.4157817201</v>
      </c>
      <c r="H18" s="289">
        <f t="shared" si="2"/>
        <v>39.964321420062333</v>
      </c>
      <c r="I18" s="290">
        <f t="shared" si="1"/>
        <v>0.18180536013096571</v>
      </c>
    </row>
    <row r="19" spans="1:9">
      <c r="A19" s="288">
        <v>2459807.2388781002</v>
      </c>
      <c r="B19" s="289">
        <v>2459807.66208104</v>
      </c>
      <c r="C19" s="289">
        <f>B19-B18</f>
        <v>83.365709799807519</v>
      </c>
      <c r="D19" s="290">
        <f>B19-A19</f>
        <v>0.42320293979719281</v>
      </c>
      <c r="F19" s="291">
        <v>2459090.46520423</v>
      </c>
      <c r="G19" s="292">
        <v>2459090.6613431098</v>
      </c>
      <c r="H19" s="292">
        <f t="shared" si="2"/>
        <v>40.245561389718205</v>
      </c>
      <c r="I19" s="293">
        <f t="shared" si="1"/>
        <v>0.19613887974992394</v>
      </c>
    </row>
    <row r="20" spans="1:9">
      <c r="A20" s="288">
        <v>2459890.9867957002</v>
      </c>
      <c r="B20" s="289">
        <v>2459891.4378357599</v>
      </c>
      <c r="C20" s="289">
        <f>B20-B19</f>
        <v>83.77575471997261</v>
      </c>
      <c r="D20" s="290">
        <f>B20-A20</f>
        <v>0.45104005979374051</v>
      </c>
    </row>
    <row r="21" spans="1:9">
      <c r="A21" s="288">
        <v>2459974.7803026098</v>
      </c>
      <c r="B21" s="289">
        <v>2459975.2578382799</v>
      </c>
      <c r="C21" s="289">
        <f>B21-B20</f>
        <v>83.820002519991249</v>
      </c>
      <c r="D21" s="290">
        <f>B21-A21</f>
        <v>0.47753567015752196</v>
      </c>
      <c r="H21" s="280" t="s">
        <v>266</v>
      </c>
      <c r="I21" s="281">
        <f>F19-F2</f>
        <v>681.72840810008347</v>
      </c>
    </row>
    <row r="22" spans="1:9">
      <c r="A22" s="288">
        <v>2460058.3126201602</v>
      </c>
      <c r="B22" s="289">
        <v>2460058.8157870602</v>
      </c>
      <c r="C22" s="289">
        <f>B22-B21</f>
        <v>83.557948780246079</v>
      </c>
      <c r="D22" s="290">
        <f>B22-A22</f>
        <v>0.50316690001636744</v>
      </c>
      <c r="H22" s="282" t="s">
        <v>267</v>
      </c>
      <c r="I22" s="283">
        <f>-I19/I21</f>
        <v>-2.8770823896945351E-4</v>
      </c>
    </row>
    <row r="23" spans="1:9">
      <c r="A23" s="288">
        <v>2460141.4284927198</v>
      </c>
      <c r="B23" s="289">
        <v>2460141.9563915799</v>
      </c>
      <c r="C23" s="289">
        <f>B23-B22</f>
        <v>83.140604519750923</v>
      </c>
      <c r="D23" s="290">
        <f>B23-A23</f>
        <v>0.52789886016398668</v>
      </c>
    </row>
    <row r="24" spans="1:9">
      <c r="A24" s="288">
        <v>2460224.0872169002</v>
      </c>
      <c r="B24" s="289">
        <v>2460224.6390541201</v>
      </c>
      <c r="C24" s="289">
        <f>B24-B23</f>
        <v>82.682662540115416</v>
      </c>
      <c r="D24" s="290">
        <f>B24-A24</f>
        <v>0.55183721985667944</v>
      </c>
    </row>
    <row r="25" spans="1:9">
      <c r="A25" s="288">
        <v>2460306.3299782998</v>
      </c>
      <c r="B25" s="289">
        <v>2460306.9050744302</v>
      </c>
      <c r="C25" s="289">
        <f>B25-B24</f>
        <v>82.266020310111344</v>
      </c>
      <c r="D25" s="290">
        <f>B25-A25</f>
        <v>0.57509613037109375</v>
      </c>
    </row>
    <row r="26" spans="1:9">
      <c r="A26" s="288">
        <v>2460388.2623845502</v>
      </c>
      <c r="B26" s="289">
        <v>2460388.8605138198</v>
      </c>
      <c r="C26" s="289">
        <f>B26-B25</f>
        <v>81.955439389683306</v>
      </c>
      <c r="D26" s="290">
        <f>B26-A26</f>
        <v>0.59812926966696978</v>
      </c>
    </row>
    <row r="27" spans="1:9">
      <c r="A27" s="288">
        <v>2460470.02750728</v>
      </c>
      <c r="B27" s="289">
        <v>2460470.6488221399</v>
      </c>
      <c r="C27" s="289">
        <f>B27-B26</f>
        <v>81.788308320101351</v>
      </c>
      <c r="D27" s="290">
        <f>B27-A27</f>
        <v>0.62131485994905233</v>
      </c>
    </row>
    <row r="28" spans="1:9">
      <c r="A28" s="288">
        <v>2460551.7824119902</v>
      </c>
      <c r="B28" s="289">
        <v>2460552.4274887498</v>
      </c>
      <c r="C28" s="289">
        <f>B28-B27</f>
        <v>81.77866660989821</v>
      </c>
      <c r="D28" s="290">
        <f>B28-A28</f>
        <v>0.64507675962522626</v>
      </c>
    </row>
    <row r="29" spans="1:9">
      <c r="A29" s="288">
        <v>2460633.6872781101</v>
      </c>
      <c r="B29" s="289">
        <v>2460634.3571243901</v>
      </c>
      <c r="C29" s="289">
        <f>B29-B28</f>
        <v>81.929635640233755</v>
      </c>
      <c r="D29" s="290">
        <f>B29-A29</f>
        <v>0.66984628001227975</v>
      </c>
    </row>
    <row r="30" spans="1:9">
      <c r="A30" s="288">
        <v>2460715.8968078401</v>
      </c>
      <c r="B30" s="289">
        <v>2460716.5925649698</v>
      </c>
      <c r="C30" s="289">
        <f t="shared" ref="C30:C31" si="4">B30-B29</f>
        <v>82.235440579708666</v>
      </c>
      <c r="D30" s="290">
        <f>B30-A30</f>
        <v>0.69575712969526649</v>
      </c>
    </row>
    <row r="31" spans="1:9">
      <c r="A31" s="291">
        <v>2460798.5284612402</v>
      </c>
      <c r="B31" s="292">
        <v>2460799.2513449602</v>
      </c>
      <c r="C31" s="292">
        <f t="shared" si="4"/>
        <v>82.658779990393668</v>
      </c>
      <c r="D31" s="293">
        <f>B31-A31</f>
        <v>0.72288371995091438</v>
      </c>
    </row>
    <row r="33" spans="3:4">
      <c r="C33" s="280" t="s">
        <v>266</v>
      </c>
      <c r="D33" s="281">
        <f>A31-A2</f>
        <v>2397.1675228504464</v>
      </c>
    </row>
    <row r="34" spans="3:4">
      <c r="C34" s="282" t="s">
        <v>267</v>
      </c>
      <c r="D34" s="28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>
      <selection activeCell="K35" sqref="K35"/>
    </sheetView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3">
        <v>1800</v>
      </c>
    </row>
    <row r="2" spans="1:11">
      <c r="B2" s="3" t="s">
        <v>186</v>
      </c>
      <c r="C2" s="186">
        <v>100000</v>
      </c>
    </row>
    <row r="3" spans="1:11">
      <c r="B3" s="3" t="s">
        <v>182</v>
      </c>
      <c r="C3" s="213">
        <v>2458400.0109999999</v>
      </c>
    </row>
    <row r="4" spans="1:11">
      <c r="B4" s="3" t="s">
        <v>184</v>
      </c>
      <c r="C4" s="194">
        <v>2460472.3902825499</v>
      </c>
    </row>
    <row r="5" spans="1:11">
      <c r="B5" s="3" t="s">
        <v>185</v>
      </c>
      <c r="C5" s="194">
        <f>(C4-C3)/C1*(60*60*24)</f>
        <v>99474.205562397838</v>
      </c>
      <c r="J5" s="204"/>
    </row>
    <row r="6" spans="1:11">
      <c r="B6" s="3" t="s">
        <v>187</v>
      </c>
      <c r="C6" s="194">
        <f>C1*C2/(60*60*24)</f>
        <v>2083.3333333333335</v>
      </c>
    </row>
    <row r="7" spans="1:11">
      <c r="B7" s="3" t="s">
        <v>198</v>
      </c>
      <c r="C7" s="183">
        <v>0.25</v>
      </c>
    </row>
    <row r="8" spans="1:11">
      <c r="B8" s="3" t="s">
        <v>204</v>
      </c>
      <c r="C8" s="193">
        <f>C1*ROUNDDOWN(C5,0)</f>
        <v>179053200</v>
      </c>
    </row>
    <row r="9" spans="1:11">
      <c r="B9" s="3" t="s">
        <v>216</v>
      </c>
      <c r="C9" s="120">
        <f>C3+C8/(60*60*24)</f>
        <v>2460472.3859999999</v>
      </c>
      <c r="E9" t="s">
        <v>153</v>
      </c>
    </row>
    <row r="11" spans="1:11">
      <c r="A11" s="3" t="s">
        <v>218</v>
      </c>
      <c r="B11" s="182" t="s">
        <v>217</v>
      </c>
      <c r="C11" s="182" t="s">
        <v>181</v>
      </c>
      <c r="D11" s="182" t="s">
        <v>186</v>
      </c>
      <c r="E11" s="182" t="s">
        <v>203</v>
      </c>
      <c r="F11" s="182" t="s">
        <v>189</v>
      </c>
      <c r="G11" s="182" t="s">
        <v>190</v>
      </c>
      <c r="H11" s="182" t="s">
        <v>195</v>
      </c>
      <c r="I11" s="182" t="s">
        <v>199</v>
      </c>
      <c r="J11" s="182" t="s">
        <v>200</v>
      </c>
    </row>
    <row r="12" spans="1:11">
      <c r="A12" s="184"/>
      <c r="B12" t="s">
        <v>188</v>
      </c>
      <c r="C12" s="192">
        <v>1800</v>
      </c>
      <c r="D12" s="189">
        <v>100000</v>
      </c>
      <c r="E12" s="188">
        <v>99474</v>
      </c>
      <c r="F12">
        <f>SUBSTITUTE(RIGHT(K12,8),".",",")*1</f>
        <v>0.44228800000000001</v>
      </c>
      <c r="G12">
        <v>2.0499999999999998</v>
      </c>
      <c r="I12" s="3"/>
      <c r="J12" s="186">
        <v>6E-10</v>
      </c>
      <c r="K12" s="206" t="s">
        <v>183</v>
      </c>
    </row>
    <row r="13" spans="1:11">
      <c r="A13">
        <v>0.01</v>
      </c>
      <c r="B13" t="s">
        <v>188</v>
      </c>
      <c r="C13" s="193">
        <f t="shared" ref="C13:C19" si="0">C$12*$A13</f>
        <v>18</v>
      </c>
      <c r="D13" s="186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7">
        <f>F13/F$12-1</f>
        <v>0</v>
      </c>
      <c r="I13" s="208">
        <f>$C$7*H13*60*60*24</f>
        <v>0</v>
      </c>
      <c r="J13" s="186"/>
      <c r="K13" s="206" t="s">
        <v>183</v>
      </c>
    </row>
    <row r="14" spans="1:11">
      <c r="A14">
        <v>2</v>
      </c>
      <c r="B14" t="s">
        <v>188</v>
      </c>
      <c r="C14" s="193">
        <f t="shared" si="0"/>
        <v>3600</v>
      </c>
      <c r="D14" s="186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7">
        <f>F14/F$12-1</f>
        <v>2.2609702274856147E-6</v>
      </c>
      <c r="I14" s="208">
        <f>$C$7*H14*60*60*24</f>
        <v>4.8836956913689278E-2</v>
      </c>
      <c r="J14" s="186"/>
      <c r="K14" s="206" t="s">
        <v>191</v>
      </c>
    </row>
    <row r="15" spans="1:11">
      <c r="A15">
        <f>2*3</f>
        <v>6</v>
      </c>
      <c r="B15" t="s">
        <v>188</v>
      </c>
      <c r="C15" s="193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7">
        <f>F15/F$12-1</f>
        <v>2.9392612957979125E-5</v>
      </c>
      <c r="I15" s="208">
        <f>$C$7*H15*60*60*24</f>
        <v>0.6348804398923491</v>
      </c>
      <c r="J15" s="186">
        <v>3.2999999999999998E-8</v>
      </c>
      <c r="K15" s="206" t="s">
        <v>192</v>
      </c>
    </row>
    <row r="16" spans="1:11">
      <c r="A16">
        <v>59</v>
      </c>
      <c r="B16" t="s">
        <v>188</v>
      </c>
      <c r="C16" s="193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7">
        <f>F16/F$12-1</f>
        <v>4.612379264189892E-3</v>
      </c>
      <c r="I16" s="208">
        <f>$C$7*H16*60*60*24</f>
        <v>99.627392106501674</v>
      </c>
      <c r="J16" s="186">
        <v>3.1099999999999997E-5</v>
      </c>
      <c r="K16" s="206" t="s">
        <v>193</v>
      </c>
    </row>
    <row r="17" spans="1:17">
      <c r="A17">
        <v>281</v>
      </c>
      <c r="B17" t="s">
        <v>188</v>
      </c>
      <c r="C17" s="193">
        <f t="shared" si="0"/>
        <v>505800</v>
      </c>
      <c r="D17" s="2">
        <f t="shared" si="1"/>
        <v>355.87188612099646</v>
      </c>
      <c r="E17">
        <f t="shared" si="1"/>
        <v>354</v>
      </c>
      <c r="F17" s="190" t="s">
        <v>0</v>
      </c>
      <c r="G17" s="190" t="s">
        <v>0</v>
      </c>
      <c r="H17" s="190" t="s">
        <v>0</v>
      </c>
      <c r="I17" s="3"/>
      <c r="J17" s="186"/>
      <c r="K17" s="206" t="s">
        <v>196</v>
      </c>
    </row>
    <row r="18" spans="1:17">
      <c r="A18">
        <v>1</v>
      </c>
      <c r="B18" t="s">
        <v>188</v>
      </c>
      <c r="C18" s="193">
        <f t="shared" si="0"/>
        <v>1800</v>
      </c>
      <c r="D18" s="186">
        <f t="shared" si="1"/>
        <v>100000</v>
      </c>
      <c r="E18">
        <f t="shared" si="1"/>
        <v>99474</v>
      </c>
      <c r="F18" s="190" t="s">
        <v>197</v>
      </c>
      <c r="G18" s="190" t="s">
        <v>0</v>
      </c>
      <c r="H18" s="190" t="s">
        <v>0</v>
      </c>
      <c r="I18" s="3"/>
      <c r="J18" s="186"/>
      <c r="K18" s="206" t="s">
        <v>194</v>
      </c>
      <c r="M18" s="185"/>
      <c r="N18" s="185"/>
      <c r="O18" s="185"/>
      <c r="P18" s="185"/>
      <c r="Q18" s="185"/>
    </row>
    <row r="19" spans="1:17">
      <c r="A19">
        <v>59</v>
      </c>
      <c r="B19" t="s">
        <v>188</v>
      </c>
      <c r="C19" s="193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7">
        <f t="shared" ref="H19:H36" si="2">F19/F$12-1</f>
        <v>4.6349889664651922E-3</v>
      </c>
      <c r="I19" s="208">
        <f t="shared" ref="I19:I36" si="3">$C$7*H19*60*60*24</f>
        <v>100.11576167564814</v>
      </c>
      <c r="J19" s="186"/>
      <c r="K19" s="206" t="s">
        <v>201</v>
      </c>
    </row>
    <row r="20" spans="1:17">
      <c r="A20" s="185">
        <v>59</v>
      </c>
      <c r="B20" s="185" t="s">
        <v>202</v>
      </c>
      <c r="C20" s="205" t="s">
        <v>219</v>
      </c>
      <c r="D20" s="195">
        <f t="shared" si="1"/>
        <v>1694.9152542372881</v>
      </c>
      <c r="E20" s="185">
        <f t="shared" si="1"/>
        <v>1686</v>
      </c>
      <c r="F20" s="185">
        <f>SUBSTITUTE(RIGHT(K20,8),".",",")*1</f>
        <v>0.44228800000000001</v>
      </c>
      <c r="G20" s="185">
        <v>0.28999999999999998</v>
      </c>
      <c r="H20" s="196">
        <f t="shared" si="2"/>
        <v>0</v>
      </c>
      <c r="I20" s="209">
        <f t="shared" si="3"/>
        <v>0</v>
      </c>
      <c r="J20" s="185">
        <v>0</v>
      </c>
      <c r="K20" s="207" t="s">
        <v>183</v>
      </c>
    </row>
    <row r="21" spans="1:17">
      <c r="A21" s="197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7">
        <f t="shared" si="2"/>
        <v>0</v>
      </c>
      <c r="I21" s="208">
        <f t="shared" si="3"/>
        <v>0</v>
      </c>
      <c r="J21" s="186">
        <v>9.9999999999999998E-17</v>
      </c>
      <c r="K21" s="206" t="s">
        <v>183</v>
      </c>
    </row>
    <row r="22" spans="1:17">
      <c r="A22" s="197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7">
        <f t="shared" si="2"/>
        <v>0</v>
      </c>
      <c r="I22" s="208">
        <f t="shared" si="3"/>
        <v>0</v>
      </c>
      <c r="J22" s="186">
        <v>6E-10</v>
      </c>
      <c r="K22" s="206" t="s">
        <v>183</v>
      </c>
    </row>
    <row r="23" spans="1:17">
      <c r="A23" s="197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20">
        <v>0.10100000000000001</v>
      </c>
      <c r="H23" s="187">
        <f t="shared" si="2"/>
        <v>-9.0438809101645035E-6</v>
      </c>
      <c r="I23" s="208">
        <f t="shared" si="3"/>
        <v>-0.19534782765955327</v>
      </c>
      <c r="J23" s="186">
        <v>9.9999999999999995E-8</v>
      </c>
      <c r="K23" s="206" t="s">
        <v>206</v>
      </c>
    </row>
    <row r="24" spans="1:17">
      <c r="A24" s="197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7">
        <f t="shared" si="2"/>
        <v>-3.1653583185686784E-5</v>
      </c>
      <c r="I24" s="208">
        <f t="shared" si="3"/>
        <v>-0.68371739681083454</v>
      </c>
      <c r="J24" s="186">
        <v>3.9999999999999998E-7</v>
      </c>
      <c r="K24" s="206" t="s">
        <v>213</v>
      </c>
    </row>
    <row r="25" spans="1:17">
      <c r="A25" s="201" t="s">
        <v>205</v>
      </c>
      <c r="B25" s="191" t="s">
        <v>188</v>
      </c>
      <c r="C25" s="191">
        <v>50000</v>
      </c>
      <c r="D25" s="191">
        <v>4281</v>
      </c>
      <c r="E25" s="191">
        <v>3780</v>
      </c>
      <c r="F25" s="191">
        <f t="shared" si="5"/>
        <v>0.44220300000000001</v>
      </c>
      <c r="G25" s="191">
        <v>9.9000000000000005E-2</v>
      </c>
      <c r="H25" s="202">
        <f t="shared" si="2"/>
        <v>-1.9218246934127325E-4</v>
      </c>
      <c r="I25" s="210">
        <f t="shared" si="3"/>
        <v>-4.1511413377715023</v>
      </c>
      <c r="J25" s="203">
        <v>1.9999999999999999E-6</v>
      </c>
      <c r="K25" s="206" t="s">
        <v>212</v>
      </c>
    </row>
    <row r="26" spans="1:17">
      <c r="A26" s="197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7">
        <f t="shared" si="2"/>
        <v>-3.5497232572445636E-4</v>
      </c>
      <c r="I26" s="208">
        <f t="shared" si="3"/>
        <v>-7.6674022356482574</v>
      </c>
      <c r="J26" s="186">
        <v>3.9999999999999998E-6</v>
      </c>
      <c r="K26" s="206" t="s">
        <v>214</v>
      </c>
      <c r="M26" s="185"/>
      <c r="N26" s="185"/>
      <c r="O26" s="185"/>
      <c r="P26" s="185"/>
      <c r="Q26" s="185"/>
    </row>
    <row r="27" spans="1:17">
      <c r="A27" s="197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7">
        <f t="shared" si="2"/>
        <v>-6.7829106826322594E-4</v>
      </c>
      <c r="I27" s="208">
        <f t="shared" si="3"/>
        <v>-14.65108707448568</v>
      </c>
      <c r="J27" s="186">
        <v>5.0000000000000004E-6</v>
      </c>
      <c r="K27" s="206" t="s">
        <v>215</v>
      </c>
    </row>
    <row r="28" spans="1:17">
      <c r="A28" s="198" t="s">
        <v>205</v>
      </c>
      <c r="B28" s="185" t="s">
        <v>188</v>
      </c>
      <c r="C28" s="185">
        <v>106200</v>
      </c>
      <c r="D28" s="185">
        <v>4281</v>
      </c>
      <c r="E28" s="185">
        <v>3780</v>
      </c>
      <c r="F28" s="185">
        <f t="shared" si="4"/>
        <v>0.44170599999999999</v>
      </c>
      <c r="G28" s="199">
        <v>0.09</v>
      </c>
      <c r="H28" s="196">
        <f t="shared" si="2"/>
        <v>-1.3158846724307116E-3</v>
      </c>
      <c r="I28" s="209">
        <f t="shared" si="3"/>
        <v>-28.423108924503371</v>
      </c>
      <c r="J28" s="200">
        <v>1.9999999999999999E-6</v>
      </c>
      <c r="K28" s="207" t="s">
        <v>207</v>
      </c>
    </row>
    <row r="29" spans="1:17">
      <c r="A29" s="197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7">
        <f t="shared" si="2"/>
        <v>-9.0438809101645035E-6</v>
      </c>
      <c r="I29" s="208">
        <f t="shared" si="3"/>
        <v>-0.19534782765955327</v>
      </c>
      <c r="J29" s="186">
        <v>9.9999999999999995E-8</v>
      </c>
      <c r="K29" s="206" t="s">
        <v>206</v>
      </c>
    </row>
    <row r="30" spans="1:17">
      <c r="A30" s="197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7">
        <f t="shared" si="2"/>
        <v>2.9392612957979125E-5</v>
      </c>
      <c r="I30" s="208">
        <f t="shared" si="3"/>
        <v>0.6348804398923491</v>
      </c>
      <c r="J30" s="186">
        <v>1E-8</v>
      </c>
      <c r="K30" s="206" t="s">
        <v>192</v>
      </c>
    </row>
    <row r="31" spans="1:17">
      <c r="A31" s="197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7">
        <f t="shared" si="2"/>
        <v>2.1682704482146598E-3</v>
      </c>
      <c r="I31" s="208">
        <f t="shared" si="3"/>
        <v>46.834641681436651</v>
      </c>
      <c r="J31" s="186">
        <v>9.9999999999999995E-7</v>
      </c>
      <c r="K31" s="206" t="s">
        <v>210</v>
      </c>
    </row>
    <row r="32" spans="1:17">
      <c r="A32" s="198" t="s">
        <v>205</v>
      </c>
      <c r="B32" s="185" t="s">
        <v>209</v>
      </c>
      <c r="C32" s="185">
        <v>50000</v>
      </c>
      <c r="D32" s="185">
        <v>4281</v>
      </c>
      <c r="E32" s="185">
        <v>3780</v>
      </c>
      <c r="F32" s="185">
        <f t="shared" si="4"/>
        <v>0.44259500000000002</v>
      </c>
      <c r="G32" s="185">
        <v>0.155</v>
      </c>
      <c r="H32" s="196">
        <f t="shared" si="2"/>
        <v>6.9411785985606933E-4</v>
      </c>
      <c r="I32" s="209">
        <f t="shared" si="3"/>
        <v>14.992945772891098</v>
      </c>
      <c r="J32" s="200"/>
      <c r="K32" s="207" t="s">
        <v>211</v>
      </c>
    </row>
    <row r="33" spans="1:10">
      <c r="A33" s="197" t="s">
        <v>205</v>
      </c>
      <c r="B33" t="s">
        <v>188</v>
      </c>
      <c r="C33">
        <v>10000</v>
      </c>
      <c r="D33">
        <v>1171</v>
      </c>
      <c r="E33">
        <v>729</v>
      </c>
      <c r="F33" s="211">
        <v>0.44230999999999998</v>
      </c>
      <c r="G33">
        <v>3.5999999999999997E-2</v>
      </c>
      <c r="H33" s="187">
        <f t="shared" si="2"/>
        <v>4.9741345005793747E-5</v>
      </c>
      <c r="I33" s="208">
        <f t="shared" si="3"/>
        <v>1.0744130521251449</v>
      </c>
      <c r="J33" s="186"/>
    </row>
    <row r="34" spans="1:10">
      <c r="A34" s="201" t="s">
        <v>205</v>
      </c>
      <c r="B34" s="191" t="s">
        <v>188</v>
      </c>
      <c r="C34" s="191">
        <v>20000</v>
      </c>
      <c r="D34" s="191">
        <v>1171</v>
      </c>
      <c r="E34" s="191">
        <v>729</v>
      </c>
      <c r="F34" s="212">
        <v>0.44237900000000002</v>
      </c>
      <c r="G34" s="191">
        <v>3.1E-2</v>
      </c>
      <c r="H34" s="202">
        <f t="shared" si="2"/>
        <v>2.0574829070652001E-4</v>
      </c>
      <c r="I34" s="210">
        <f t="shared" si="3"/>
        <v>4.4441630792608322</v>
      </c>
      <c r="J34" s="191"/>
    </row>
    <row r="35" spans="1:10">
      <c r="A35" s="197" t="s">
        <v>205</v>
      </c>
      <c r="B35" t="s">
        <v>188</v>
      </c>
      <c r="C35">
        <v>30000</v>
      </c>
      <c r="D35">
        <v>1171</v>
      </c>
      <c r="E35">
        <v>729</v>
      </c>
      <c r="F35" s="211">
        <v>0.44250699999999998</v>
      </c>
      <c r="G35" s="120">
        <v>0.03</v>
      </c>
      <c r="H35" s="187">
        <f t="shared" si="2"/>
        <v>4.9515247983200616E-4</v>
      </c>
      <c r="I35" s="208">
        <f t="shared" si="3"/>
        <v>10.695293564371333</v>
      </c>
    </row>
    <row r="36" spans="1:10">
      <c r="A36" s="197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7">
        <f t="shared" si="2"/>
        <v>1.6233766233766378E-3</v>
      </c>
      <c r="I36" s="208">
        <f t="shared" si="3"/>
        <v>35.064935064935376</v>
      </c>
      <c r="J36" s="186"/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topLeftCell="A19" workbookViewId="0">
      <selection activeCell="F35" sqref="F35"/>
    </sheetView>
  </sheetViews>
  <sheetFormatPr baseColWidth="10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4" t="s">
        <v>227</v>
      </c>
      <c r="E3" t="s">
        <v>228</v>
      </c>
    </row>
    <row r="5" spans="1:13" s="182" customFormat="1">
      <c r="A5" s="216" t="s">
        <v>88</v>
      </c>
      <c r="B5" s="218" t="s">
        <v>231</v>
      </c>
      <c r="C5" s="230" t="s">
        <v>37</v>
      </c>
      <c r="D5" s="230" t="s">
        <v>38</v>
      </c>
      <c r="E5" s="230" t="s">
        <v>72</v>
      </c>
      <c r="F5" s="230" t="s">
        <v>39</v>
      </c>
      <c r="G5" s="230" t="s">
        <v>71</v>
      </c>
      <c r="H5" s="230" t="s">
        <v>120</v>
      </c>
      <c r="I5" s="230" t="s">
        <v>66</v>
      </c>
      <c r="J5" s="230" t="s">
        <v>220</v>
      </c>
      <c r="K5" s="230" t="s">
        <v>65</v>
      </c>
      <c r="L5" s="230" t="s">
        <v>221</v>
      </c>
      <c r="M5" s="231" t="s">
        <v>28</v>
      </c>
    </row>
    <row r="6" spans="1:13">
      <c r="A6" s="235">
        <v>1000</v>
      </c>
      <c r="B6" s="120">
        <v>9.7000000000000003E-2</v>
      </c>
      <c r="C6" s="257">
        <v>2460472.2150465702</v>
      </c>
      <c r="D6" s="257">
        <v>2460472.2547736098</v>
      </c>
      <c r="E6" s="257">
        <v>2460472.3792818701</v>
      </c>
      <c r="F6" s="257">
        <v>2460472.5035333601</v>
      </c>
      <c r="G6" s="257">
        <v>2460472.54326346</v>
      </c>
      <c r="H6" s="257">
        <v>3.9727044757455497E-2</v>
      </c>
      <c r="I6" s="257">
        <v>0.24875975260510999</v>
      </c>
      <c r="J6" s="257">
        <v>3.9730100426822901E-2</v>
      </c>
      <c r="K6" s="257">
        <v>0.32821689778938801</v>
      </c>
      <c r="L6" s="257">
        <v>0.44153720351587</v>
      </c>
      <c r="M6" s="258">
        <v>1.4377005454104801E-2</v>
      </c>
    </row>
    <row r="7" spans="1:13">
      <c r="A7" s="235">
        <v>5000</v>
      </c>
      <c r="B7" s="120">
        <v>0.04</v>
      </c>
      <c r="C7" s="257">
        <v>2460472.2150535602</v>
      </c>
      <c r="D7" s="257">
        <v>2460472.2547804802</v>
      </c>
      <c r="E7" s="257">
        <v>2460472.3792888201</v>
      </c>
      <c r="F7" s="257">
        <v>2460472.5035401601</v>
      </c>
      <c r="G7" s="257">
        <v>2460472.5432703998</v>
      </c>
      <c r="H7" s="257">
        <v>3.9726921822875703E-2</v>
      </c>
      <c r="I7" s="257">
        <v>0.248759677167981</v>
      </c>
      <c r="J7" s="257">
        <v>3.9730240590870297E-2</v>
      </c>
      <c r="K7" s="257">
        <v>0.32821683958172798</v>
      </c>
      <c r="L7" s="257">
        <v>0.44153723497791802</v>
      </c>
      <c r="M7" s="258">
        <v>1.43770053308677E-2</v>
      </c>
    </row>
    <row r="8" spans="1:13">
      <c r="A8" s="235">
        <v>10000</v>
      </c>
      <c r="B8" s="120">
        <v>3.3000000000000002E-2</v>
      </c>
      <c r="C8" s="257">
        <v>2460472.21507486</v>
      </c>
      <c r="D8" s="257">
        <v>2460472.2548019402</v>
      </c>
      <c r="E8" s="257">
        <v>2460472.37931018</v>
      </c>
      <c r="F8" s="257">
        <v>2460472.5035616201</v>
      </c>
      <c r="G8" s="257">
        <v>2460472.5432918398</v>
      </c>
      <c r="H8" s="257">
        <v>3.9727077819406903E-2</v>
      </c>
      <c r="I8" s="257">
        <v>0.248759679961949</v>
      </c>
      <c r="J8" s="257">
        <v>3.9730219636112403E-2</v>
      </c>
      <c r="K8" s="257">
        <v>0.32821697741746902</v>
      </c>
      <c r="L8" s="257">
        <v>0.441537329175621</v>
      </c>
      <c r="M8" s="258">
        <v>1.43770049619489E-2</v>
      </c>
    </row>
    <row r="9" spans="1:13">
      <c r="A9" s="235">
        <v>20000</v>
      </c>
      <c r="B9" s="120">
        <v>0.03</v>
      </c>
      <c r="C9" s="257">
        <v>2460472.2151606898</v>
      </c>
      <c r="D9" s="257">
        <v>2460472.25488764</v>
      </c>
      <c r="E9" s="257">
        <v>2460472.3793959701</v>
      </c>
      <c r="F9" s="257">
        <v>2460472.5036473302</v>
      </c>
      <c r="G9" s="257">
        <v>2460472.5433774199</v>
      </c>
      <c r="H9" s="257">
        <v>3.9726946968585197E-2</v>
      </c>
      <c r="I9" s="257">
        <v>0.24875969160348099</v>
      </c>
      <c r="J9" s="257">
        <v>3.9730096235871301E-2</v>
      </c>
      <c r="K9" s="257">
        <v>0.328216734807938</v>
      </c>
      <c r="L9" s="257">
        <v>0.44153770966908301</v>
      </c>
      <c r="M9" s="258">
        <v>1.43770034720095E-2</v>
      </c>
    </row>
    <row r="10" spans="1:13">
      <c r="A10" s="235" t="s">
        <v>229</v>
      </c>
      <c r="B10" s="120">
        <v>0.03</v>
      </c>
      <c r="C10" s="257">
        <v>2460472.21516228</v>
      </c>
      <c r="D10" s="257">
        <v>2460472.2548893201</v>
      </c>
      <c r="E10" s="257">
        <v>2460472.37939766</v>
      </c>
      <c r="F10" s="257">
        <v>2460472.5036490001</v>
      </c>
      <c r="G10" s="257">
        <v>2460472.5433791601</v>
      </c>
      <c r="H10" s="257">
        <v>3.9727044757455497E-2</v>
      </c>
      <c r="I10" s="257">
        <v>0.24875967344269101</v>
      </c>
      <c r="J10" s="257">
        <v>3.9730161428451503E-2</v>
      </c>
      <c r="K10" s="257">
        <v>0.32821687962859802</v>
      </c>
      <c r="L10" s="257">
        <v>0.44153828839019199</v>
      </c>
      <c r="M10" s="258">
        <v>1.4377001204148501E-2</v>
      </c>
    </row>
    <row r="11" spans="1:13">
      <c r="A11" s="235">
        <v>40000</v>
      </c>
      <c r="B11" s="120">
        <v>2.9000000000000001E-2</v>
      </c>
      <c r="C11" s="257">
        <v>2460472.2155051399</v>
      </c>
      <c r="D11" s="257">
        <v>2460472.2552321199</v>
      </c>
      <c r="E11" s="257">
        <v>2460472.3797403099</v>
      </c>
      <c r="F11" s="257">
        <v>2460472.5039917198</v>
      </c>
      <c r="G11" s="257">
        <v>2460472.5437219799</v>
      </c>
      <c r="H11" s="257">
        <v>3.9726979099214001E-2</v>
      </c>
      <c r="I11" s="257">
        <v>0.24875960173085301</v>
      </c>
      <c r="J11" s="257">
        <v>3.97302606143057E-2</v>
      </c>
      <c r="K11" s="257">
        <v>0.32821684144437302</v>
      </c>
      <c r="L11" s="257">
        <v>0.44153921861649797</v>
      </c>
      <c r="M11" s="258">
        <v>1.43769975636719E-2</v>
      </c>
    </row>
    <row r="12" spans="1:13">
      <c r="A12" s="235">
        <v>60000</v>
      </c>
      <c r="B12" s="120">
        <v>2.8000000000000001E-2</v>
      </c>
      <c r="C12" s="257">
        <v>2460472.2160628098</v>
      </c>
      <c r="D12" s="257">
        <v>2460472.2557899798</v>
      </c>
      <c r="E12" s="257">
        <v>2460472.38029776</v>
      </c>
      <c r="F12" s="257">
        <v>2460472.5045489101</v>
      </c>
      <c r="G12" s="257">
        <v>2460472.5442791702</v>
      </c>
      <c r="H12" s="257">
        <v>3.9727170951664399E-2</v>
      </c>
      <c r="I12" s="257">
        <v>0.24875893630087301</v>
      </c>
      <c r="J12" s="257">
        <v>3.9730261545628302E-2</v>
      </c>
      <c r="K12" s="257">
        <v>0.32821636879816601</v>
      </c>
      <c r="L12" s="257">
        <v>0.44154196128642698</v>
      </c>
      <c r="M12" s="258">
        <v>1.4376986812069E-2</v>
      </c>
    </row>
    <row r="13" spans="1:13">
      <c r="A13" s="235" t="s">
        <v>222</v>
      </c>
      <c r="B13" s="120">
        <v>4.1000000000000002E-2</v>
      </c>
      <c r="C13" s="257">
        <v>2460472.2168161701</v>
      </c>
      <c r="D13" s="257">
        <v>2460472.2565432698</v>
      </c>
      <c r="E13" s="257">
        <v>2460472.3810505299</v>
      </c>
      <c r="F13" s="257">
        <v>2460472.5053009801</v>
      </c>
      <c r="G13" s="257">
        <v>2460472.5450311201</v>
      </c>
      <c r="H13" s="257">
        <v>3.9727100171148701E-2</v>
      </c>
      <c r="I13" s="257">
        <v>0.24875771393999399</v>
      </c>
      <c r="J13" s="257">
        <v>3.9730136282742003E-2</v>
      </c>
      <c r="K13" s="257">
        <v>0.32821495039388499</v>
      </c>
      <c r="L13" s="257">
        <v>0.441545799643764</v>
      </c>
      <c r="M13" s="258">
        <v>1.4376971772813E-2</v>
      </c>
    </row>
    <row r="14" spans="1:13">
      <c r="A14" s="221" t="s">
        <v>223</v>
      </c>
      <c r="B14" s="185"/>
      <c r="C14" s="185"/>
      <c r="D14" s="259" t="s">
        <v>230</v>
      </c>
      <c r="E14" s="185"/>
      <c r="F14" s="185"/>
      <c r="G14" s="185"/>
      <c r="H14" s="185"/>
      <c r="I14" s="185"/>
      <c r="J14" s="185"/>
      <c r="K14" s="185"/>
      <c r="L14" s="185"/>
      <c r="M14" s="222"/>
    </row>
    <row r="15" spans="1:13">
      <c r="D15" s="215"/>
    </row>
    <row r="16" spans="1:13">
      <c r="A16" s="216" t="s">
        <v>88</v>
      </c>
      <c r="B16" s="218" t="s">
        <v>231</v>
      </c>
      <c r="C16" s="230" t="s">
        <v>37</v>
      </c>
      <c r="D16" s="230" t="s">
        <v>38</v>
      </c>
      <c r="E16" s="230" t="s">
        <v>72</v>
      </c>
      <c r="F16" s="230" t="s">
        <v>39</v>
      </c>
      <c r="G16" s="230" t="s">
        <v>71</v>
      </c>
      <c r="H16" s="230" t="s">
        <v>120</v>
      </c>
      <c r="I16" s="230" t="s">
        <v>66</v>
      </c>
      <c r="J16" s="230" t="s">
        <v>220</v>
      </c>
      <c r="K16" s="230" t="s">
        <v>65</v>
      </c>
      <c r="L16" s="230" t="s">
        <v>221</v>
      </c>
      <c r="M16" s="231" t="s">
        <v>28</v>
      </c>
    </row>
    <row r="17" spans="1:14">
      <c r="A17" s="232" t="s">
        <v>224</v>
      </c>
      <c r="B17" s="233" t="s">
        <v>224</v>
      </c>
      <c r="C17" s="233" t="s">
        <v>225</v>
      </c>
      <c r="D17" s="233" t="s">
        <v>225</v>
      </c>
      <c r="E17" s="233" t="s">
        <v>225</v>
      </c>
      <c r="F17" s="233" t="s">
        <v>225</v>
      </c>
      <c r="G17" s="233" t="s">
        <v>225</v>
      </c>
      <c r="H17" s="233" t="s">
        <v>225</v>
      </c>
      <c r="I17" s="233" t="s">
        <v>225</v>
      </c>
      <c r="J17" s="233" t="s">
        <v>225</v>
      </c>
      <c r="K17" s="233" t="s">
        <v>225</v>
      </c>
      <c r="L17" s="233" t="s">
        <v>226</v>
      </c>
      <c r="M17" s="234" t="s">
        <v>226</v>
      </c>
    </row>
    <row r="18" spans="1:14">
      <c r="A18" s="235">
        <v>5000</v>
      </c>
      <c r="B18" s="236">
        <v>0.04</v>
      </c>
      <c r="C18" s="237">
        <f>ABS(C7-C$6)*60*60*24</f>
        <v>0.60393959283828735</v>
      </c>
      <c r="D18" s="237">
        <f t="shared" ref="D18:K18" si="0">ABS(D7-D$6)*60*60*24</f>
        <v>0.59359967708587646</v>
      </c>
      <c r="E18" s="237">
        <f t="shared" si="0"/>
        <v>0.60047954320907593</v>
      </c>
      <c r="F18" s="237">
        <f t="shared" si="0"/>
        <v>0.58752447366714478</v>
      </c>
      <c r="G18" s="237">
        <f t="shared" si="0"/>
        <v>0.59959441423416138</v>
      </c>
      <c r="H18" s="238">
        <f t="shared" si="0"/>
        <v>1.0621547694178446E-2</v>
      </c>
      <c r="I18" s="238">
        <f t="shared" si="0"/>
        <v>6.5177679445582726E-3</v>
      </c>
      <c r="J18" s="238">
        <f t="shared" si="0"/>
        <v>1.2110173695045745E-2</v>
      </c>
      <c r="K18" s="238">
        <f t="shared" si="0"/>
        <v>5.0291418261849685E-3</v>
      </c>
      <c r="L18" s="239">
        <f t="shared" ref="L18:M21" si="1">ABS(L7/L$6-1)*100</f>
        <v>7.1255712441598007E-6</v>
      </c>
      <c r="M18" s="240">
        <f t="shared" si="1"/>
        <v>8.5718199205331302E-7</v>
      </c>
    </row>
    <row r="19" spans="1:14">
      <c r="A19" s="235">
        <v>10000</v>
      </c>
      <c r="B19" s="241">
        <v>3.3000000000000002E-2</v>
      </c>
      <c r="C19" s="237">
        <f>ABS(C8-C$6)*60*60*24</f>
        <v>2.4442434310913086</v>
      </c>
      <c r="D19" s="237">
        <f t="shared" ref="D19:K21" si="2">ABS(D8-D$6)*60*60*24</f>
        <v>2.4477437138557434</v>
      </c>
      <c r="E19" s="237">
        <f t="shared" si="2"/>
        <v>2.4459734559059143</v>
      </c>
      <c r="F19" s="237">
        <f t="shared" si="2"/>
        <v>2.4416685104370117</v>
      </c>
      <c r="G19" s="237">
        <f t="shared" si="2"/>
        <v>2.4520084261894226</v>
      </c>
      <c r="H19" s="238">
        <f t="shared" si="2"/>
        <v>2.8565526014601161E-3</v>
      </c>
      <c r="I19" s="238">
        <f t="shared" si="2"/>
        <v>6.2763691092371232E-3</v>
      </c>
      <c r="J19" s="238">
        <f t="shared" si="2"/>
        <v>1.0299682612990857E-2</v>
      </c>
      <c r="K19" s="238">
        <f t="shared" si="2"/>
        <v>6.8798661999380784E-3</v>
      </c>
      <c r="L19" s="239">
        <f t="shared" si="1"/>
        <v>2.845960658248714E-5</v>
      </c>
      <c r="M19" s="240">
        <f t="shared" si="1"/>
        <v>3.423215655384837E-6</v>
      </c>
    </row>
    <row r="20" spans="1:14">
      <c r="A20" s="242">
        <v>20000</v>
      </c>
      <c r="B20" s="243">
        <v>0.03</v>
      </c>
      <c r="C20" s="244">
        <f>ABS(C9-C$6)*60*60*24</f>
        <v>9.8599344491958618</v>
      </c>
      <c r="D20" s="244">
        <f t="shared" si="2"/>
        <v>9.8522096872329712</v>
      </c>
      <c r="E20" s="244">
        <f t="shared" si="2"/>
        <v>9.8582446575164795</v>
      </c>
      <c r="F20" s="244">
        <f t="shared" si="2"/>
        <v>9.8470196127891541</v>
      </c>
      <c r="G20" s="244">
        <f t="shared" si="2"/>
        <v>9.8461344838142395</v>
      </c>
      <c r="H20" s="245">
        <f t="shared" si="2"/>
        <v>8.4489583939140189E-3</v>
      </c>
      <c r="I20" s="245">
        <f t="shared" si="2"/>
        <v>5.2705407454389785E-3</v>
      </c>
      <c r="J20" s="245">
        <f t="shared" si="2"/>
        <v>3.6209821820953891E-4</v>
      </c>
      <c r="K20" s="245">
        <f t="shared" si="2"/>
        <v>1.40815972802244E-2</v>
      </c>
      <c r="L20" s="246">
        <f t="shared" si="1"/>
        <v>1.1463432956215769E-4</v>
      </c>
      <c r="M20" s="247">
        <f t="shared" si="1"/>
        <v>1.3786565689066776E-5</v>
      </c>
    </row>
    <row r="21" spans="1:14">
      <c r="A21" s="242">
        <v>20000</v>
      </c>
      <c r="B21" s="243">
        <v>2.1999999999999999E-2</v>
      </c>
      <c r="C21" s="244">
        <f>ABS(C10-C$6)*60*60*24</f>
        <v>9.9973306059837341</v>
      </c>
      <c r="D21" s="244">
        <f t="shared" si="2"/>
        <v>9.9973708391189575</v>
      </c>
      <c r="E21" s="244">
        <f t="shared" si="2"/>
        <v>10.004250705242157</v>
      </c>
      <c r="F21" s="244">
        <f t="shared" si="2"/>
        <v>9.9912956357002258</v>
      </c>
      <c r="G21" s="244">
        <f t="shared" si="2"/>
        <v>9.996485710144043</v>
      </c>
      <c r="H21" s="245">
        <f t="shared" si="2"/>
        <v>0</v>
      </c>
      <c r="I21" s="245">
        <f t="shared" si="2"/>
        <v>6.8396329999664829E-3</v>
      </c>
      <c r="J21" s="245">
        <f t="shared" si="2"/>
        <v>5.2705407112663138E-3</v>
      </c>
      <c r="K21" s="245">
        <f t="shared" si="2"/>
        <v>1.5690922545275043E-3</v>
      </c>
      <c r="L21" s="246">
        <f t="shared" si="1"/>
        <v>2.4570394370204696E-4</v>
      </c>
      <c r="M21" s="247">
        <f t="shared" si="1"/>
        <v>2.9560789371885221E-5</v>
      </c>
    </row>
    <row r="22" spans="1:14">
      <c r="A22" s="235">
        <v>40000</v>
      </c>
      <c r="B22" s="248">
        <v>2.9000000000000001E-2</v>
      </c>
      <c r="C22" s="249">
        <f t="shared" ref="C22:K24" si="3">ABS(C11-C$6)*60*60*24</f>
        <v>39.620424807071686</v>
      </c>
      <c r="D22" s="249">
        <f t="shared" si="3"/>
        <v>39.615274965763092</v>
      </c>
      <c r="E22" s="249">
        <f t="shared" si="3"/>
        <v>39.60919976234436</v>
      </c>
      <c r="F22" s="249">
        <f t="shared" si="3"/>
        <v>39.602279663085938</v>
      </c>
      <c r="G22" s="249">
        <f t="shared" si="3"/>
        <v>39.616119861602783</v>
      </c>
      <c r="H22" s="238">
        <f t="shared" si="3"/>
        <v>5.6728720652987619E-3</v>
      </c>
      <c r="I22" s="238">
        <f t="shared" si="3"/>
        <v>1.3035535802785603E-2</v>
      </c>
      <c r="J22" s="238">
        <f t="shared" si="3"/>
        <v>1.3840198513848101E-2</v>
      </c>
      <c r="K22" s="238">
        <f t="shared" si="3"/>
        <v>4.8682092948837408E-3</v>
      </c>
      <c r="L22" s="239">
        <f t="shared" ref="L22:L24" si="4">ABS(L11/L$6-1)*100</f>
        <v>4.5638297563321828E-4</v>
      </c>
      <c r="M22" s="240">
        <f t="shared" ref="M22:M24" si="5">ABS(M11/M$6-1)*100</f>
        <v>5.4882311384396587E-5</v>
      </c>
    </row>
    <row r="23" spans="1:14">
      <c r="A23" s="235">
        <v>60000</v>
      </c>
      <c r="B23" s="248">
        <v>2.8000000000000001E-2</v>
      </c>
      <c r="C23" s="250">
        <f t="shared" si="3"/>
        <v>87.803104519844055</v>
      </c>
      <c r="D23" s="250">
        <f t="shared" si="3"/>
        <v>87.814369797706604</v>
      </c>
      <c r="E23" s="250">
        <f t="shared" si="3"/>
        <v>87.77288943529129</v>
      </c>
      <c r="F23" s="250">
        <f t="shared" si="3"/>
        <v>87.743519246578217</v>
      </c>
      <c r="G23" s="250">
        <f t="shared" si="3"/>
        <v>87.757359445095062</v>
      </c>
      <c r="H23" s="238">
        <f t="shared" si="3"/>
        <v>1.0903179649135453E-2</v>
      </c>
      <c r="I23" s="238">
        <f t="shared" si="3"/>
        <v>7.0528686075377323E-2</v>
      </c>
      <c r="J23" s="238">
        <f t="shared" si="3"/>
        <v>1.392066478669296E-2</v>
      </c>
      <c r="K23" s="238">
        <f t="shared" si="3"/>
        <v>4.5704841580196387E-2</v>
      </c>
      <c r="L23" s="239">
        <f t="shared" si="4"/>
        <v>1.0775469244883595E-3</v>
      </c>
      <c r="M23" s="240">
        <f t="shared" si="5"/>
        <v>1.2966563767147221E-4</v>
      </c>
    </row>
    <row r="24" spans="1:14">
      <c r="A24" s="251" t="s">
        <v>222</v>
      </c>
      <c r="B24" s="252">
        <v>4.1000000000000002E-2</v>
      </c>
      <c r="C24" s="253">
        <f t="shared" si="3"/>
        <v>152.89343744516373</v>
      </c>
      <c r="D24" s="253">
        <f t="shared" si="3"/>
        <v>152.89862751960754</v>
      </c>
      <c r="E24" s="253">
        <f t="shared" si="3"/>
        <v>152.81220674514771</v>
      </c>
      <c r="F24" s="253">
        <f t="shared" si="3"/>
        <v>152.72236615419388</v>
      </c>
      <c r="G24" s="253">
        <f t="shared" si="3"/>
        <v>152.72582620382309</v>
      </c>
      <c r="H24" s="254">
        <f t="shared" si="3"/>
        <v>4.7877430927822928E-3</v>
      </c>
      <c r="I24" s="254">
        <f t="shared" si="3"/>
        <v>0.1761406660223841</v>
      </c>
      <c r="J24" s="254">
        <f t="shared" si="3"/>
        <v>3.0979514104023664E-3</v>
      </c>
      <c r="K24" s="254">
        <f t="shared" si="3"/>
        <v>0.16825497146104595</v>
      </c>
      <c r="L24" s="255">
        <f t="shared" si="4"/>
        <v>1.9468637807884548E-3</v>
      </c>
      <c r="M24" s="256">
        <f t="shared" si="5"/>
        <v>2.3427195536829259E-4</v>
      </c>
    </row>
    <row r="27" spans="1:14">
      <c r="A27" s="216" t="s">
        <v>88</v>
      </c>
      <c r="B27" s="217"/>
      <c r="C27" s="218" t="s">
        <v>232</v>
      </c>
      <c r="D27" s="218" t="s">
        <v>235</v>
      </c>
      <c r="E27" s="218" t="s">
        <v>234</v>
      </c>
      <c r="F27" s="218" t="s">
        <v>234</v>
      </c>
      <c r="G27" s="219" t="s">
        <v>233</v>
      </c>
      <c r="H27" s="1"/>
    </row>
    <row r="28" spans="1:14">
      <c r="A28" s="220">
        <v>20000</v>
      </c>
      <c r="C28">
        <v>16</v>
      </c>
      <c r="D28" s="125">
        <f>AVERAGE(E28:F28)</f>
        <v>7.0000000000000001E-3</v>
      </c>
      <c r="E28">
        <v>7.0000000000000001E-3</v>
      </c>
      <c r="F28" s="120">
        <v>7.0000000000000001E-3</v>
      </c>
      <c r="G28" s="138">
        <v>2</v>
      </c>
      <c r="H28" s="1"/>
      <c r="I28" s="1"/>
      <c r="J28" s="1"/>
      <c r="K28" s="1"/>
      <c r="L28" s="1"/>
      <c r="M28" s="1"/>
      <c r="N28" s="1"/>
    </row>
    <row r="29" spans="1:14">
      <c r="A29" s="220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20">
        <v>0.01</v>
      </c>
      <c r="G29" s="138">
        <v>2</v>
      </c>
      <c r="I29" s="1"/>
      <c r="J29" s="1"/>
      <c r="K29" s="1"/>
      <c r="L29" s="1"/>
      <c r="M29" s="1"/>
      <c r="N29" s="1"/>
    </row>
    <row r="30" spans="1:14">
      <c r="A30" s="220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8">
        <v>1</v>
      </c>
    </row>
    <row r="31" spans="1:14">
      <c r="A31" s="220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8">
        <v>1</v>
      </c>
    </row>
    <row r="32" spans="1:14">
      <c r="A32" s="221">
        <v>20000</v>
      </c>
      <c r="B32" s="185"/>
      <c r="C32" s="185">
        <v>7202</v>
      </c>
      <c r="D32" s="185">
        <f t="shared" si="6"/>
        <v>0.1575</v>
      </c>
      <c r="E32" s="185">
        <v>0.155</v>
      </c>
      <c r="F32" s="199">
        <v>0.16</v>
      </c>
      <c r="G32" s="222">
        <v>2</v>
      </c>
    </row>
    <row r="33" spans="2:6">
      <c r="B33" s="3"/>
    </row>
    <row r="34" spans="2:6">
      <c r="B34" s="3"/>
    </row>
    <row r="35" spans="2:6">
      <c r="B35" s="3"/>
      <c r="C35" s="223" t="s">
        <v>236</v>
      </c>
      <c r="D35" s="224">
        <v>2.1165000000000001E-5</v>
      </c>
    </row>
    <row r="36" spans="2:6">
      <c r="C36" s="225" t="s">
        <v>237</v>
      </c>
      <c r="D36" s="226">
        <v>7.695141E-3</v>
      </c>
    </row>
    <row r="37" spans="2:6">
      <c r="C37" s="225" t="s">
        <v>238</v>
      </c>
      <c r="D37" s="138">
        <v>32</v>
      </c>
    </row>
    <row r="38" spans="2:6">
      <c r="C38" s="227" t="s">
        <v>240</v>
      </c>
      <c r="D38" s="222">
        <v>4000</v>
      </c>
    </row>
    <row r="40" spans="2:6">
      <c r="C40" s="216" t="s">
        <v>232</v>
      </c>
      <c r="D40" s="218" t="s">
        <v>235</v>
      </c>
      <c r="E40" s="218" t="s">
        <v>239</v>
      </c>
      <c r="F40" s="219" t="s">
        <v>241</v>
      </c>
    </row>
    <row r="41" spans="2:6">
      <c r="C41" s="220">
        <v>1</v>
      </c>
      <c r="D41" s="125">
        <f t="shared" ref="D41:D49" si="7">C41*$D$35+$D$36</f>
        <v>7.716306E-3</v>
      </c>
      <c r="E41" s="2">
        <f t="shared" ref="E41:E49" si="8">3600/(D41*$D$37)</f>
        <v>14579.515120317934</v>
      </c>
      <c r="F41" s="139">
        <f t="shared" ref="F41:F47" si="9">$D$38/E41</f>
        <v>0.27435754666666667</v>
      </c>
    </row>
    <row r="42" spans="2:6">
      <c r="C42" s="220">
        <v>1000</v>
      </c>
      <c r="D42" s="125">
        <f t="shared" si="7"/>
        <v>2.8860140999999999E-2</v>
      </c>
      <c r="E42" s="2">
        <f t="shared" si="8"/>
        <v>3898.1098533094487</v>
      </c>
      <c r="F42" s="139">
        <f t="shared" si="9"/>
        <v>1.0261383466666667</v>
      </c>
    </row>
    <row r="43" spans="2:6">
      <c r="C43" s="220">
        <v>5000</v>
      </c>
      <c r="D43" s="125">
        <f t="shared" si="7"/>
        <v>0.113520141</v>
      </c>
      <c r="E43" s="2">
        <f t="shared" si="8"/>
        <v>991.01356824424658</v>
      </c>
      <c r="F43" s="139">
        <f t="shared" si="9"/>
        <v>4.0362716800000005</v>
      </c>
    </row>
    <row r="44" spans="2:6">
      <c r="C44" s="220">
        <v>10000</v>
      </c>
      <c r="D44" s="125">
        <f t="shared" si="7"/>
        <v>0.21934514099999999</v>
      </c>
      <c r="E44" s="2">
        <f t="shared" si="8"/>
        <v>512.89032201538487</v>
      </c>
      <c r="F44" s="139">
        <f>$D$38/E44</f>
        <v>7.7989383466666666</v>
      </c>
    </row>
    <row r="45" spans="2:6">
      <c r="C45" s="220">
        <v>15000</v>
      </c>
      <c r="D45" s="125">
        <f t="shared" si="7"/>
        <v>0.32517014100000002</v>
      </c>
      <c r="E45" s="2">
        <f t="shared" si="8"/>
        <v>345.97272570607885</v>
      </c>
      <c r="F45" s="139">
        <f t="shared" si="9"/>
        <v>11.561605013333335</v>
      </c>
    </row>
    <row r="46" spans="2:6">
      <c r="C46" s="220">
        <v>25000</v>
      </c>
      <c r="D46" s="125">
        <f t="shared" si="7"/>
        <v>0.53682014100000008</v>
      </c>
      <c r="E46" s="2">
        <f t="shared" si="8"/>
        <v>209.56739773294009</v>
      </c>
      <c r="F46" s="139">
        <f t="shared" si="9"/>
        <v>19.08693834666667</v>
      </c>
    </row>
    <row r="47" spans="2:6">
      <c r="C47" s="220">
        <v>31000</v>
      </c>
      <c r="D47" s="125">
        <f t="shared" si="7"/>
        <v>0.66381014100000002</v>
      </c>
      <c r="E47" s="2">
        <f t="shared" si="8"/>
        <v>169.4761695422788</v>
      </c>
      <c r="F47" s="139">
        <f t="shared" si="9"/>
        <v>23.602138346666667</v>
      </c>
    </row>
    <row r="48" spans="2:6">
      <c r="C48" s="220">
        <v>100000</v>
      </c>
      <c r="D48" s="125">
        <f t="shared" si="7"/>
        <v>2.1241951410000004</v>
      </c>
      <c r="E48" s="2">
        <f t="shared" si="8"/>
        <v>52.961235918767208</v>
      </c>
      <c r="F48" s="139">
        <f t="shared" ref="F48:F49" si="10">$D$38/E48</f>
        <v>75.526938346666682</v>
      </c>
    </row>
    <row r="49" spans="3:6">
      <c r="C49" s="260">
        <v>20000</v>
      </c>
      <c r="D49" s="228">
        <f t="shared" si="7"/>
        <v>0.43099514100000003</v>
      </c>
      <c r="E49" s="195">
        <f t="shared" si="8"/>
        <v>261.02382439620123</v>
      </c>
      <c r="F49" s="229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>
      <selection activeCell="E3" sqref="E3"/>
    </sheetView>
  </sheetViews>
  <sheetFormatPr baseColWidth="10" defaultColWidth="35.28515625" defaultRowHeight="15"/>
  <cols>
    <col min="1" max="1" width="6.5703125" style="152" bestFit="1" customWidth="1"/>
    <col min="2" max="2" width="15.5703125" style="152" bestFit="1" customWidth="1"/>
    <col min="3" max="3" width="11" style="152" bestFit="1" customWidth="1"/>
    <col min="4" max="4" width="18.140625" style="152" bestFit="1" customWidth="1"/>
    <col min="5" max="5" width="18.5703125" style="152" customWidth="1"/>
    <col min="6" max="6" width="6.5703125" style="152" customWidth="1"/>
    <col min="7" max="7" width="16.28515625" style="152" bestFit="1" customWidth="1"/>
    <col min="8" max="16384" width="35.28515625" style="152"/>
  </cols>
  <sheetData>
    <row r="1" spans="1:8">
      <c r="A1" s="172" t="s">
        <v>166</v>
      </c>
      <c r="B1" s="170"/>
      <c r="C1" s="171"/>
    </row>
    <row r="2" spans="1:8">
      <c r="A2" s="173" t="s">
        <v>178</v>
      </c>
      <c r="B2" s="174" t="s">
        <v>179</v>
      </c>
      <c r="C2" s="175" t="s">
        <v>180</v>
      </c>
    </row>
    <row r="3" spans="1:8">
      <c r="A3" s="176">
        <v>1</v>
      </c>
      <c r="B3" s="177" t="s">
        <v>167</v>
      </c>
      <c r="C3" s="178" t="s">
        <v>177</v>
      </c>
    </row>
    <row r="4" spans="1:8">
      <c r="A4" s="176">
        <v>2</v>
      </c>
      <c r="B4" s="177" t="s">
        <v>168</v>
      </c>
      <c r="C4" s="178" t="s">
        <v>176</v>
      </c>
    </row>
    <row r="5" spans="1:8" ht="15.75" thickBot="1">
      <c r="A5" s="179">
        <v>3</v>
      </c>
      <c r="B5" s="180" t="s">
        <v>170</v>
      </c>
      <c r="C5" s="181" t="s">
        <v>175</v>
      </c>
    </row>
    <row r="10" spans="1:8">
      <c r="A10" s="155" t="s">
        <v>154</v>
      </c>
      <c r="B10" s="155" t="s">
        <v>155</v>
      </c>
      <c r="C10" s="155" t="s">
        <v>156</v>
      </c>
      <c r="D10" s="155" t="s">
        <v>157</v>
      </c>
      <c r="E10" s="155" t="s">
        <v>164</v>
      </c>
      <c r="F10" s="152" t="s">
        <v>169</v>
      </c>
      <c r="G10" s="152" t="s">
        <v>171</v>
      </c>
      <c r="H10" s="152" t="s">
        <v>172</v>
      </c>
    </row>
    <row r="11" spans="1:8" ht="30" hidden="1">
      <c r="A11" s="153">
        <v>106</v>
      </c>
      <c r="B11" s="153">
        <v>1</v>
      </c>
      <c r="C11" s="153">
        <v>2018</v>
      </c>
      <c r="D11" s="157" t="s">
        <v>161</v>
      </c>
      <c r="E11" s="166">
        <v>1800</v>
      </c>
    </row>
    <row r="12" spans="1:8">
      <c r="A12" s="153">
        <v>55</v>
      </c>
      <c r="B12" s="153">
        <v>1</v>
      </c>
      <c r="C12" s="153">
        <v>2018</v>
      </c>
      <c r="D12" s="162" t="s">
        <v>160</v>
      </c>
      <c r="E12" s="166">
        <v>1800</v>
      </c>
      <c r="F12" s="152" t="s">
        <v>165</v>
      </c>
      <c r="G12" s="152" t="s">
        <v>165</v>
      </c>
      <c r="H12" s="152" t="s">
        <v>174</v>
      </c>
    </row>
    <row r="13" spans="1:8" hidden="1">
      <c r="A13" s="153">
        <v>97</v>
      </c>
      <c r="B13" s="153">
        <v>1</v>
      </c>
      <c r="C13" s="153">
        <v>2018</v>
      </c>
      <c r="D13" s="160" t="s">
        <v>123</v>
      </c>
      <c r="E13" s="166">
        <v>1800</v>
      </c>
    </row>
    <row r="14" spans="1:8" hidden="1">
      <c r="A14" s="153">
        <v>98</v>
      </c>
      <c r="B14" s="153">
        <v>1</v>
      </c>
      <c r="C14" s="153">
        <v>2018</v>
      </c>
      <c r="D14" s="159" t="s">
        <v>163</v>
      </c>
      <c r="E14" s="166">
        <v>1800</v>
      </c>
    </row>
    <row r="15" spans="1:8" hidden="1">
      <c r="A15" s="153">
        <v>99</v>
      </c>
      <c r="B15" s="153">
        <v>1</v>
      </c>
      <c r="C15" s="153">
        <v>2018</v>
      </c>
      <c r="D15" s="159" t="s">
        <v>163</v>
      </c>
      <c r="E15" s="166">
        <v>1800</v>
      </c>
    </row>
    <row r="16" spans="1:8" hidden="1">
      <c r="A16" s="167">
        <v>109</v>
      </c>
      <c r="B16" s="167">
        <v>1</v>
      </c>
      <c r="C16" s="167">
        <v>2018</v>
      </c>
      <c r="D16" s="168" t="s">
        <v>162</v>
      </c>
      <c r="E16" s="169">
        <v>1800</v>
      </c>
      <c r="F16" s="4"/>
    </row>
    <row r="17" spans="1:6" ht="30" hidden="1">
      <c r="A17" s="153">
        <v>92</v>
      </c>
      <c r="B17" s="153">
        <v>2</v>
      </c>
      <c r="C17" s="153">
        <v>2018</v>
      </c>
      <c r="D17" s="157" t="s">
        <v>161</v>
      </c>
      <c r="E17" s="166">
        <v>1800</v>
      </c>
    </row>
    <row r="18" spans="1:6" hidden="1">
      <c r="A18" s="153">
        <v>56</v>
      </c>
      <c r="B18" s="153">
        <v>2</v>
      </c>
      <c r="C18" s="153">
        <v>2018</v>
      </c>
      <c r="D18" s="162" t="s">
        <v>160</v>
      </c>
      <c r="E18" s="166">
        <v>1800</v>
      </c>
    </row>
    <row r="19" spans="1:6" hidden="1">
      <c r="A19" s="153">
        <v>100</v>
      </c>
      <c r="B19" s="153">
        <v>2</v>
      </c>
      <c r="C19" s="153">
        <v>2018</v>
      </c>
      <c r="D19" s="159" t="s">
        <v>163</v>
      </c>
      <c r="E19" s="166">
        <v>1800</v>
      </c>
    </row>
    <row r="20" spans="1:6" hidden="1">
      <c r="A20" s="153">
        <v>101</v>
      </c>
      <c r="B20" s="153">
        <v>2</v>
      </c>
      <c r="C20" s="153">
        <v>2018</v>
      </c>
      <c r="D20" s="159" t="s">
        <v>163</v>
      </c>
      <c r="E20" s="166">
        <v>1800</v>
      </c>
    </row>
    <row r="21" spans="1:6">
      <c r="A21" s="153">
        <v>110</v>
      </c>
      <c r="B21" s="153">
        <v>2</v>
      </c>
      <c r="C21" s="153">
        <v>2018</v>
      </c>
      <c r="D21" s="161" t="s">
        <v>162</v>
      </c>
      <c r="E21" s="166">
        <v>1800</v>
      </c>
      <c r="F21" s="152" t="s">
        <v>165</v>
      </c>
    </row>
    <row r="22" spans="1:6" ht="30" hidden="1">
      <c r="A22" s="153">
        <v>94</v>
      </c>
      <c r="B22" s="153">
        <v>3</v>
      </c>
      <c r="C22" s="153">
        <v>2018</v>
      </c>
      <c r="D22" s="157" t="s">
        <v>161</v>
      </c>
      <c r="E22" s="166">
        <v>1800</v>
      </c>
    </row>
    <row r="23" spans="1:6" hidden="1">
      <c r="A23" s="153">
        <v>102</v>
      </c>
      <c r="B23" s="153">
        <v>3</v>
      </c>
      <c r="C23" s="153">
        <v>2018</v>
      </c>
      <c r="D23" s="159" t="s">
        <v>163</v>
      </c>
      <c r="E23" s="166">
        <v>1800</v>
      </c>
    </row>
    <row r="24" spans="1:6" hidden="1">
      <c r="A24" s="153">
        <v>103</v>
      </c>
      <c r="B24" s="153">
        <v>3</v>
      </c>
      <c r="C24" s="153">
        <v>2018</v>
      </c>
      <c r="D24" s="159" t="s">
        <v>163</v>
      </c>
      <c r="E24" s="166">
        <v>1800</v>
      </c>
    </row>
    <row r="25" spans="1:6">
      <c r="A25" s="153">
        <v>95</v>
      </c>
      <c r="B25" s="153">
        <v>3</v>
      </c>
      <c r="C25" s="153">
        <v>2018</v>
      </c>
      <c r="D25" s="161" t="s">
        <v>162</v>
      </c>
      <c r="E25" s="166">
        <v>1800</v>
      </c>
      <c r="F25" s="152" t="s">
        <v>165</v>
      </c>
    </row>
    <row r="26" spans="1:6" ht="30" hidden="1">
      <c r="A26" s="153">
        <v>91</v>
      </c>
      <c r="B26" s="153">
        <v>4</v>
      </c>
      <c r="C26" s="153">
        <v>2018</v>
      </c>
      <c r="D26" s="157" t="s">
        <v>161</v>
      </c>
      <c r="E26" s="166">
        <v>1800</v>
      </c>
    </row>
    <row r="27" spans="1:6" hidden="1">
      <c r="A27" s="153">
        <v>57</v>
      </c>
      <c r="B27" s="153">
        <v>4</v>
      </c>
      <c r="C27" s="153">
        <v>2018</v>
      </c>
      <c r="D27" s="162" t="s">
        <v>160</v>
      </c>
      <c r="E27" s="166">
        <v>1800</v>
      </c>
    </row>
    <row r="28" spans="1:6" hidden="1">
      <c r="A28" s="153">
        <v>96</v>
      </c>
      <c r="B28" s="153">
        <v>4</v>
      </c>
      <c r="C28" s="153">
        <v>2018</v>
      </c>
      <c r="D28" s="159" t="s">
        <v>163</v>
      </c>
      <c r="E28" s="166">
        <v>1800</v>
      </c>
    </row>
    <row r="29" spans="1:6" hidden="1">
      <c r="A29" s="153">
        <v>104</v>
      </c>
      <c r="B29" s="153">
        <v>4</v>
      </c>
      <c r="C29" s="153">
        <v>2018</v>
      </c>
      <c r="D29" s="159" t="s">
        <v>163</v>
      </c>
      <c r="E29" s="166">
        <v>1800</v>
      </c>
    </row>
    <row r="30" spans="1:6">
      <c r="A30" s="153">
        <v>111</v>
      </c>
      <c r="B30" s="153">
        <v>4</v>
      </c>
      <c r="C30" s="153">
        <v>2018</v>
      </c>
      <c r="D30" s="161" t="s">
        <v>162</v>
      </c>
      <c r="E30" s="166">
        <v>1800</v>
      </c>
      <c r="F30" s="152" t="s">
        <v>165</v>
      </c>
    </row>
    <row r="31" spans="1:6" ht="30" hidden="1">
      <c r="A31" s="153">
        <v>90</v>
      </c>
      <c r="B31" s="153">
        <v>5</v>
      </c>
      <c r="C31" s="153">
        <v>2018</v>
      </c>
      <c r="D31" s="157" t="s">
        <v>161</v>
      </c>
      <c r="E31" s="166">
        <v>1800</v>
      </c>
    </row>
    <row r="32" spans="1:6" hidden="1">
      <c r="A32" s="153">
        <v>58</v>
      </c>
      <c r="B32" s="153">
        <v>5</v>
      </c>
      <c r="C32" s="153">
        <v>2018</v>
      </c>
      <c r="D32" s="162" t="s">
        <v>160</v>
      </c>
      <c r="E32" s="166">
        <v>1800</v>
      </c>
    </row>
    <row r="33" spans="1:8" hidden="1">
      <c r="A33" s="153">
        <v>105</v>
      </c>
      <c r="B33" s="153">
        <v>5</v>
      </c>
      <c r="C33" s="153">
        <v>2018</v>
      </c>
      <c r="D33" s="159" t="s">
        <v>163</v>
      </c>
      <c r="E33" s="166">
        <v>1800</v>
      </c>
    </row>
    <row r="34" spans="1:8" hidden="1">
      <c r="A34" s="153">
        <v>114</v>
      </c>
      <c r="B34" s="153">
        <v>5</v>
      </c>
      <c r="C34" s="153">
        <v>2018</v>
      </c>
      <c r="D34" s="159" t="s">
        <v>163</v>
      </c>
      <c r="E34" s="166">
        <v>1800</v>
      </c>
    </row>
    <row r="35" spans="1:8">
      <c r="A35" s="153">
        <v>112</v>
      </c>
      <c r="B35" s="153">
        <v>5</v>
      </c>
      <c r="C35" s="153">
        <v>2018</v>
      </c>
      <c r="D35" s="161" t="s">
        <v>162</v>
      </c>
      <c r="E35" s="166">
        <v>1800</v>
      </c>
      <c r="F35" s="152" t="s">
        <v>165</v>
      </c>
    </row>
    <row r="36" spans="1:8" ht="30" hidden="1">
      <c r="A36" s="153">
        <v>93</v>
      </c>
      <c r="B36" s="153">
        <v>6</v>
      </c>
      <c r="C36" s="153">
        <v>2018</v>
      </c>
      <c r="D36" s="157" t="s">
        <v>161</v>
      </c>
      <c r="E36" s="166">
        <v>1800</v>
      </c>
    </row>
    <row r="37" spans="1:8" hidden="1">
      <c r="A37" s="153">
        <v>54</v>
      </c>
      <c r="B37" s="153">
        <v>6</v>
      </c>
      <c r="C37" s="153">
        <v>2018</v>
      </c>
      <c r="D37" s="162" t="s">
        <v>160</v>
      </c>
      <c r="E37" s="166">
        <v>1800</v>
      </c>
    </row>
    <row r="38" spans="1:8" hidden="1">
      <c r="A38" s="153">
        <v>107</v>
      </c>
      <c r="B38" s="153">
        <v>6</v>
      </c>
      <c r="C38" s="153">
        <v>2018</v>
      </c>
      <c r="D38" s="159" t="s">
        <v>163</v>
      </c>
      <c r="E38" s="166">
        <v>1800</v>
      </c>
    </row>
    <row r="39" spans="1:8" hidden="1">
      <c r="A39" s="153">
        <v>108</v>
      </c>
      <c r="B39" s="153">
        <v>6</v>
      </c>
      <c r="C39" s="153">
        <v>2018</v>
      </c>
      <c r="D39" s="159" t="s">
        <v>163</v>
      </c>
      <c r="E39" s="166">
        <v>1800</v>
      </c>
    </row>
    <row r="40" spans="1:8">
      <c r="A40" s="153">
        <v>113</v>
      </c>
      <c r="B40" s="153">
        <v>6</v>
      </c>
      <c r="C40" s="153">
        <v>2018</v>
      </c>
      <c r="D40" s="161" t="s">
        <v>162</v>
      </c>
      <c r="E40" s="166">
        <v>1800</v>
      </c>
      <c r="F40" s="152" t="s">
        <v>165</v>
      </c>
    </row>
    <row r="41" spans="1:8" ht="30" hidden="1">
      <c r="A41" s="153">
        <v>119</v>
      </c>
      <c r="B41" s="153">
        <v>7</v>
      </c>
      <c r="C41" s="153">
        <v>2019</v>
      </c>
      <c r="D41" s="157" t="s">
        <v>161</v>
      </c>
      <c r="E41" s="166">
        <v>1800</v>
      </c>
    </row>
    <row r="42" spans="1:8" hidden="1">
      <c r="A42" s="153">
        <v>61</v>
      </c>
      <c r="B42" s="153">
        <v>7</v>
      </c>
      <c r="C42" s="153">
        <v>2019</v>
      </c>
      <c r="D42" s="162" t="s">
        <v>160</v>
      </c>
      <c r="E42" s="166">
        <v>1800</v>
      </c>
    </row>
    <row r="43" spans="1:8">
      <c r="A43" s="153">
        <v>120</v>
      </c>
      <c r="B43" s="153">
        <v>7</v>
      </c>
      <c r="C43" s="153">
        <v>2019</v>
      </c>
      <c r="D43" s="161" t="s">
        <v>162</v>
      </c>
      <c r="E43" s="166">
        <v>1800</v>
      </c>
      <c r="F43" s="152" t="s">
        <v>165</v>
      </c>
    </row>
    <row r="44" spans="1:8" ht="30" hidden="1">
      <c r="A44" s="153">
        <v>118</v>
      </c>
      <c r="B44" s="153">
        <v>8</v>
      </c>
      <c r="C44" s="153">
        <v>2019</v>
      </c>
      <c r="D44" s="157" t="s">
        <v>161</v>
      </c>
      <c r="E44" s="166">
        <v>1800</v>
      </c>
    </row>
    <row r="45" spans="1:8" hidden="1">
      <c r="A45" s="153">
        <v>60</v>
      </c>
      <c r="B45" s="153">
        <v>8</v>
      </c>
      <c r="C45" s="153">
        <v>2019</v>
      </c>
      <c r="D45" s="162" t="s">
        <v>160</v>
      </c>
      <c r="E45" s="166">
        <v>1800</v>
      </c>
    </row>
    <row r="46" spans="1:8">
      <c r="A46" s="153">
        <v>121</v>
      </c>
      <c r="B46" s="153">
        <v>8</v>
      </c>
      <c r="C46" s="153">
        <v>2019</v>
      </c>
      <c r="D46" s="161" t="s">
        <v>162</v>
      </c>
      <c r="E46" s="166">
        <v>1800</v>
      </c>
      <c r="F46" s="152" t="s">
        <v>165</v>
      </c>
      <c r="H46" s="152" t="s">
        <v>173</v>
      </c>
    </row>
    <row r="47" spans="1:8" ht="30" hidden="1">
      <c r="A47" s="153">
        <v>117</v>
      </c>
      <c r="B47" s="153">
        <v>9</v>
      </c>
      <c r="C47" s="153">
        <v>2019</v>
      </c>
      <c r="D47" s="157" t="s">
        <v>161</v>
      </c>
      <c r="E47" s="166">
        <v>1800</v>
      </c>
    </row>
    <row r="48" spans="1:8" hidden="1">
      <c r="A48" s="153">
        <v>59</v>
      </c>
      <c r="B48" s="153">
        <v>9</v>
      </c>
      <c r="C48" s="153">
        <v>2019</v>
      </c>
      <c r="D48" s="162" t="s">
        <v>160</v>
      </c>
      <c r="E48" s="166">
        <v>1800</v>
      </c>
    </row>
    <row r="49" spans="1:7">
      <c r="A49" s="153">
        <v>122</v>
      </c>
      <c r="B49" s="153">
        <v>9</v>
      </c>
      <c r="C49" s="153">
        <v>2019</v>
      </c>
      <c r="D49" s="161" t="s">
        <v>162</v>
      </c>
      <c r="E49" s="166">
        <v>1800</v>
      </c>
      <c r="F49" s="152" t="s">
        <v>165</v>
      </c>
      <c r="G49" s="152" t="s">
        <v>165</v>
      </c>
    </row>
    <row r="50" spans="1:7" ht="30" hidden="1">
      <c r="A50" s="153">
        <v>116</v>
      </c>
      <c r="B50" s="153">
        <v>10</v>
      </c>
      <c r="C50" s="153">
        <v>2019</v>
      </c>
      <c r="D50" s="157" t="s">
        <v>161</v>
      </c>
      <c r="E50" s="166">
        <v>1800</v>
      </c>
    </row>
    <row r="51" spans="1:7" hidden="1">
      <c r="A51" s="153">
        <v>62</v>
      </c>
      <c r="B51" s="153">
        <v>10</v>
      </c>
      <c r="C51" s="153">
        <v>2019</v>
      </c>
      <c r="D51" s="162" t="s">
        <v>160</v>
      </c>
      <c r="E51" s="166">
        <v>1800</v>
      </c>
    </row>
    <row r="52" spans="1:7">
      <c r="A52" s="153">
        <v>115</v>
      </c>
      <c r="B52" s="153">
        <v>10</v>
      </c>
      <c r="C52" s="153">
        <v>2019</v>
      </c>
      <c r="D52" s="161" t="s">
        <v>162</v>
      </c>
      <c r="E52" s="166">
        <v>1800</v>
      </c>
      <c r="F52" s="152" t="s">
        <v>165</v>
      </c>
    </row>
    <row r="53" spans="1:7">
      <c r="A53" s="153">
        <v>63</v>
      </c>
      <c r="B53" s="153">
        <v>11</v>
      </c>
      <c r="C53" s="153">
        <v>2019</v>
      </c>
      <c r="D53" s="162" t="s">
        <v>160</v>
      </c>
      <c r="E53" s="166">
        <v>1800</v>
      </c>
      <c r="F53" s="152" t="s">
        <v>165</v>
      </c>
      <c r="G53" s="152" t="s">
        <v>165</v>
      </c>
    </row>
    <row r="54" spans="1:7">
      <c r="A54" s="153">
        <v>64</v>
      </c>
      <c r="B54" s="153">
        <v>12</v>
      </c>
      <c r="C54" s="153">
        <v>2019</v>
      </c>
      <c r="D54" s="162" t="s">
        <v>160</v>
      </c>
      <c r="E54" s="166">
        <v>1800</v>
      </c>
      <c r="F54" s="152" t="s">
        <v>165</v>
      </c>
      <c r="G54" s="152" t="s">
        <v>165</v>
      </c>
    </row>
    <row r="55" spans="1:7">
      <c r="A55" s="153">
        <v>65</v>
      </c>
      <c r="B55" s="153">
        <v>13</v>
      </c>
      <c r="C55" s="153">
        <v>2019</v>
      </c>
      <c r="D55" s="162" t="s">
        <v>160</v>
      </c>
      <c r="E55" s="166">
        <v>1800</v>
      </c>
      <c r="F55" s="152" t="s">
        <v>165</v>
      </c>
      <c r="G55" s="152" t="s">
        <v>165</v>
      </c>
    </row>
    <row r="56" spans="1:7">
      <c r="A56" s="153">
        <v>5</v>
      </c>
      <c r="B56" s="153">
        <v>27</v>
      </c>
      <c r="C56" s="153">
        <v>2020</v>
      </c>
      <c r="D56" s="154" t="s">
        <v>158</v>
      </c>
      <c r="E56" s="164">
        <v>120</v>
      </c>
      <c r="F56" s="152" t="s">
        <v>165</v>
      </c>
    </row>
    <row r="57" spans="1:7" hidden="1">
      <c r="A57" s="153">
        <v>70</v>
      </c>
      <c r="B57" s="153">
        <v>27</v>
      </c>
      <c r="C57" s="153">
        <v>2020</v>
      </c>
      <c r="D57" s="162" t="s">
        <v>160</v>
      </c>
      <c r="E57" s="158">
        <v>600</v>
      </c>
    </row>
    <row r="58" spans="1:7" hidden="1">
      <c r="A58" s="153">
        <v>39</v>
      </c>
      <c r="B58" s="153">
        <v>27</v>
      </c>
      <c r="C58" s="153">
        <v>2020</v>
      </c>
      <c r="D58" s="154" t="s">
        <v>159</v>
      </c>
      <c r="E58" s="158">
        <v>600</v>
      </c>
    </row>
    <row r="59" spans="1:7">
      <c r="A59" s="153">
        <v>7</v>
      </c>
      <c r="B59" s="153">
        <v>28</v>
      </c>
      <c r="C59" s="153">
        <v>2020</v>
      </c>
      <c r="D59" s="154" t="s">
        <v>158</v>
      </c>
      <c r="E59" s="164">
        <v>120</v>
      </c>
      <c r="F59" s="152" t="s">
        <v>165</v>
      </c>
    </row>
    <row r="60" spans="1:7" hidden="1">
      <c r="A60" s="153">
        <v>69</v>
      </c>
      <c r="B60" s="153">
        <v>28</v>
      </c>
      <c r="C60" s="153">
        <v>2020</v>
      </c>
      <c r="D60" s="162" t="s">
        <v>160</v>
      </c>
      <c r="E60" s="158">
        <v>600</v>
      </c>
    </row>
    <row r="61" spans="1:7" hidden="1">
      <c r="A61" s="153">
        <v>38</v>
      </c>
      <c r="B61" s="153">
        <v>28</v>
      </c>
      <c r="C61" s="153">
        <v>2020</v>
      </c>
      <c r="D61" s="154" t="s">
        <v>159</v>
      </c>
      <c r="E61" s="158">
        <v>600</v>
      </c>
    </row>
    <row r="62" spans="1:7" hidden="1">
      <c r="A62" s="153">
        <v>3</v>
      </c>
      <c r="B62" s="153">
        <v>29</v>
      </c>
      <c r="C62" s="153">
        <v>2020</v>
      </c>
      <c r="D62" s="154" t="s">
        <v>158</v>
      </c>
      <c r="E62" s="163">
        <v>20</v>
      </c>
    </row>
    <row r="63" spans="1:7">
      <c r="A63" s="153">
        <v>10</v>
      </c>
      <c r="B63" s="153">
        <v>29</v>
      </c>
      <c r="C63" s="153">
        <v>2020</v>
      </c>
      <c r="D63" s="154" t="s">
        <v>158</v>
      </c>
      <c r="E63" s="164">
        <v>120</v>
      </c>
      <c r="F63" s="152" t="s">
        <v>165</v>
      </c>
    </row>
    <row r="64" spans="1:7" hidden="1">
      <c r="A64" s="153">
        <v>66</v>
      </c>
      <c r="B64" s="153">
        <v>29</v>
      </c>
      <c r="C64" s="153">
        <v>2020</v>
      </c>
      <c r="D64" s="162" t="s">
        <v>160</v>
      </c>
      <c r="E64" s="158">
        <v>600</v>
      </c>
    </row>
    <row r="65" spans="1:6" hidden="1">
      <c r="A65" s="153">
        <v>40</v>
      </c>
      <c r="B65" s="153">
        <v>29</v>
      </c>
      <c r="C65" s="153">
        <v>2020</v>
      </c>
      <c r="D65" s="154" t="s">
        <v>159</v>
      </c>
      <c r="E65" s="158">
        <v>600</v>
      </c>
    </row>
    <row r="66" spans="1:6" hidden="1">
      <c r="A66" s="153">
        <v>1</v>
      </c>
      <c r="B66" s="153">
        <v>30</v>
      </c>
      <c r="C66" s="153">
        <v>2020</v>
      </c>
      <c r="D66" s="154" t="s">
        <v>158</v>
      </c>
      <c r="E66" s="163">
        <v>20</v>
      </c>
    </row>
    <row r="67" spans="1:6">
      <c r="A67" s="153">
        <v>9</v>
      </c>
      <c r="B67" s="153">
        <v>30</v>
      </c>
      <c r="C67" s="153">
        <v>2020</v>
      </c>
      <c r="D67" s="154" t="s">
        <v>158</v>
      </c>
      <c r="E67" s="164">
        <v>120</v>
      </c>
      <c r="F67" s="152" t="s">
        <v>165</v>
      </c>
    </row>
    <row r="68" spans="1:6" hidden="1">
      <c r="A68" s="153">
        <v>67</v>
      </c>
      <c r="B68" s="153">
        <v>30</v>
      </c>
      <c r="C68" s="153">
        <v>2020</v>
      </c>
      <c r="D68" s="162" t="s">
        <v>160</v>
      </c>
      <c r="E68" s="158">
        <v>600</v>
      </c>
    </row>
    <row r="69" spans="1:6" hidden="1">
      <c r="A69" s="153">
        <v>37</v>
      </c>
      <c r="B69" s="153">
        <v>30</v>
      </c>
      <c r="C69" s="153">
        <v>2020</v>
      </c>
      <c r="D69" s="154" t="s">
        <v>159</v>
      </c>
      <c r="E69" s="158">
        <v>600</v>
      </c>
    </row>
    <row r="70" spans="1:6" hidden="1">
      <c r="A70" s="153">
        <v>2</v>
      </c>
      <c r="B70" s="153">
        <v>31</v>
      </c>
      <c r="C70" s="153">
        <v>2020</v>
      </c>
      <c r="D70" s="156" t="s">
        <v>158</v>
      </c>
      <c r="E70" s="163">
        <v>20</v>
      </c>
    </row>
    <row r="71" spans="1:6">
      <c r="A71" s="153">
        <v>8</v>
      </c>
      <c r="B71" s="153">
        <v>31</v>
      </c>
      <c r="C71" s="153">
        <v>2020</v>
      </c>
      <c r="D71" s="156" t="s">
        <v>158</v>
      </c>
      <c r="E71" s="164">
        <v>120</v>
      </c>
      <c r="F71" s="152" t="s">
        <v>165</v>
      </c>
    </row>
    <row r="72" spans="1:6" hidden="1">
      <c r="A72" s="153">
        <v>68</v>
      </c>
      <c r="B72" s="153">
        <v>31</v>
      </c>
      <c r="C72" s="153">
        <v>2020</v>
      </c>
      <c r="D72" s="162" t="s">
        <v>160</v>
      </c>
      <c r="E72" s="158">
        <v>600</v>
      </c>
    </row>
    <row r="73" spans="1:6" hidden="1">
      <c r="A73" s="153">
        <v>36</v>
      </c>
      <c r="B73" s="153">
        <v>31</v>
      </c>
      <c r="C73" s="153">
        <v>2020</v>
      </c>
      <c r="D73" s="156" t="s">
        <v>159</v>
      </c>
      <c r="E73" s="158">
        <v>600</v>
      </c>
    </row>
    <row r="74" spans="1:6" hidden="1">
      <c r="A74" s="153">
        <v>4</v>
      </c>
      <c r="B74" s="153">
        <v>32</v>
      </c>
      <c r="C74" s="153">
        <v>2020</v>
      </c>
      <c r="D74" s="156" t="s">
        <v>158</v>
      </c>
      <c r="E74" s="163">
        <v>20</v>
      </c>
    </row>
    <row r="75" spans="1:6">
      <c r="A75" s="153">
        <v>11</v>
      </c>
      <c r="B75" s="153">
        <v>32</v>
      </c>
      <c r="C75" s="153">
        <v>2020</v>
      </c>
      <c r="D75" s="156" t="s">
        <v>158</v>
      </c>
      <c r="E75" s="164">
        <v>120</v>
      </c>
      <c r="F75" s="152" t="s">
        <v>165</v>
      </c>
    </row>
    <row r="76" spans="1:6" hidden="1">
      <c r="A76" s="153">
        <v>71</v>
      </c>
      <c r="B76" s="153">
        <v>32</v>
      </c>
      <c r="C76" s="153">
        <v>2020</v>
      </c>
      <c r="D76" s="162" t="s">
        <v>160</v>
      </c>
      <c r="E76" s="158">
        <v>600</v>
      </c>
    </row>
    <row r="77" spans="1:6" hidden="1">
      <c r="A77" s="153">
        <v>35</v>
      </c>
      <c r="B77" s="153">
        <v>32</v>
      </c>
      <c r="C77" s="153">
        <v>2020</v>
      </c>
      <c r="D77" s="156" t="s">
        <v>159</v>
      </c>
      <c r="E77" s="158">
        <v>600</v>
      </c>
    </row>
    <row r="78" spans="1:6" hidden="1">
      <c r="A78" s="153">
        <v>0</v>
      </c>
      <c r="B78" s="153">
        <v>33</v>
      </c>
      <c r="C78" s="153">
        <v>2020</v>
      </c>
      <c r="D78" s="154" t="s">
        <v>158</v>
      </c>
      <c r="E78" s="163">
        <v>20</v>
      </c>
    </row>
    <row r="79" spans="1:6">
      <c r="A79" s="153">
        <v>6</v>
      </c>
      <c r="B79" s="153">
        <v>33</v>
      </c>
      <c r="C79" s="153">
        <v>2020</v>
      </c>
      <c r="D79" s="154" t="s">
        <v>158</v>
      </c>
      <c r="E79" s="164">
        <v>120</v>
      </c>
      <c r="F79" s="152" t="s">
        <v>165</v>
      </c>
    </row>
    <row r="80" spans="1:6" hidden="1">
      <c r="A80" s="153">
        <v>72</v>
      </c>
      <c r="B80" s="153">
        <v>33</v>
      </c>
      <c r="C80" s="153">
        <v>2020</v>
      </c>
      <c r="D80" s="162" t="s">
        <v>160</v>
      </c>
      <c r="E80" s="158">
        <v>600</v>
      </c>
    </row>
    <row r="81" spans="1:6" hidden="1">
      <c r="A81" s="153">
        <v>34</v>
      </c>
      <c r="B81" s="153">
        <v>33</v>
      </c>
      <c r="C81" s="153">
        <v>2020</v>
      </c>
      <c r="D81" s="154" t="s">
        <v>159</v>
      </c>
      <c r="E81" s="158">
        <v>600</v>
      </c>
    </row>
    <row r="82" spans="1:6" hidden="1">
      <c r="A82" s="153">
        <v>12</v>
      </c>
      <c r="B82" s="153">
        <v>34</v>
      </c>
      <c r="C82" s="153">
        <v>2021</v>
      </c>
      <c r="D82" s="154" t="s">
        <v>158</v>
      </c>
      <c r="E82" s="163">
        <v>20</v>
      </c>
    </row>
    <row r="83" spans="1:6">
      <c r="A83" s="153">
        <v>17</v>
      </c>
      <c r="B83" s="153">
        <v>34</v>
      </c>
      <c r="C83" s="153">
        <v>2021</v>
      </c>
      <c r="D83" s="154" t="s">
        <v>158</v>
      </c>
      <c r="E83" s="164">
        <v>120</v>
      </c>
      <c r="F83" s="152" t="s">
        <v>165</v>
      </c>
    </row>
    <row r="84" spans="1:6" hidden="1">
      <c r="A84" s="153">
        <v>74</v>
      </c>
      <c r="B84" s="153">
        <v>34</v>
      </c>
      <c r="C84" s="153">
        <v>2021</v>
      </c>
      <c r="D84" s="162" t="s">
        <v>160</v>
      </c>
      <c r="E84" s="158">
        <v>600</v>
      </c>
    </row>
    <row r="85" spans="1:6" hidden="1">
      <c r="A85" s="153">
        <v>43</v>
      </c>
      <c r="B85" s="153">
        <v>34</v>
      </c>
      <c r="C85" s="153">
        <v>2021</v>
      </c>
      <c r="D85" s="154" t="s">
        <v>159</v>
      </c>
      <c r="E85" s="158">
        <v>600</v>
      </c>
    </row>
    <row r="86" spans="1:6" hidden="1">
      <c r="A86" s="153">
        <v>14</v>
      </c>
      <c r="B86" s="153">
        <v>35</v>
      </c>
      <c r="C86" s="153">
        <v>2021</v>
      </c>
      <c r="D86" s="154" t="s">
        <v>158</v>
      </c>
      <c r="E86" s="163">
        <v>20</v>
      </c>
    </row>
    <row r="87" spans="1:6">
      <c r="A87" s="153">
        <v>20</v>
      </c>
      <c r="B87" s="153">
        <v>35</v>
      </c>
      <c r="C87" s="153">
        <v>2021</v>
      </c>
      <c r="D87" s="154" t="s">
        <v>158</v>
      </c>
      <c r="E87" s="164">
        <v>120</v>
      </c>
      <c r="F87" s="152" t="s">
        <v>165</v>
      </c>
    </row>
    <row r="88" spans="1:6" hidden="1">
      <c r="A88" s="153">
        <v>75</v>
      </c>
      <c r="B88" s="153">
        <v>35</v>
      </c>
      <c r="C88" s="153">
        <v>2021</v>
      </c>
      <c r="D88" s="162" t="s">
        <v>160</v>
      </c>
      <c r="E88" s="158">
        <v>600</v>
      </c>
    </row>
    <row r="89" spans="1:6" hidden="1">
      <c r="A89" s="153">
        <v>41</v>
      </c>
      <c r="B89" s="153">
        <v>35</v>
      </c>
      <c r="C89" s="153">
        <v>2021</v>
      </c>
      <c r="D89" s="154" t="s">
        <v>159</v>
      </c>
      <c r="E89" s="158">
        <v>600</v>
      </c>
    </row>
    <row r="90" spans="1:6" hidden="1">
      <c r="A90" s="153">
        <v>16</v>
      </c>
      <c r="B90" s="153">
        <v>36</v>
      </c>
      <c r="C90" s="153">
        <v>2021</v>
      </c>
      <c r="D90" s="154" t="s">
        <v>158</v>
      </c>
      <c r="E90" s="163">
        <v>20</v>
      </c>
    </row>
    <row r="91" spans="1:6">
      <c r="A91" s="153">
        <v>21</v>
      </c>
      <c r="B91" s="153">
        <v>36</v>
      </c>
      <c r="C91" s="153">
        <v>2021</v>
      </c>
      <c r="D91" s="154" t="s">
        <v>158</v>
      </c>
      <c r="E91" s="164">
        <v>120</v>
      </c>
      <c r="F91" s="152" t="s">
        <v>165</v>
      </c>
    </row>
    <row r="92" spans="1:6" hidden="1">
      <c r="A92" s="153">
        <v>76</v>
      </c>
      <c r="B92" s="153">
        <v>36</v>
      </c>
      <c r="C92" s="153">
        <v>2021</v>
      </c>
      <c r="D92" s="162" t="s">
        <v>160</v>
      </c>
      <c r="E92" s="158">
        <v>600</v>
      </c>
    </row>
    <row r="93" spans="1:6" hidden="1">
      <c r="A93" s="153">
        <v>42</v>
      </c>
      <c r="B93" s="153">
        <v>36</v>
      </c>
      <c r="C93" s="153">
        <v>2021</v>
      </c>
      <c r="D93" s="154" t="s">
        <v>159</v>
      </c>
      <c r="E93" s="158">
        <v>600</v>
      </c>
    </row>
    <row r="94" spans="1:6" hidden="1">
      <c r="A94" s="153">
        <v>15</v>
      </c>
      <c r="B94" s="153">
        <v>37</v>
      </c>
      <c r="C94" s="153">
        <v>2021</v>
      </c>
      <c r="D94" s="154" t="s">
        <v>158</v>
      </c>
      <c r="E94" s="163">
        <v>20</v>
      </c>
    </row>
    <row r="95" spans="1:6">
      <c r="A95" s="153">
        <v>18</v>
      </c>
      <c r="B95" s="153">
        <v>37</v>
      </c>
      <c r="C95" s="153">
        <v>2021</v>
      </c>
      <c r="D95" s="154" t="s">
        <v>158</v>
      </c>
      <c r="E95" s="164">
        <v>120</v>
      </c>
      <c r="F95" s="152" t="s">
        <v>165</v>
      </c>
    </row>
    <row r="96" spans="1:6" hidden="1">
      <c r="A96" s="153">
        <v>77</v>
      </c>
      <c r="B96" s="153">
        <v>37</v>
      </c>
      <c r="C96" s="153">
        <v>2021</v>
      </c>
      <c r="D96" s="162" t="s">
        <v>160</v>
      </c>
      <c r="E96" s="158">
        <v>600</v>
      </c>
    </row>
    <row r="97" spans="1:6" hidden="1">
      <c r="A97" s="153">
        <v>44</v>
      </c>
      <c r="B97" s="153">
        <v>37</v>
      </c>
      <c r="C97" s="153">
        <v>2021</v>
      </c>
      <c r="D97" s="154" t="s">
        <v>159</v>
      </c>
      <c r="E97" s="158">
        <v>600</v>
      </c>
    </row>
    <row r="98" spans="1:6" hidden="1">
      <c r="A98" s="153">
        <v>13</v>
      </c>
      <c r="B98" s="153">
        <v>38</v>
      </c>
      <c r="C98" s="153">
        <v>2021</v>
      </c>
      <c r="D98" s="154" t="s">
        <v>158</v>
      </c>
      <c r="E98" s="163">
        <v>20</v>
      </c>
    </row>
    <row r="99" spans="1:6">
      <c r="A99" s="153">
        <v>19</v>
      </c>
      <c r="B99" s="153">
        <v>38</v>
      </c>
      <c r="C99" s="153">
        <v>2021</v>
      </c>
      <c r="D99" s="154" t="s">
        <v>158</v>
      </c>
      <c r="E99" s="164">
        <v>120</v>
      </c>
      <c r="F99" s="152" t="s">
        <v>165</v>
      </c>
    </row>
    <row r="100" spans="1:6" hidden="1">
      <c r="A100" s="153">
        <v>73</v>
      </c>
      <c r="B100" s="153">
        <v>38</v>
      </c>
      <c r="C100" s="153">
        <v>2021</v>
      </c>
      <c r="D100" s="162" t="s">
        <v>160</v>
      </c>
      <c r="E100" s="158">
        <v>600</v>
      </c>
    </row>
    <row r="101" spans="1:6" hidden="1">
      <c r="A101" s="153">
        <v>45</v>
      </c>
      <c r="B101" s="153">
        <v>38</v>
      </c>
      <c r="C101" s="153">
        <v>2021</v>
      </c>
      <c r="D101" s="154" t="s">
        <v>159</v>
      </c>
      <c r="E101" s="158">
        <v>600</v>
      </c>
    </row>
    <row r="102" spans="1:6">
      <c r="A102" s="153">
        <v>22</v>
      </c>
      <c r="B102" s="153">
        <v>61</v>
      </c>
      <c r="C102" s="153">
        <v>2023</v>
      </c>
      <c r="D102" s="154" t="s">
        <v>158</v>
      </c>
      <c r="E102" s="164">
        <v>120</v>
      </c>
      <c r="F102" s="152" t="s">
        <v>165</v>
      </c>
    </row>
    <row r="103" spans="1:6" hidden="1">
      <c r="A103" s="153">
        <v>85</v>
      </c>
      <c r="B103" s="153">
        <v>61</v>
      </c>
      <c r="C103" s="153">
        <v>2023</v>
      </c>
      <c r="D103" s="162" t="s">
        <v>160</v>
      </c>
      <c r="E103" s="165">
        <v>200</v>
      </c>
    </row>
    <row r="104" spans="1:6" hidden="1">
      <c r="A104" s="153">
        <v>46</v>
      </c>
      <c r="B104" s="153">
        <v>61</v>
      </c>
      <c r="C104" s="153">
        <v>2023</v>
      </c>
      <c r="D104" s="154" t="s">
        <v>159</v>
      </c>
      <c r="E104" s="165">
        <v>200</v>
      </c>
    </row>
    <row r="105" spans="1:6">
      <c r="A105" s="153">
        <v>23</v>
      </c>
      <c r="B105" s="153">
        <v>62</v>
      </c>
      <c r="C105" s="153">
        <v>2023</v>
      </c>
      <c r="D105" s="154" t="s">
        <v>158</v>
      </c>
      <c r="E105" s="164">
        <v>120</v>
      </c>
      <c r="F105" s="152" t="s">
        <v>165</v>
      </c>
    </row>
    <row r="106" spans="1:6" hidden="1">
      <c r="A106" s="153">
        <v>84</v>
      </c>
      <c r="B106" s="153">
        <v>62</v>
      </c>
      <c r="C106" s="153">
        <v>2023</v>
      </c>
      <c r="D106" s="162" t="s">
        <v>160</v>
      </c>
      <c r="E106" s="165">
        <v>200</v>
      </c>
    </row>
    <row r="107" spans="1:6" hidden="1">
      <c r="A107" s="153">
        <v>47</v>
      </c>
      <c r="B107" s="153">
        <v>62</v>
      </c>
      <c r="C107" s="153">
        <v>2023</v>
      </c>
      <c r="D107" s="154" t="s">
        <v>159</v>
      </c>
      <c r="E107" s="165">
        <v>200</v>
      </c>
    </row>
    <row r="108" spans="1:6">
      <c r="A108" s="153">
        <v>24</v>
      </c>
      <c r="B108" s="153">
        <v>63</v>
      </c>
      <c r="C108" s="153">
        <v>2023</v>
      </c>
      <c r="D108" s="154" t="s">
        <v>158</v>
      </c>
      <c r="E108" s="164">
        <v>120</v>
      </c>
      <c r="F108" s="152" t="s">
        <v>165</v>
      </c>
    </row>
    <row r="109" spans="1:6" hidden="1">
      <c r="A109" s="153">
        <v>83</v>
      </c>
      <c r="B109" s="153">
        <v>63</v>
      </c>
      <c r="C109" s="153">
        <v>2023</v>
      </c>
      <c r="D109" s="162" t="s">
        <v>160</v>
      </c>
      <c r="E109" s="165">
        <v>200</v>
      </c>
    </row>
    <row r="110" spans="1:6" hidden="1">
      <c r="A110" s="153">
        <v>48</v>
      </c>
      <c r="B110" s="153">
        <v>63</v>
      </c>
      <c r="C110" s="153">
        <v>2023</v>
      </c>
      <c r="D110" s="154" t="s">
        <v>159</v>
      </c>
      <c r="E110" s="165">
        <v>200</v>
      </c>
    </row>
    <row r="111" spans="1:6">
      <c r="A111" s="153">
        <v>25</v>
      </c>
      <c r="B111" s="153">
        <v>64</v>
      </c>
      <c r="C111" s="153">
        <v>2023</v>
      </c>
      <c r="D111" s="154" t="s">
        <v>158</v>
      </c>
      <c r="E111" s="164">
        <v>120</v>
      </c>
      <c r="F111" s="152" t="s">
        <v>165</v>
      </c>
    </row>
    <row r="112" spans="1:6" hidden="1">
      <c r="A112" s="153">
        <v>82</v>
      </c>
      <c r="B112" s="153">
        <v>64</v>
      </c>
      <c r="C112" s="153">
        <v>2023</v>
      </c>
      <c r="D112" s="162" t="s">
        <v>160</v>
      </c>
      <c r="E112" s="165">
        <v>200</v>
      </c>
    </row>
    <row r="113" spans="1:6" hidden="1">
      <c r="A113" s="153">
        <v>49</v>
      </c>
      <c r="B113" s="153">
        <v>64</v>
      </c>
      <c r="C113" s="153">
        <v>2023</v>
      </c>
      <c r="D113" s="154" t="s">
        <v>159</v>
      </c>
      <c r="E113" s="165">
        <v>200</v>
      </c>
    </row>
    <row r="114" spans="1:6">
      <c r="A114" s="153">
        <v>26</v>
      </c>
      <c r="B114" s="153">
        <v>65</v>
      </c>
      <c r="C114" s="153">
        <v>2023</v>
      </c>
      <c r="D114" s="154" t="s">
        <v>158</v>
      </c>
      <c r="E114" s="164">
        <v>120</v>
      </c>
      <c r="F114" s="152" t="s">
        <v>165</v>
      </c>
    </row>
    <row r="115" spans="1:6" hidden="1">
      <c r="A115" s="153">
        <v>81</v>
      </c>
      <c r="B115" s="153">
        <v>65</v>
      </c>
      <c r="C115" s="153">
        <v>2023</v>
      </c>
      <c r="D115" s="162" t="s">
        <v>160</v>
      </c>
      <c r="E115" s="165">
        <v>200</v>
      </c>
    </row>
    <row r="116" spans="1:6" hidden="1">
      <c r="A116" s="153">
        <v>50</v>
      </c>
      <c r="B116" s="153">
        <v>65</v>
      </c>
      <c r="C116" s="153">
        <v>2023</v>
      </c>
      <c r="D116" s="154" t="s">
        <v>159</v>
      </c>
      <c r="E116" s="165">
        <v>200</v>
      </c>
    </row>
    <row r="117" spans="1:6">
      <c r="A117" s="153">
        <v>27</v>
      </c>
      <c r="B117" s="153">
        <v>67</v>
      </c>
      <c r="C117" s="153">
        <v>2023</v>
      </c>
      <c r="D117" s="154" t="s">
        <v>158</v>
      </c>
      <c r="E117" s="164">
        <v>120</v>
      </c>
      <c r="F117" s="152" t="s">
        <v>165</v>
      </c>
    </row>
    <row r="118" spans="1:6" hidden="1">
      <c r="A118" s="153">
        <v>80</v>
      </c>
      <c r="B118" s="153">
        <v>67</v>
      </c>
      <c r="C118" s="153">
        <v>2023</v>
      </c>
      <c r="D118" s="162" t="s">
        <v>160</v>
      </c>
      <c r="E118" s="165">
        <v>200</v>
      </c>
    </row>
    <row r="119" spans="1:6" hidden="1">
      <c r="A119" s="153">
        <v>51</v>
      </c>
      <c r="B119" s="153">
        <v>67</v>
      </c>
      <c r="C119" s="153">
        <v>2023</v>
      </c>
      <c r="D119" s="154" t="s">
        <v>159</v>
      </c>
      <c r="E119" s="165">
        <v>200</v>
      </c>
    </row>
    <row r="120" spans="1:6">
      <c r="A120" s="153">
        <v>28</v>
      </c>
      <c r="B120" s="153">
        <v>68</v>
      </c>
      <c r="C120" s="153">
        <v>2023</v>
      </c>
      <c r="D120" s="154" t="s">
        <v>158</v>
      </c>
      <c r="E120" s="164">
        <v>120</v>
      </c>
      <c r="F120" s="152" t="s">
        <v>165</v>
      </c>
    </row>
    <row r="121" spans="1:6" hidden="1">
      <c r="A121" s="153">
        <v>78</v>
      </c>
      <c r="B121" s="153">
        <v>68</v>
      </c>
      <c r="C121" s="153">
        <v>2023</v>
      </c>
      <c r="D121" s="162" t="s">
        <v>160</v>
      </c>
      <c r="E121" s="165">
        <v>200</v>
      </c>
    </row>
    <row r="122" spans="1:6" hidden="1">
      <c r="A122" s="153">
        <v>52</v>
      </c>
      <c r="B122" s="153">
        <v>68</v>
      </c>
      <c r="C122" s="153">
        <v>2023</v>
      </c>
      <c r="D122" s="154" t="s">
        <v>159</v>
      </c>
      <c r="E122" s="165">
        <v>200</v>
      </c>
    </row>
    <row r="123" spans="1:6">
      <c r="A123" s="153">
        <v>29</v>
      </c>
      <c r="B123" s="153">
        <v>69</v>
      </c>
      <c r="C123" s="153">
        <v>2023</v>
      </c>
      <c r="D123" s="154" t="s">
        <v>158</v>
      </c>
      <c r="E123" s="164">
        <v>120</v>
      </c>
      <c r="F123" s="152" t="s">
        <v>165</v>
      </c>
    </row>
    <row r="124" spans="1:6" hidden="1">
      <c r="A124" s="153">
        <v>79</v>
      </c>
      <c r="B124" s="153">
        <v>69</v>
      </c>
      <c r="C124" s="153">
        <v>2023</v>
      </c>
      <c r="D124" s="162" t="s">
        <v>160</v>
      </c>
      <c r="E124" s="165">
        <v>200</v>
      </c>
    </row>
    <row r="125" spans="1:6" hidden="1">
      <c r="A125" s="153">
        <v>53</v>
      </c>
      <c r="B125" s="153">
        <v>69</v>
      </c>
      <c r="C125" s="153">
        <v>2023</v>
      </c>
      <c r="D125" s="154" t="s">
        <v>159</v>
      </c>
      <c r="E125" s="165">
        <v>200</v>
      </c>
    </row>
    <row r="126" spans="1:6">
      <c r="A126" s="153">
        <v>30</v>
      </c>
      <c r="B126" s="153">
        <v>87</v>
      </c>
      <c r="C126" s="153">
        <v>2024</v>
      </c>
      <c r="D126" s="154" t="s">
        <v>158</v>
      </c>
      <c r="E126" s="164">
        <v>120</v>
      </c>
      <c r="F126" s="152" t="s">
        <v>165</v>
      </c>
    </row>
    <row r="127" spans="1:6" hidden="1">
      <c r="A127" s="153">
        <v>86</v>
      </c>
      <c r="B127" s="153">
        <v>87</v>
      </c>
      <c r="C127" s="153">
        <v>2024</v>
      </c>
      <c r="D127" s="162" t="s">
        <v>160</v>
      </c>
      <c r="E127" s="165">
        <v>200</v>
      </c>
    </row>
    <row r="128" spans="1:6">
      <c r="A128" s="153">
        <v>33</v>
      </c>
      <c r="B128" s="153">
        <v>88</v>
      </c>
      <c r="C128" s="153">
        <v>2025</v>
      </c>
      <c r="D128" s="154" t="s">
        <v>158</v>
      </c>
      <c r="E128" s="164">
        <v>120</v>
      </c>
      <c r="F128" s="152" t="s">
        <v>165</v>
      </c>
    </row>
    <row r="129" spans="1:6" hidden="1">
      <c r="A129" s="153">
        <v>89</v>
      </c>
      <c r="B129" s="153">
        <v>88</v>
      </c>
      <c r="C129" s="153">
        <v>2025</v>
      </c>
      <c r="D129" s="162" t="s">
        <v>160</v>
      </c>
      <c r="E129" s="165">
        <v>200</v>
      </c>
    </row>
    <row r="130" spans="1:6">
      <c r="A130" s="153">
        <v>31</v>
      </c>
      <c r="B130" s="153">
        <v>89</v>
      </c>
      <c r="C130" s="153">
        <v>2025</v>
      </c>
      <c r="D130" s="154" t="s">
        <v>158</v>
      </c>
      <c r="E130" s="164">
        <v>120</v>
      </c>
      <c r="F130" s="152" t="s">
        <v>165</v>
      </c>
    </row>
    <row r="131" spans="1:6" hidden="1">
      <c r="A131" s="153">
        <v>88</v>
      </c>
      <c r="B131" s="153">
        <v>89</v>
      </c>
      <c r="C131" s="153">
        <v>2025</v>
      </c>
      <c r="D131" s="162" t="s">
        <v>160</v>
      </c>
      <c r="E131" s="165">
        <v>200</v>
      </c>
    </row>
    <row r="132" spans="1:6">
      <c r="A132" s="153">
        <v>32</v>
      </c>
      <c r="B132" s="153">
        <v>90</v>
      </c>
      <c r="C132" s="153">
        <v>2025</v>
      </c>
      <c r="D132" s="154" t="s">
        <v>158</v>
      </c>
      <c r="E132" s="164">
        <v>120</v>
      </c>
      <c r="F132" s="152" t="s">
        <v>165</v>
      </c>
    </row>
    <row r="133" spans="1:6" hidden="1">
      <c r="A133" s="153">
        <v>87</v>
      </c>
      <c r="B133" s="153">
        <v>90</v>
      </c>
      <c r="C133" s="153">
        <v>2025</v>
      </c>
      <c r="D133" s="162" t="s">
        <v>160</v>
      </c>
      <c r="E133" s="165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>
      <selection activeCell="B18" sqref="B18"/>
    </sheetView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topLeftCell="E18" workbookViewId="0">
      <selection activeCell="J25" sqref="J25"/>
    </sheetView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topLeftCell="A202" workbookViewId="0">
      <selection activeCell="A228" sqref="A228"/>
    </sheetView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C8" sqref="C8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3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3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3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3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3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3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3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3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3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3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N11" sqref="N11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8" customWidth="1"/>
    <col min="8" max="8" width="13.85546875" customWidth="1"/>
    <col min="9" max="10" width="13.85546875" style="138" customWidth="1"/>
    <col min="11" max="14" width="9" customWidth="1"/>
  </cols>
  <sheetData>
    <row r="1" spans="2:15">
      <c r="H1" s="118">
        <v>2460695.5345518598</v>
      </c>
      <c r="I1" s="144">
        <f>'89d'!$K$30</f>
        <v>2460736.6349054021</v>
      </c>
      <c r="J1" s="144">
        <v>2460718.6125820568</v>
      </c>
      <c r="M1" s="134">
        <v>41.1</v>
      </c>
    </row>
    <row r="2" spans="2:15">
      <c r="B2" s="149" t="s">
        <v>31</v>
      </c>
      <c r="C2" s="149" t="s">
        <v>139</v>
      </c>
      <c r="D2" s="149" t="s">
        <v>140</v>
      </c>
      <c r="E2" s="149" t="s">
        <v>141</v>
      </c>
      <c r="F2" s="149" t="s">
        <v>142</v>
      </c>
      <c r="G2" s="150" t="s">
        <v>143</v>
      </c>
      <c r="H2" s="134" t="s">
        <v>151</v>
      </c>
      <c r="I2" s="148" t="s">
        <v>150</v>
      </c>
      <c r="J2" s="148" t="s">
        <v>149</v>
      </c>
      <c r="K2" s="151" t="s">
        <v>144</v>
      </c>
      <c r="L2" s="151" t="s">
        <v>145</v>
      </c>
      <c r="M2" s="151" t="s">
        <v>146</v>
      </c>
      <c r="N2" s="151" t="s">
        <v>152</v>
      </c>
    </row>
    <row r="3" spans="2:15">
      <c r="B3" s="120">
        <v>40</v>
      </c>
      <c r="C3" s="19">
        <v>260</v>
      </c>
      <c r="D3" s="19">
        <v>88.8</v>
      </c>
      <c r="E3" s="125">
        <v>4.4499999999999998E-2</v>
      </c>
      <c r="F3" s="125">
        <v>1.4166000000000001</v>
      </c>
      <c r="G3" s="139">
        <v>93.5</v>
      </c>
      <c r="H3" s="66">
        <v>2460688.5068999999</v>
      </c>
      <c r="I3" s="145">
        <v>2460728.1666000001</v>
      </c>
      <c r="J3" s="145"/>
      <c r="K3" s="119">
        <f t="shared" ref="K3:K11" si="0">H3-H$1</f>
        <v>-7.0276518599130213</v>
      </c>
      <c r="L3" s="119">
        <f t="shared" ref="L3:L11" si="1">I3-I$1</f>
        <v>-8.4683054019697011</v>
      </c>
      <c r="M3" s="119">
        <f t="shared" ref="M3:M11" si="2">I3-H3-M$1</f>
        <v>-1.4402999998070314</v>
      </c>
      <c r="N3" s="119"/>
    </row>
    <row r="4" spans="2:15">
      <c r="B4" s="120">
        <v>40</v>
      </c>
      <c r="C4" s="19">
        <v>296.91800000000001</v>
      </c>
      <c r="D4" s="19">
        <v>88.8</v>
      </c>
      <c r="E4" s="125">
        <v>4.4499999999999998E-2</v>
      </c>
      <c r="F4" s="125">
        <v>1.4166000000000001</v>
      </c>
      <c r="G4" s="139">
        <v>93.5</v>
      </c>
      <c r="H4" s="66">
        <v>2460677.0693999999</v>
      </c>
      <c r="I4" s="145">
        <v>2460718.0759999999</v>
      </c>
      <c r="J4" s="145"/>
      <c r="K4" s="119">
        <f t="shared" si="0"/>
        <v>-18.465151859913021</v>
      </c>
      <c r="L4" s="119">
        <f t="shared" si="1"/>
        <v>-18.558905402198434</v>
      </c>
      <c r="M4" s="119">
        <f t="shared" si="2"/>
        <v>-9.3400000035764208E-2</v>
      </c>
      <c r="N4" s="119"/>
    </row>
    <row r="5" spans="2:15">
      <c r="B5" s="120">
        <v>40.200000000000003</v>
      </c>
      <c r="C5" s="19">
        <v>260</v>
      </c>
      <c r="D5" s="19">
        <v>88.8</v>
      </c>
      <c r="E5" s="125">
        <v>4.4499999999999998E-2</v>
      </c>
      <c r="F5" s="125">
        <v>1.4166000000000001</v>
      </c>
      <c r="G5" s="139">
        <v>93.5</v>
      </c>
      <c r="H5" s="66">
        <v>2460697.1943999999</v>
      </c>
      <c r="I5" s="145">
        <v>2460736.8125</v>
      </c>
      <c r="J5" s="145"/>
      <c r="K5" s="119">
        <f t="shared" si="0"/>
        <v>1.6598481400869787</v>
      </c>
      <c r="L5" s="119">
        <f t="shared" si="1"/>
        <v>0.17759459791705012</v>
      </c>
      <c r="M5" s="119">
        <f t="shared" si="2"/>
        <v>-1.4818999999202802</v>
      </c>
      <c r="N5" s="119"/>
    </row>
    <row r="6" spans="2:15">
      <c r="B6" s="120">
        <v>40.5</v>
      </c>
      <c r="C6" s="19">
        <v>275</v>
      </c>
      <c r="D6" s="19">
        <v>88.8</v>
      </c>
      <c r="E6" s="125">
        <v>4.4499999999999998E-2</v>
      </c>
      <c r="F6" s="125">
        <v>1.4166000000000001</v>
      </c>
      <c r="G6" s="139">
        <v>93.5</v>
      </c>
      <c r="H6" s="66">
        <v>2460678.3610999999</v>
      </c>
      <c r="I6" s="145">
        <v>2460718.8818999999</v>
      </c>
      <c r="J6" s="145"/>
      <c r="K6" s="119">
        <f t="shared" si="0"/>
        <v>-17.173451859969646</v>
      </c>
      <c r="L6" s="119">
        <f t="shared" si="1"/>
        <v>-17.753005402162671</v>
      </c>
      <c r="M6" s="119">
        <f t="shared" si="2"/>
        <v>-0.57919999994337701</v>
      </c>
      <c r="N6" s="119"/>
    </row>
    <row r="7" spans="2:15">
      <c r="B7" s="120">
        <v>40.5</v>
      </c>
      <c r="C7" s="19">
        <v>287</v>
      </c>
      <c r="D7" s="19">
        <v>88.8</v>
      </c>
      <c r="E7" s="125">
        <v>4.4499999999999998E-2</v>
      </c>
      <c r="F7" s="125">
        <v>1.4166000000000001</v>
      </c>
      <c r="G7" s="139">
        <v>93.5</v>
      </c>
      <c r="H7" s="66">
        <v>2460689.2083000001</v>
      </c>
      <c r="I7" s="145">
        <v>2460730.4722000002</v>
      </c>
      <c r="J7" s="145"/>
      <c r="K7" s="119">
        <f t="shared" si="0"/>
        <v>-6.3262518597766757</v>
      </c>
      <c r="L7" s="119">
        <f t="shared" si="1"/>
        <v>-6.1627054018899798</v>
      </c>
      <c r="M7" s="119">
        <f t="shared" si="2"/>
        <v>0.1639000001363442</v>
      </c>
      <c r="N7" s="119"/>
    </row>
    <row r="8" spans="2:15">
      <c r="B8" s="120">
        <v>40.5</v>
      </c>
      <c r="C8" s="19">
        <v>296.91800000000001</v>
      </c>
      <c r="D8" s="19">
        <v>88.8</v>
      </c>
      <c r="E8" s="125">
        <v>4.4499999999999998E-2</v>
      </c>
      <c r="F8" s="125">
        <v>1.4166000000000001</v>
      </c>
      <c r="G8" s="139">
        <v>93.5</v>
      </c>
      <c r="H8" s="66">
        <v>2460693.5550000002</v>
      </c>
      <c r="I8" s="145">
        <v>2460735.1310000001</v>
      </c>
      <c r="J8" s="145"/>
      <c r="K8" s="119">
        <f t="shared" si="0"/>
        <v>-1.9795518596656621</v>
      </c>
      <c r="L8" s="119">
        <f t="shared" si="1"/>
        <v>-1.5039054020307958</v>
      </c>
      <c r="M8" s="119">
        <f t="shared" si="2"/>
        <v>0.47599999988451458</v>
      </c>
      <c r="N8" s="119"/>
    </row>
    <row r="9" spans="2:15">
      <c r="B9" s="120">
        <v>40.5</v>
      </c>
      <c r="C9" s="19">
        <v>300</v>
      </c>
      <c r="D9" s="19">
        <v>88.8</v>
      </c>
      <c r="E9" s="125">
        <v>4.4499999999999998E-2</v>
      </c>
      <c r="F9" s="125">
        <v>1.4166000000000001</v>
      </c>
      <c r="G9" s="139">
        <v>93.5</v>
      </c>
      <c r="H9" s="66">
        <v>2460694.6041000001</v>
      </c>
      <c r="I9" s="145">
        <v>2460736.2637999998</v>
      </c>
      <c r="J9" s="145"/>
      <c r="K9" s="119">
        <f t="shared" si="0"/>
        <v>-0.93045185972005129</v>
      </c>
      <c r="L9" s="119">
        <f t="shared" si="1"/>
        <v>-0.3711054022423923</v>
      </c>
      <c r="M9" s="119">
        <f t="shared" si="2"/>
        <v>0.55969999972730733</v>
      </c>
      <c r="N9" s="119"/>
    </row>
    <row r="10" spans="2:15">
      <c r="B10" s="120">
        <v>40.563400000000001</v>
      </c>
      <c r="C10" s="19">
        <v>296.91800000000001</v>
      </c>
      <c r="D10" s="19">
        <v>88.8</v>
      </c>
      <c r="E10" s="125">
        <v>4.4499999999999998E-2</v>
      </c>
      <c r="F10" s="125">
        <v>1.4166000000000001</v>
      </c>
      <c r="G10" s="139">
        <v>93.5</v>
      </c>
      <c r="H10" s="66">
        <v>2460695.5068999999</v>
      </c>
      <c r="I10" s="145">
        <v>2460737.14</v>
      </c>
      <c r="J10" s="145"/>
      <c r="K10" s="119">
        <f t="shared" si="0"/>
        <v>-2.7651859913021326E-2</v>
      </c>
      <c r="L10" s="119">
        <f t="shared" si="1"/>
        <v>0.50509459804743528</v>
      </c>
      <c r="M10" s="119">
        <f t="shared" si="2"/>
        <v>0.53310000021010495</v>
      </c>
      <c r="N10" s="119"/>
    </row>
    <row r="11" spans="2:15">
      <c r="B11" s="135">
        <v>40.563400000000001</v>
      </c>
      <c r="C11" s="136">
        <v>280.60000000000002</v>
      </c>
      <c r="D11" s="19">
        <v>88.8</v>
      </c>
      <c r="E11" s="137">
        <v>4.4499999999999998E-2</v>
      </c>
      <c r="F11" s="137">
        <v>1.4166000000000001</v>
      </c>
      <c r="G11" s="140">
        <v>93.5</v>
      </c>
      <c r="H11" s="66">
        <v>2460687.7985999999</v>
      </c>
      <c r="I11" s="145">
        <v>2460728.8958000001</v>
      </c>
      <c r="J11" s="145">
        <v>2460720.1804999998</v>
      </c>
      <c r="K11" s="119">
        <f t="shared" si="0"/>
        <v>-7.7359518599696457</v>
      </c>
      <c r="L11" s="119">
        <f t="shared" si="1"/>
        <v>-7.7391054020263255</v>
      </c>
      <c r="M11" s="119">
        <f t="shared" si="2"/>
        <v>-2.7999998070313836E-3</v>
      </c>
      <c r="N11" s="119">
        <f t="shared" ref="N11" si="3">J11-$J$1</f>
        <v>1.5679179430007935</v>
      </c>
    </row>
    <row r="12" spans="2:15">
      <c r="B12" s="135">
        <v>40.563400000000001</v>
      </c>
      <c r="C12" s="136">
        <v>280.60000000000002</v>
      </c>
      <c r="D12" s="19">
        <v>88.8</v>
      </c>
      <c r="E12" s="137">
        <v>4.4499999999999998E-2</v>
      </c>
      <c r="F12" s="137">
        <v>1.4166000000000001</v>
      </c>
      <c r="G12" s="141">
        <v>87.5</v>
      </c>
      <c r="H12" s="66">
        <v>2460683.9027</v>
      </c>
      <c r="I12" s="145">
        <v>2460724.7152</v>
      </c>
      <c r="J12" s="145"/>
      <c r="K12" s="119">
        <f t="shared" ref="K12:K13" si="4">H12-H$1</f>
        <v>-11.631851859856397</v>
      </c>
      <c r="L12" s="119">
        <f t="shared" ref="L12:L13" si="5">I12-I$1</f>
        <v>-11.919705402106047</v>
      </c>
      <c r="M12" s="119">
        <f t="shared" ref="M12:M13" si="6">I12-H12-M$1</f>
        <v>-0.28750000000000142</v>
      </c>
      <c r="N12" s="119"/>
    </row>
    <row r="13" spans="2:15">
      <c r="B13" s="135">
        <v>40.563400000000001</v>
      </c>
      <c r="C13" s="136">
        <v>280.60000000000002</v>
      </c>
      <c r="D13" s="19">
        <v>88.8</v>
      </c>
      <c r="E13" s="137">
        <v>4.4499999999999998E-2</v>
      </c>
      <c r="F13" s="137">
        <v>1.4166000000000001</v>
      </c>
      <c r="G13" s="141">
        <v>99.5</v>
      </c>
      <c r="H13" s="66">
        <v>2460690.7708000001</v>
      </c>
      <c r="I13" s="145">
        <v>2460732.1041000001</v>
      </c>
      <c r="J13" s="145"/>
      <c r="K13" s="119">
        <f t="shared" si="4"/>
        <v>-4.7637518597766757</v>
      </c>
      <c r="L13" s="119">
        <f t="shared" si="5"/>
        <v>-4.5308054019697011</v>
      </c>
      <c r="M13" s="119">
        <f t="shared" si="6"/>
        <v>0.23330000005662299</v>
      </c>
      <c r="N13" s="119"/>
      <c r="O13" s="119"/>
    </row>
    <row r="14" spans="2:15">
      <c r="B14" s="135">
        <v>40.563400000000001</v>
      </c>
      <c r="C14" s="136">
        <v>280.60000000000002</v>
      </c>
      <c r="D14" s="19">
        <v>88.8</v>
      </c>
      <c r="E14" s="137">
        <v>4.4499999999999998E-2</v>
      </c>
      <c r="F14" s="137">
        <v>1.4166000000000001</v>
      </c>
      <c r="G14" s="141">
        <v>109</v>
      </c>
      <c r="H14" s="66">
        <v>2460694.0554999998</v>
      </c>
      <c r="I14" s="145">
        <v>2460735.7083000001</v>
      </c>
      <c r="J14" s="145"/>
      <c r="K14" s="119">
        <f t="shared" ref="K14:K16" si="7">H14-H$1</f>
        <v>-1.479051860049367</v>
      </c>
      <c r="L14" s="119">
        <f t="shared" ref="L14:L16" si="8">I14-I$1</f>
        <v>-0.92660540202632546</v>
      </c>
      <c r="M14" s="119">
        <f t="shared" ref="M14:M16" si="9">I14-H14-M$1</f>
        <v>0.55280000027268983</v>
      </c>
      <c r="N14" s="119"/>
    </row>
    <row r="15" spans="2:15">
      <c r="B15" s="135">
        <v>40.563400000000001</v>
      </c>
      <c r="C15" s="128">
        <v>290</v>
      </c>
      <c r="D15" s="19">
        <v>88.8</v>
      </c>
      <c r="E15" s="137">
        <v>4.4499999999999998E-2</v>
      </c>
      <c r="F15" s="137">
        <v>1.4166000000000001</v>
      </c>
      <c r="G15" s="141">
        <v>87.5</v>
      </c>
      <c r="H15" s="66">
        <v>2460689.9512999998</v>
      </c>
      <c r="I15" s="145">
        <v>2460731.1387999998</v>
      </c>
      <c r="J15" s="145">
        <v>2460720.2985999999</v>
      </c>
      <c r="K15" s="119">
        <f t="shared" si="7"/>
        <v>-5.5832518599927425</v>
      </c>
      <c r="L15" s="119">
        <f t="shared" si="8"/>
        <v>-5.4961054022423923</v>
      </c>
      <c r="M15" s="119">
        <f t="shared" si="9"/>
        <v>8.7499999999998579E-2</v>
      </c>
      <c r="N15" s="119">
        <f t="shared" ref="N15:N16" si="10">J15-$J$1</f>
        <v>1.6860179430805147</v>
      </c>
    </row>
    <row r="16" spans="2:15">
      <c r="B16" s="135">
        <v>40.563400000000001</v>
      </c>
      <c r="C16" s="128">
        <v>300</v>
      </c>
      <c r="D16" s="19">
        <v>88.8</v>
      </c>
      <c r="E16" s="137">
        <v>4.4499999999999998E-2</v>
      </c>
      <c r="F16" s="137">
        <v>1.4166000000000001</v>
      </c>
      <c r="G16" s="141">
        <v>80</v>
      </c>
      <c r="H16" s="66">
        <v>2460691.7152</v>
      </c>
      <c r="I16" s="145">
        <v>2460732.9512999998</v>
      </c>
      <c r="J16" s="145">
        <v>2460720.3887999998</v>
      </c>
      <c r="K16" s="119">
        <f t="shared" si="7"/>
        <v>-3.8193518598563969</v>
      </c>
      <c r="L16" s="119">
        <f t="shared" si="8"/>
        <v>-3.6836054022423923</v>
      </c>
      <c r="M16" s="119">
        <f t="shared" si="9"/>
        <v>0.13609999986365295</v>
      </c>
      <c r="N16" s="119">
        <f t="shared" si="10"/>
        <v>1.7762179430574179</v>
      </c>
    </row>
    <row r="17" spans="1:14">
      <c r="A17" t="s">
        <v>148</v>
      </c>
      <c r="B17" s="135">
        <v>40.563400000000001</v>
      </c>
      <c r="C17" s="128">
        <v>310</v>
      </c>
      <c r="D17" s="19">
        <v>88.8</v>
      </c>
      <c r="E17" s="137">
        <v>4.4499999999999998E-2</v>
      </c>
      <c r="F17" s="137">
        <v>1.4166000000000001</v>
      </c>
      <c r="G17" s="141">
        <v>70</v>
      </c>
      <c r="H17" s="66">
        <v>2460692.2291000001</v>
      </c>
      <c r="I17" s="145">
        <v>2460733.3958000001</v>
      </c>
      <c r="J17" s="145">
        <v>2460720.4722000002</v>
      </c>
      <c r="K17" s="119">
        <f t="shared" ref="K17" si="11">H17-H$1</f>
        <v>-3.3054518597200513</v>
      </c>
      <c r="L17" s="119">
        <f t="shared" ref="L17" si="12">I17-I$1</f>
        <v>-3.2391054020263255</v>
      </c>
      <c r="M17" s="119">
        <f t="shared" ref="M17" si="13">I17-H17-M$1</f>
        <v>6.6699999943374166E-2</v>
      </c>
      <c r="N17" s="119">
        <f>J17-$J$1</f>
        <v>1.8596179434098303</v>
      </c>
    </row>
    <row r="18" spans="1:14">
      <c r="B18" s="120">
        <v>40.6</v>
      </c>
      <c r="C18" s="19">
        <v>287</v>
      </c>
      <c r="D18" s="19">
        <v>88.8</v>
      </c>
      <c r="E18" s="125">
        <v>4.4499999999999998E-2</v>
      </c>
      <c r="F18" s="125">
        <v>1.4166000000000001</v>
      </c>
      <c r="G18" s="139">
        <v>93.5</v>
      </c>
      <c r="H18" s="66">
        <v>2460692.4443999999</v>
      </c>
      <c r="I18" s="145">
        <v>2460733.7985999999</v>
      </c>
      <c r="J18" s="145"/>
      <c r="K18" s="119">
        <f t="shared" ref="K18:K31" si="14">H18-H$1</f>
        <v>-3.0901518599130213</v>
      </c>
      <c r="L18" s="119">
        <f t="shared" ref="L18:L31" si="15">I18-I$1</f>
        <v>-2.8363054022192955</v>
      </c>
      <c r="M18" s="119">
        <f t="shared" ref="M18:M31" si="16">I18-H18-M$1</f>
        <v>0.25419999994337417</v>
      </c>
      <c r="N18" s="119"/>
    </row>
    <row r="19" spans="1:14">
      <c r="B19" s="120">
        <v>40.6</v>
      </c>
      <c r="C19" s="19">
        <v>296.91800000000001</v>
      </c>
      <c r="D19" s="19">
        <v>88.8</v>
      </c>
      <c r="E19" s="125">
        <v>4.4499999999999998E-2</v>
      </c>
      <c r="F19" s="125">
        <v>1.4166000000000001</v>
      </c>
      <c r="G19" s="139">
        <v>93.5</v>
      </c>
      <c r="H19" s="66">
        <v>2460696.625</v>
      </c>
      <c r="I19" s="145">
        <v>2460738.298</v>
      </c>
      <c r="J19" s="145"/>
      <c r="K19" s="119">
        <f t="shared" si="14"/>
        <v>1.0904481401666999</v>
      </c>
      <c r="L19" s="119">
        <f t="shared" si="15"/>
        <v>1.6630945978686213</v>
      </c>
      <c r="M19" s="119">
        <f t="shared" si="16"/>
        <v>0.57299999995156981</v>
      </c>
      <c r="N19" s="119"/>
    </row>
    <row r="20" spans="1:14">
      <c r="B20" s="120">
        <v>40.700000000000003</v>
      </c>
      <c r="C20" s="19">
        <v>287</v>
      </c>
      <c r="D20" s="19">
        <v>88.8</v>
      </c>
      <c r="E20" s="125">
        <v>4.4499999999999998E-2</v>
      </c>
      <c r="F20" s="125">
        <v>1.4166000000000001</v>
      </c>
      <c r="G20" s="139">
        <v>93.5</v>
      </c>
      <c r="H20" s="66">
        <v>2460695.6179999998</v>
      </c>
      <c r="I20" s="145">
        <v>2460737.0625</v>
      </c>
      <c r="J20" s="145"/>
      <c r="K20" s="119">
        <f t="shared" si="14"/>
        <v>8.3448139950633049E-2</v>
      </c>
      <c r="L20" s="119">
        <f t="shared" si="15"/>
        <v>0.42759459791705012</v>
      </c>
      <c r="M20" s="119">
        <f t="shared" si="16"/>
        <v>0.34450000021606542</v>
      </c>
      <c r="N20" s="119"/>
    </row>
    <row r="21" spans="1:14">
      <c r="B21" s="120">
        <v>40.799999999999997</v>
      </c>
      <c r="C21" s="19">
        <v>275</v>
      </c>
      <c r="D21" s="19">
        <v>88.8</v>
      </c>
      <c r="E21" s="125">
        <v>4.4499999999999998E-2</v>
      </c>
      <c r="F21" s="125">
        <v>1.4166000000000001</v>
      </c>
      <c r="G21" s="139">
        <v>93.5</v>
      </c>
      <c r="H21" s="66">
        <v>2460692.3958000001</v>
      </c>
      <c r="I21" s="145">
        <v>2460733.5137999998</v>
      </c>
      <c r="J21" s="145"/>
      <c r="K21" s="119">
        <f t="shared" si="14"/>
        <v>-3.1387518597766757</v>
      </c>
      <c r="L21" s="119">
        <f t="shared" si="15"/>
        <v>-3.1211054022423923</v>
      </c>
      <c r="M21" s="119">
        <f t="shared" si="16"/>
        <v>1.7999999783931742E-2</v>
      </c>
      <c r="N21" s="119"/>
    </row>
    <row r="22" spans="1:14">
      <c r="B22" s="120">
        <v>40.799999999999997</v>
      </c>
      <c r="C22" s="19">
        <v>281</v>
      </c>
      <c r="D22" s="19">
        <v>88.8</v>
      </c>
      <c r="E22" s="125">
        <v>4.4499999999999998E-2</v>
      </c>
      <c r="F22" s="125">
        <v>1.4166000000000001</v>
      </c>
      <c r="G22" s="139">
        <v>93.5</v>
      </c>
      <c r="H22" s="66">
        <v>2460695.7708000001</v>
      </c>
      <c r="I22" s="145">
        <v>2460737.0972000002</v>
      </c>
      <c r="J22" s="145"/>
      <c r="K22" s="119">
        <f t="shared" si="14"/>
        <v>0.2362481402233243</v>
      </c>
      <c r="L22" s="119">
        <f t="shared" si="15"/>
        <v>0.46229459811002016</v>
      </c>
      <c r="M22" s="119">
        <f t="shared" si="16"/>
        <v>0.2264000001363442</v>
      </c>
      <c r="N22" s="119"/>
    </row>
    <row r="23" spans="1:14">
      <c r="B23" s="120">
        <v>40.799999999999997</v>
      </c>
      <c r="C23" s="19">
        <v>287</v>
      </c>
      <c r="D23" s="19">
        <v>88.8</v>
      </c>
      <c r="E23" s="125">
        <v>4.4499999999999998E-2</v>
      </c>
      <c r="F23" s="125">
        <v>1.4166000000000001</v>
      </c>
      <c r="G23" s="139">
        <v>93.5</v>
      </c>
      <c r="H23" s="66">
        <v>2460698.75</v>
      </c>
      <c r="I23" s="145">
        <v>2460740.2847000002</v>
      </c>
      <c r="J23" s="145"/>
      <c r="K23" s="119">
        <f t="shared" si="14"/>
        <v>3.2154481401666999</v>
      </c>
      <c r="L23" s="119">
        <f t="shared" si="15"/>
        <v>3.6497945981100202</v>
      </c>
      <c r="M23" s="119">
        <f t="shared" si="16"/>
        <v>0.43470000019296862</v>
      </c>
      <c r="N23" s="119"/>
    </row>
    <row r="24" spans="1:14">
      <c r="B24" s="120">
        <v>40.9</v>
      </c>
      <c r="C24" s="19">
        <v>275</v>
      </c>
      <c r="D24" s="19">
        <v>88.8</v>
      </c>
      <c r="E24" s="125">
        <v>4.4499999999999998E-2</v>
      </c>
      <c r="F24" s="125">
        <v>1.4166000000000001</v>
      </c>
      <c r="G24" s="139">
        <v>93.5</v>
      </c>
      <c r="H24" s="66">
        <v>2460695.6666000001</v>
      </c>
      <c r="I24" s="145">
        <v>2460736.8610999999</v>
      </c>
      <c r="J24" s="145"/>
      <c r="K24" s="119">
        <f t="shared" si="14"/>
        <v>0.13204814027994871</v>
      </c>
      <c r="L24" s="119">
        <f t="shared" si="15"/>
        <v>0.2261945977807045</v>
      </c>
      <c r="M24" s="119">
        <f t="shared" si="16"/>
        <v>9.4499999750404129E-2</v>
      </c>
      <c r="N24" s="119"/>
    </row>
    <row r="25" spans="1:14">
      <c r="B25" s="120">
        <v>40.9</v>
      </c>
      <c r="C25" s="19">
        <v>281</v>
      </c>
      <c r="D25" s="19">
        <v>88.8</v>
      </c>
      <c r="E25" s="125">
        <v>4.4499999999999998E-2</v>
      </c>
      <c r="F25" s="125">
        <v>1.4166000000000001</v>
      </c>
      <c r="G25" s="139">
        <v>93.5</v>
      </c>
      <c r="H25" s="66">
        <v>2460698.9512999998</v>
      </c>
      <c r="I25" s="145">
        <v>2460740.3541000001</v>
      </c>
      <c r="J25" s="145"/>
      <c r="K25" s="119">
        <f t="shared" si="14"/>
        <v>3.4167481400072575</v>
      </c>
      <c r="L25" s="119">
        <f t="shared" si="15"/>
        <v>3.7191945980302989</v>
      </c>
      <c r="M25" s="119">
        <f t="shared" si="16"/>
        <v>0.30280000027268983</v>
      </c>
      <c r="N25" s="119"/>
    </row>
    <row r="26" spans="1:14">
      <c r="B26" s="120">
        <v>40.950000000000003</v>
      </c>
      <c r="C26" s="19">
        <v>270</v>
      </c>
      <c r="D26" s="19">
        <v>88.8</v>
      </c>
      <c r="E26" s="125">
        <v>4.4499999999999998E-2</v>
      </c>
      <c r="F26" s="125">
        <v>1.4166000000000001</v>
      </c>
      <c r="G26" s="139">
        <v>93.5</v>
      </c>
      <c r="H26" s="66">
        <v>2460694.3472000002</v>
      </c>
      <c r="I26" s="145">
        <v>2460735.4027</v>
      </c>
      <c r="J26" s="145"/>
      <c r="K26" s="119">
        <f t="shared" si="14"/>
        <v>-1.1873518596403301</v>
      </c>
      <c r="L26" s="119">
        <f t="shared" si="15"/>
        <v>-1.2322054021060467</v>
      </c>
      <c r="M26" s="119">
        <f t="shared" si="16"/>
        <v>-4.4500000216068258E-2</v>
      </c>
      <c r="N26" s="119"/>
    </row>
    <row r="27" spans="1:14">
      <c r="B27" s="120">
        <v>40.98</v>
      </c>
      <c r="C27" s="19">
        <v>270</v>
      </c>
      <c r="D27" s="19">
        <v>88.8</v>
      </c>
      <c r="E27" s="125">
        <v>4.4499999999999998E-2</v>
      </c>
      <c r="F27" s="125">
        <v>1.4166000000000001</v>
      </c>
      <c r="G27" s="139">
        <v>93.5</v>
      </c>
      <c r="H27" s="66">
        <v>2460695.3333000001</v>
      </c>
      <c r="I27" s="145">
        <v>2460736.4166000001</v>
      </c>
      <c r="J27" s="145"/>
      <c r="K27" s="119">
        <f t="shared" si="14"/>
        <v>-0.2012518597766757</v>
      </c>
      <c r="L27" s="119">
        <f t="shared" si="15"/>
        <v>-0.21830540196970105</v>
      </c>
      <c r="M27" s="119">
        <f t="shared" si="16"/>
        <v>-1.6699999943377009E-2</v>
      </c>
      <c r="N27" s="119"/>
    </row>
    <row r="28" spans="1:14">
      <c r="A28" t="s">
        <v>147</v>
      </c>
      <c r="B28" s="129">
        <v>40.985999999999997</v>
      </c>
      <c r="C28" s="130">
        <v>270</v>
      </c>
      <c r="D28" s="130">
        <v>88.8</v>
      </c>
      <c r="E28" s="131">
        <v>4.4499999999999998E-2</v>
      </c>
      <c r="F28" s="131">
        <v>1.4166000000000001</v>
      </c>
      <c r="G28" s="142">
        <v>93.5</v>
      </c>
      <c r="H28" s="132">
        <v>2460695.5277</v>
      </c>
      <c r="I28" s="146">
        <v>2460736.6179999998</v>
      </c>
      <c r="J28" s="146">
        <v>2460726.5</v>
      </c>
      <c r="K28" s="133">
        <f t="shared" si="14"/>
        <v>-6.8518598563969135E-3</v>
      </c>
      <c r="L28" s="133">
        <f t="shared" si="15"/>
        <v>-1.6905402299016714E-2</v>
      </c>
      <c r="M28" s="133">
        <f t="shared" si="16"/>
        <v>-9.7000001929714585E-3</v>
      </c>
      <c r="N28" s="133">
        <f>J28-$J$1</f>
        <v>7.8874179432168603</v>
      </c>
    </row>
    <row r="29" spans="1:14">
      <c r="B29" s="121">
        <v>40.985999999999997</v>
      </c>
      <c r="C29" s="122">
        <v>270</v>
      </c>
      <c r="D29" s="128">
        <v>91</v>
      </c>
      <c r="E29" s="126">
        <v>4.4499999999999998E-2</v>
      </c>
      <c r="F29" s="126">
        <v>1.4166000000000001</v>
      </c>
      <c r="G29" s="143">
        <v>93.5</v>
      </c>
      <c r="H29" s="123">
        <v>2460695.4722000002</v>
      </c>
      <c r="I29" s="147">
        <v>2460736.5625</v>
      </c>
      <c r="J29" s="147"/>
      <c r="K29" s="124">
        <f t="shared" si="14"/>
        <v>-6.2351859640330076E-2</v>
      </c>
      <c r="L29" s="124">
        <f t="shared" si="15"/>
        <v>-7.2405402082949877E-2</v>
      </c>
      <c r="M29" s="124">
        <f t="shared" si="16"/>
        <v>-9.7000001929714585E-3</v>
      </c>
      <c r="N29" s="124"/>
    </row>
    <row r="30" spans="1:14">
      <c r="B30" s="121">
        <v>40.985999999999997</v>
      </c>
      <c r="C30" s="122">
        <v>270</v>
      </c>
      <c r="D30" s="122">
        <v>88.8</v>
      </c>
      <c r="E30" s="127">
        <v>0.03</v>
      </c>
      <c r="F30" s="126">
        <v>1.4166000000000001</v>
      </c>
      <c r="G30" s="143">
        <v>93.5</v>
      </c>
      <c r="H30" s="123">
        <v>2460694.7083000001</v>
      </c>
      <c r="I30" s="147">
        <v>2460735.7708000001</v>
      </c>
      <c r="J30" s="147"/>
      <c r="K30" s="124">
        <f t="shared" si="14"/>
        <v>-0.8262518597766757</v>
      </c>
      <c r="L30" s="124">
        <f t="shared" si="15"/>
        <v>-0.86410540202632546</v>
      </c>
      <c r="M30" s="124">
        <f t="shared" si="16"/>
        <v>-3.7500000000001421E-2</v>
      </c>
      <c r="N30" s="124"/>
    </row>
    <row r="31" spans="1:14">
      <c r="B31" s="121">
        <v>40.985999999999997</v>
      </c>
      <c r="C31" s="122">
        <v>270</v>
      </c>
      <c r="D31" s="122">
        <v>88.8</v>
      </c>
      <c r="E31" s="127">
        <v>0.06</v>
      </c>
      <c r="F31" s="126">
        <v>1.4166000000000001</v>
      </c>
      <c r="G31" s="143">
        <v>93.5</v>
      </c>
      <c r="H31" s="123">
        <v>2460696.6597000002</v>
      </c>
      <c r="I31" s="147">
        <v>2460737.7568999999</v>
      </c>
      <c r="J31" s="147"/>
      <c r="K31" s="124">
        <f t="shared" si="14"/>
        <v>1.1251481403596699</v>
      </c>
      <c r="L31" s="124">
        <f t="shared" si="15"/>
        <v>1.1219945978373289</v>
      </c>
      <c r="M31" s="124">
        <f t="shared" si="16"/>
        <v>-2.8000002726926709E-3</v>
      </c>
      <c r="N31" s="124"/>
    </row>
    <row r="32" spans="1:14">
      <c r="B32" s="121">
        <v>40.985999999999997</v>
      </c>
      <c r="C32" s="122">
        <v>270</v>
      </c>
      <c r="D32" s="122">
        <v>88.8</v>
      </c>
      <c r="E32" s="126">
        <v>4.4499999999999998E-2</v>
      </c>
      <c r="F32" s="127">
        <v>1.2</v>
      </c>
      <c r="G32" s="143">
        <v>93.5</v>
      </c>
      <c r="H32" s="123">
        <v>2460694.0208000001</v>
      </c>
      <c r="I32" s="147">
        <v>2460735.3887999998</v>
      </c>
      <c r="J32" s="147"/>
      <c r="K32" s="124">
        <f t="shared" ref="K32" si="17">H32-H$1</f>
        <v>-1.5137518597766757</v>
      </c>
      <c r="L32" s="124">
        <f t="shared" ref="L32" si="18">I32-I$1</f>
        <v>-1.2461054022423923</v>
      </c>
      <c r="M32" s="124">
        <f t="shared" ref="M32" si="19">I32-H32-M$1</f>
        <v>0.26799999978393174</v>
      </c>
      <c r="N32" s="124"/>
    </row>
    <row r="33" spans="1:14">
      <c r="B33" s="121">
        <v>40.985999999999997</v>
      </c>
      <c r="C33" s="122">
        <v>270</v>
      </c>
      <c r="D33" s="122">
        <v>88.8</v>
      </c>
      <c r="E33" s="126">
        <v>4.4499999999999998E-2</v>
      </c>
      <c r="F33" s="127">
        <v>1.6</v>
      </c>
      <c r="G33" s="143">
        <v>93.5</v>
      </c>
      <c r="H33" s="123">
        <v>2460696.4304999998</v>
      </c>
      <c r="I33" s="147">
        <v>2460737.2568999999</v>
      </c>
      <c r="J33" s="147"/>
      <c r="K33" s="124">
        <f>H33-H$1</f>
        <v>0.89594813995063305</v>
      </c>
      <c r="L33" s="124">
        <f>I33-I$1</f>
        <v>0.62199459783732891</v>
      </c>
      <c r="M33" s="124">
        <f>I33-H33-M$1</f>
        <v>-0.2735999998636558</v>
      </c>
      <c r="N33" s="124"/>
    </row>
    <row r="34" spans="1:14">
      <c r="B34" s="121">
        <v>40.985999999999997</v>
      </c>
      <c r="C34" s="122">
        <v>270</v>
      </c>
      <c r="D34" s="122">
        <v>88.8</v>
      </c>
      <c r="E34" s="126">
        <v>4.4499999999999998E-2</v>
      </c>
      <c r="F34" s="126">
        <v>1.4166000000000001</v>
      </c>
      <c r="G34" s="141">
        <v>90</v>
      </c>
      <c r="H34" s="123">
        <v>2460694.0972000002</v>
      </c>
      <c r="I34" s="147">
        <v>2460734.7777</v>
      </c>
      <c r="J34" s="147"/>
      <c r="K34" s="124">
        <f t="shared" ref="K34:K35" si="20">H34-H$1</f>
        <v>-1.4373518596403301</v>
      </c>
      <c r="L34" s="124">
        <f t="shared" ref="L34:L35" si="21">I34-I$1</f>
        <v>-1.8572054021060467</v>
      </c>
      <c r="M34" s="124">
        <f t="shared" ref="M34:M35" si="22">I34-H34-M$1</f>
        <v>-0.41950000021606826</v>
      </c>
      <c r="N34" s="124"/>
    </row>
    <row r="35" spans="1:14">
      <c r="B35" s="121">
        <v>40.985999999999997</v>
      </c>
      <c r="C35" s="122">
        <v>270</v>
      </c>
      <c r="D35" s="122">
        <v>88.8</v>
      </c>
      <c r="E35" s="126">
        <v>4.4499999999999998E-2</v>
      </c>
      <c r="F35" s="126">
        <v>1.4166000000000001</v>
      </c>
      <c r="G35" s="141">
        <v>100</v>
      </c>
      <c r="H35" s="123">
        <v>2460700.1387999998</v>
      </c>
      <c r="I35" s="147">
        <v>2460741.2291000001</v>
      </c>
      <c r="J35" s="147"/>
      <c r="K35" s="124">
        <f t="shared" si="20"/>
        <v>4.6042481400072575</v>
      </c>
      <c r="L35" s="124">
        <f t="shared" si="21"/>
        <v>4.5941945980302989</v>
      </c>
      <c r="M35" s="124">
        <f t="shared" si="22"/>
        <v>-9.6999997273101712E-3</v>
      </c>
      <c r="N35" s="124"/>
    </row>
    <row r="36" spans="1:14">
      <c r="B36" s="120">
        <v>41</v>
      </c>
      <c r="C36" s="19">
        <v>270</v>
      </c>
      <c r="D36" s="19">
        <v>88.8</v>
      </c>
      <c r="E36" s="125">
        <v>4.4499999999999998E-2</v>
      </c>
      <c r="F36" s="125">
        <v>1.4166000000000001</v>
      </c>
      <c r="G36" s="139">
        <v>93.5</v>
      </c>
      <c r="H36" s="66">
        <v>2460695.9860999999</v>
      </c>
      <c r="I36" s="145">
        <v>2460737.0833000001</v>
      </c>
      <c r="J36" s="145"/>
      <c r="K36" s="119">
        <f>H36-H$1</f>
        <v>0.45154814003035426</v>
      </c>
      <c r="L36" s="119">
        <f>I36-I$1</f>
        <v>0.44839459797367454</v>
      </c>
      <c r="M36" s="119">
        <f>I36-H36-M$1</f>
        <v>-2.7999998070313836E-3</v>
      </c>
      <c r="N36" s="119"/>
    </row>
    <row r="37" spans="1:14">
      <c r="B37" s="120">
        <v>41</v>
      </c>
      <c r="C37" s="19">
        <v>275</v>
      </c>
      <c r="D37" s="19">
        <v>88.8</v>
      </c>
      <c r="E37" s="125">
        <v>4.4499999999999998E-2</v>
      </c>
      <c r="F37" s="125">
        <v>1.4166000000000001</v>
      </c>
      <c r="G37" s="139">
        <v>93.5</v>
      </c>
      <c r="H37" s="66">
        <v>2460698.8887999998</v>
      </c>
      <c r="I37" s="145">
        <v>2460740.1597000002</v>
      </c>
      <c r="J37" s="145"/>
      <c r="K37" s="119">
        <f>H37-H$1</f>
        <v>3.3542481400072575</v>
      </c>
      <c r="L37" s="119">
        <f>I37-I$1</f>
        <v>3.5247945981100202</v>
      </c>
      <c r="M37" s="119">
        <f>I37-H37-M$1</f>
        <v>0.17090000035241104</v>
      </c>
      <c r="N37" s="119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4"/>
  <sheetViews>
    <sheetView zoomScale="106" zoomScaleNormal="106" workbookViewId="0">
      <selection activeCell="D14" sqref="D14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19">
      <c r="F1" s="10"/>
      <c r="J1" s="10"/>
    </row>
    <row r="2" spans="1:19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19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19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19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19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19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19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19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19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19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19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19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19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19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19">
      <c r="A16" s="8" t="s">
        <v>20</v>
      </c>
      <c r="B16" s="17"/>
      <c r="C16" s="17" t="s">
        <v>128</v>
      </c>
      <c r="F16" s="10"/>
      <c r="J16" s="10"/>
      <c r="K16" s="12">
        <f>K15+82.5</f>
        <v>2460801.1125820568</v>
      </c>
      <c r="P16" s="12"/>
      <c r="Q16" s="115">
        <f>K16-'Planet c'!$G$228</f>
        <v>45782.112582056783</v>
      </c>
      <c r="R16" s="112"/>
      <c r="S16" s="112"/>
    </row>
    <row r="17" spans="1:23">
      <c r="A17" s="8" t="s">
        <v>20</v>
      </c>
      <c r="B17" s="17">
        <v>95</v>
      </c>
      <c r="C17" s="17" t="s">
        <v>129</v>
      </c>
      <c r="F17" s="10"/>
      <c r="J17" s="10"/>
      <c r="K17" s="12">
        <f t="shared" ref="K17:K18" si="9">K16+82.5</f>
        <v>2460883.6125820568</v>
      </c>
      <c r="Q17" s="113">
        <f>K17-'Planet c'!$G$228</f>
        <v>45864.612582056783</v>
      </c>
      <c r="R17" s="112"/>
      <c r="S17" s="112"/>
    </row>
    <row r="18" spans="1:23" ht="15.75" thickBot="1">
      <c r="A18" s="97" t="s">
        <v>20</v>
      </c>
      <c r="B18" s="98">
        <v>97</v>
      </c>
      <c r="C18" s="98" t="s">
        <v>130</v>
      </c>
      <c r="D18" s="99"/>
      <c r="E18" s="99"/>
      <c r="F18" s="102"/>
      <c r="G18" s="99"/>
      <c r="H18" s="99"/>
      <c r="I18" s="99"/>
      <c r="J18" s="102"/>
      <c r="K18" s="100">
        <f t="shared" si="9"/>
        <v>2460966.1125820568</v>
      </c>
      <c r="L18" s="99"/>
      <c r="M18" s="99"/>
      <c r="N18" s="99"/>
      <c r="O18" s="99"/>
      <c r="P18" s="99"/>
      <c r="Q18" s="114">
        <f>K18-'Planet c'!$G$228</f>
        <v>45947.112582056783</v>
      </c>
      <c r="R18" s="112"/>
      <c r="S18" s="112"/>
    </row>
    <row r="19" spans="1:23">
      <c r="A19" s="8" t="s">
        <v>21</v>
      </c>
      <c r="B19" s="17">
        <v>88</v>
      </c>
      <c r="C19" s="17" t="s">
        <v>36</v>
      </c>
      <c r="F19" s="10"/>
      <c r="J19" s="10"/>
      <c r="K19" s="12">
        <f>'88d'!$K$30</f>
        <v>2460695.5345518598</v>
      </c>
      <c r="L19" s="31">
        <f>'88d'!$K$39</f>
        <v>0.10972392838448286</v>
      </c>
      <c r="M19" s="31">
        <f>'88d'!$K$37</f>
        <v>9.0279181487858295E-2</v>
      </c>
      <c r="N19" s="62">
        <f>'88d'!$K$43</f>
        <v>7.1684587813620748E-3</v>
      </c>
      <c r="O19" s="31">
        <f t="shared" ref="O19" si="10">L19-M19</f>
        <v>1.9444746896624565E-2</v>
      </c>
      <c r="Q19" s="109">
        <f>K19-'Planet c'!$G$228</f>
        <v>45676.534551859833</v>
      </c>
      <c r="R19" s="112"/>
      <c r="S19" s="112"/>
    </row>
    <row r="20" spans="1:23">
      <c r="A20" s="8" t="s">
        <v>21</v>
      </c>
      <c r="B20" s="17">
        <v>89</v>
      </c>
      <c r="C20" s="17" t="s">
        <v>37</v>
      </c>
      <c r="F20" s="10"/>
      <c r="J20" s="10"/>
      <c r="K20" s="12">
        <f>'89d'!$K$30</f>
        <v>2460736.6349054021</v>
      </c>
      <c r="L20" s="31">
        <f>'89d'!$K$39</f>
        <v>0.10972265526652336</v>
      </c>
      <c r="M20" s="31">
        <f>'89d'!$K$37</f>
        <v>8.4722556639462709E-2</v>
      </c>
      <c r="N20" s="62">
        <f>'89d'!$K$43</f>
        <v>7.4842097646194983E-3</v>
      </c>
      <c r="O20" s="31">
        <f t="shared" ref="O20" si="11">L20-M20</f>
        <v>2.5000098627060652E-2</v>
      </c>
      <c r="Q20" s="109">
        <f>K20-'Planet c'!$G$228</f>
        <v>45717.634905402083</v>
      </c>
      <c r="R20" s="112"/>
      <c r="S20" s="112"/>
    </row>
    <row r="21" spans="1:23">
      <c r="A21" s="8" t="s">
        <v>21</v>
      </c>
      <c r="B21" s="17"/>
      <c r="C21" s="17" t="s">
        <v>38</v>
      </c>
      <c r="F21" s="10"/>
      <c r="J21" s="10"/>
      <c r="K21" s="261">
        <f>K20+41</f>
        <v>2460777.6349054021</v>
      </c>
      <c r="L21" s="262"/>
      <c r="M21" s="262"/>
      <c r="N21" s="262"/>
      <c r="O21" s="262"/>
      <c r="P21" s="262"/>
      <c r="Q21" s="263">
        <f>K21-'Planet c'!$G$228</f>
        <v>45758.634905402083</v>
      </c>
      <c r="R21" s="112"/>
      <c r="S21" s="112"/>
    </row>
    <row r="22" spans="1:23">
      <c r="A22" s="8" t="s">
        <v>21</v>
      </c>
      <c r="B22" s="17"/>
      <c r="C22" s="17" t="s">
        <v>39</v>
      </c>
      <c r="F22" s="10"/>
      <c r="J22" s="10"/>
      <c r="K22" s="261">
        <f t="shared" ref="K22" si="12">K21+41</f>
        <v>2460818.6349054021</v>
      </c>
      <c r="L22" s="262"/>
      <c r="M22" s="262"/>
      <c r="N22" s="262"/>
      <c r="O22" s="262"/>
      <c r="P22" s="262"/>
      <c r="Q22" s="263">
        <f>K22-'Planet c'!$G$228</f>
        <v>45799.634905402083</v>
      </c>
      <c r="R22" s="112"/>
      <c r="S22" s="112"/>
      <c r="T22" s="267" t="s">
        <v>37</v>
      </c>
      <c r="U22" s="268" t="s">
        <v>38</v>
      </c>
      <c r="V22" s="268" t="s">
        <v>39</v>
      </c>
      <c r="W22" s="268" t="s">
        <v>71</v>
      </c>
    </row>
    <row r="23" spans="1:23">
      <c r="A23" s="8" t="s">
        <v>21</v>
      </c>
      <c r="B23" s="17">
        <v>94</v>
      </c>
      <c r="C23" s="17" t="s">
        <v>71</v>
      </c>
      <c r="F23" s="10"/>
      <c r="J23" s="10"/>
      <c r="K23" s="12">
        <f>(V23+U23)/2+2460800</f>
        <v>2460859.2275</v>
      </c>
      <c r="L23" s="31">
        <f>W23-T23</f>
        <v>0.17999999999999972</v>
      </c>
      <c r="M23" s="7">
        <f>V23-U23</f>
        <v>0.10500000000000398</v>
      </c>
      <c r="N23" s="62">
        <v>8.2000000000000007E-3</v>
      </c>
      <c r="O23" s="31">
        <f t="shared" ref="O23" si="13">L23-M23</f>
        <v>7.4999999999995737E-2</v>
      </c>
      <c r="Q23" s="113">
        <f>K23-'Planet c'!$G$228</f>
        <v>45840.227500000037</v>
      </c>
      <c r="R23" s="112"/>
      <c r="S23" s="112"/>
      <c r="T23" s="264">
        <v>59.13</v>
      </c>
      <c r="U23" s="264">
        <v>59.174999999999997</v>
      </c>
      <c r="V23" s="264">
        <v>59.28</v>
      </c>
      <c r="W23" s="264">
        <v>59.31</v>
      </c>
    </row>
    <row r="24" spans="1:23">
      <c r="A24" s="8" t="s">
        <v>21</v>
      </c>
      <c r="B24" s="17">
        <v>95</v>
      </c>
      <c r="C24" s="17" t="s">
        <v>117</v>
      </c>
      <c r="F24" s="10"/>
      <c r="J24" s="10"/>
      <c r="K24" s="18">
        <f>K23+40.8</f>
        <v>2460900.0274999999</v>
      </c>
      <c r="Q24" s="113">
        <f>K24-'Planet c'!$G$228</f>
        <v>45881.027499999851</v>
      </c>
      <c r="R24" s="112">
        <v>45863</v>
      </c>
      <c r="S24" s="112">
        <v>45889</v>
      </c>
      <c r="T24" s="265"/>
      <c r="U24" s="265"/>
      <c r="V24" s="265"/>
      <c r="W24" s="265"/>
    </row>
    <row r="25" spans="1:23">
      <c r="A25" s="8" t="s">
        <v>0</v>
      </c>
      <c r="B25" s="17">
        <v>96</v>
      </c>
      <c r="C25" s="17" t="s">
        <v>0</v>
      </c>
      <c r="F25" s="10"/>
      <c r="J25" s="10"/>
      <c r="K25" s="117" t="s">
        <v>0</v>
      </c>
      <c r="Q25" s="116" t="s">
        <v>0</v>
      </c>
      <c r="R25" s="112">
        <v>45889</v>
      </c>
      <c r="S25" s="112">
        <v>45915</v>
      </c>
      <c r="T25" s="265"/>
      <c r="U25" s="265"/>
      <c r="V25" s="265"/>
      <c r="W25" s="266"/>
    </row>
    <row r="26" spans="1:23">
      <c r="A26" s="8" t="s">
        <v>21</v>
      </c>
      <c r="B26" s="17">
        <v>97</v>
      </c>
      <c r="C26" s="17" t="s">
        <v>118</v>
      </c>
      <c r="F26" s="10"/>
      <c r="J26" s="10"/>
      <c r="K26" s="18">
        <f>K24+40.8</f>
        <v>2460940.8274999997</v>
      </c>
      <c r="Q26" s="113">
        <f>K26-'Planet c'!$G$228</f>
        <v>45921.827499999665</v>
      </c>
      <c r="R26" s="112">
        <v>45915</v>
      </c>
      <c r="S26" s="112">
        <v>45970</v>
      </c>
      <c r="T26" s="265"/>
      <c r="U26" s="265"/>
      <c r="V26" s="265"/>
      <c r="W26" s="265"/>
    </row>
    <row r="27" spans="1:23">
      <c r="A27" s="8" t="s">
        <v>21</v>
      </c>
      <c r="B27" s="17">
        <v>97</v>
      </c>
      <c r="C27" s="17" t="s">
        <v>119</v>
      </c>
      <c r="F27" s="10"/>
      <c r="J27" s="10"/>
      <c r="K27" s="18">
        <f>K26+40.8</f>
        <v>2460981.6274999995</v>
      </c>
      <c r="Q27" s="113">
        <f>K27-'Planet c'!$G$228</f>
        <v>45962.627499999478</v>
      </c>
      <c r="R27" s="112">
        <v>45915</v>
      </c>
      <c r="S27" s="112">
        <v>45970</v>
      </c>
      <c r="T27" s="265"/>
      <c r="U27" s="265"/>
      <c r="V27" s="265"/>
      <c r="W27" s="265"/>
    </row>
    <row r="28" spans="1:23">
      <c r="A28" s="8" t="s">
        <v>21</v>
      </c>
      <c r="B28" s="17">
        <v>98</v>
      </c>
      <c r="C28" s="17" t="s">
        <v>32</v>
      </c>
      <c r="F28" s="10"/>
      <c r="J28" s="10"/>
      <c r="K28" s="18">
        <f>K27+40.8</f>
        <v>2461022.4274999993</v>
      </c>
      <c r="Q28" s="113">
        <f>K28-'Planet c'!$G$228</f>
        <v>46003.427499999292</v>
      </c>
      <c r="R28" s="112">
        <v>45970</v>
      </c>
      <c r="S28" s="112">
        <v>46027</v>
      </c>
      <c r="T28" s="265"/>
      <c r="U28" s="265"/>
      <c r="V28" s="265"/>
      <c r="W28" s="265"/>
    </row>
    <row r="29" spans="1:23">
      <c r="A29" s="8"/>
      <c r="K29" s="12"/>
      <c r="R29" s="112"/>
      <c r="S29" s="112"/>
    </row>
    <row r="30" spans="1:23">
      <c r="A30" s="8"/>
      <c r="K30" s="12"/>
      <c r="R30" s="112"/>
      <c r="S30" s="112"/>
    </row>
    <row r="31" spans="1:23">
      <c r="L31" s="12"/>
      <c r="M31" s="12"/>
    </row>
    <row r="33" spans="4:8">
      <c r="D33" s="8" t="s">
        <v>29</v>
      </c>
      <c r="E33" s="11" t="s">
        <v>31</v>
      </c>
    </row>
    <row r="34" spans="4:8">
      <c r="D34" s="18">
        <v>2458483.2110000001</v>
      </c>
      <c r="E34" s="13">
        <v>81.802400000393391</v>
      </c>
      <c r="F34" s="21">
        <f>SIN((D34-H34)/H35*2*PI())*H37+H36</f>
        <v>81.702855122563122</v>
      </c>
      <c r="G34" s="7" t="s">
        <v>45</v>
      </c>
      <c r="H34" s="7">
        <f>2458740</f>
        <v>2458740</v>
      </c>
    </row>
    <row r="35" spans="4:8">
      <c r="D35" s="18">
        <v>2458565.0902</v>
      </c>
      <c r="E35" s="13">
        <v>81.879199999850243</v>
      </c>
      <c r="F35" s="7">
        <f t="shared" ref="F35:F54" si="14">SIN((D35-$H$34)/$H$35*2*PI())*$H$37+$H$36</f>
        <v>81.7992822018347</v>
      </c>
      <c r="G35" s="7" t="s">
        <v>52</v>
      </c>
      <c r="H35" s="7">
        <v>980</v>
      </c>
    </row>
    <row r="36" spans="4:8">
      <c r="D36" s="18">
        <v>2458647.3328</v>
      </c>
      <c r="E36" s="13">
        <v>82.242599999997765</v>
      </c>
      <c r="F36" s="7">
        <f t="shared" si="14"/>
        <v>82.140213815813425</v>
      </c>
      <c r="G36" s="7" t="s">
        <v>53</v>
      </c>
      <c r="H36" s="7">
        <v>82.7</v>
      </c>
    </row>
    <row r="37" spans="4:8">
      <c r="D37" s="18">
        <f>D36+83</f>
        <v>2458730.3328</v>
      </c>
      <c r="E37" s="13"/>
      <c r="F37" s="7">
        <f t="shared" si="14"/>
        <v>82.638059258736973</v>
      </c>
      <c r="G37" s="7" t="s">
        <v>44</v>
      </c>
      <c r="H37" s="7">
        <v>1</v>
      </c>
    </row>
    <row r="38" spans="4:8">
      <c r="D38" s="18">
        <f t="shared" ref="D38:D41" si="15">D37+83</f>
        <v>2458813.3328</v>
      </c>
      <c r="E38" s="13"/>
      <c r="F38" s="7">
        <f t="shared" si="14"/>
        <v>83.153035090454694</v>
      </c>
    </row>
    <row r="39" spans="4:8">
      <c r="D39" s="18">
        <f t="shared" si="15"/>
        <v>2458896.3328</v>
      </c>
      <c r="E39" s="13"/>
      <c r="F39" s="7">
        <f t="shared" si="14"/>
        <v>83.542719117801852</v>
      </c>
    </row>
    <row r="40" spans="4:8">
      <c r="D40" s="18">
        <f t="shared" si="15"/>
        <v>2458979.3328</v>
      </c>
      <c r="E40" s="13"/>
      <c r="F40" s="7">
        <f t="shared" si="14"/>
        <v>83.699339965118099</v>
      </c>
    </row>
    <row r="41" spans="4:8">
      <c r="D41" s="18">
        <f t="shared" si="15"/>
        <v>2459062.3328</v>
      </c>
      <c r="E41" s="13"/>
      <c r="F41" s="7">
        <f t="shared" si="14"/>
        <v>83.579582425754424</v>
      </c>
    </row>
    <row r="42" spans="4:8">
      <c r="D42" s="18">
        <v>2459148.4781999998</v>
      </c>
      <c r="E42" s="13">
        <v>83.241199999582022</v>
      </c>
      <c r="F42" s="7">
        <f t="shared" si="14"/>
        <v>83.199195419955913</v>
      </c>
    </row>
    <row r="43" spans="4:8">
      <c r="D43" s="18">
        <v>2459231.1144000003</v>
      </c>
      <c r="E43" s="13">
        <v>82.636200000531971</v>
      </c>
      <c r="F43" s="7">
        <f t="shared" si="14"/>
        <v>82.692855181495872</v>
      </c>
    </row>
    <row r="44" spans="4:8">
      <c r="D44" s="18">
        <v>2459313.2535000001</v>
      </c>
      <c r="E44" s="13">
        <v>82.139099999796599</v>
      </c>
      <c r="F44" s="7">
        <f t="shared" si="14"/>
        <v>82.191215220517591</v>
      </c>
    </row>
    <row r="45" spans="4:8">
      <c r="D45" s="18">
        <f t="shared" ref="D45:D52" si="16">D44+83</f>
        <v>2459396.2535000001</v>
      </c>
      <c r="E45" s="13"/>
      <c r="F45" s="7">
        <f t="shared" si="14"/>
        <v>81.824765723684834</v>
      </c>
    </row>
    <row r="46" spans="4:8">
      <c r="D46" s="18">
        <f t="shared" si="16"/>
        <v>2459479.2535000001</v>
      </c>
      <c r="E46" s="13"/>
      <c r="F46" s="7">
        <f t="shared" si="14"/>
        <v>81.70037182924797</v>
      </c>
    </row>
    <row r="47" spans="4:8">
      <c r="D47" s="18">
        <f t="shared" si="16"/>
        <v>2459562.2535000001</v>
      </c>
      <c r="E47" s="13"/>
      <c r="F47" s="7">
        <f t="shared" si="14"/>
        <v>81.852436027908183</v>
      </c>
    </row>
    <row r="48" spans="4:8">
      <c r="D48" s="18">
        <f t="shared" si="16"/>
        <v>2459645.2535000001</v>
      </c>
      <c r="E48" s="13"/>
      <c r="F48" s="7">
        <f t="shared" si="14"/>
        <v>82.238903303990682</v>
      </c>
    </row>
    <row r="49" spans="4:6">
      <c r="D49" s="18">
        <f t="shared" si="16"/>
        <v>2459728.2535000001</v>
      </c>
      <c r="E49" s="13"/>
      <c r="F49" s="7">
        <f t="shared" si="14"/>
        <v>82.752891909545326</v>
      </c>
    </row>
    <row r="50" spans="4:6">
      <c r="D50" s="18">
        <f t="shared" si="16"/>
        <v>2459811.2535000001</v>
      </c>
      <c r="E50" s="13"/>
      <c r="F50" s="7">
        <f t="shared" si="14"/>
        <v>83.252252679589731</v>
      </c>
    </row>
    <row r="51" spans="4:6">
      <c r="D51" s="18">
        <f t="shared" si="16"/>
        <v>2459894.2535000001</v>
      </c>
      <c r="E51" s="13"/>
      <c r="F51" s="7">
        <f t="shared" si="14"/>
        <v>83.598881936883473</v>
      </c>
    </row>
    <row r="52" spans="4:6">
      <c r="D52" s="18">
        <f t="shared" si="16"/>
        <v>2459977.2535000001</v>
      </c>
      <c r="E52" s="13"/>
      <c r="F52" s="7">
        <f t="shared" si="14"/>
        <v>83.696915572864086</v>
      </c>
    </row>
    <row r="53" spans="4:6">
      <c r="D53" s="18">
        <v>2460059.6189000001</v>
      </c>
      <c r="E53" s="13">
        <v>83.569600000046194</v>
      </c>
      <c r="F53" s="7">
        <f t="shared" si="14"/>
        <v>83.521567708892789</v>
      </c>
    </row>
    <row r="54" spans="4:6">
      <c r="D54" s="18">
        <v>2460142.6048000003</v>
      </c>
      <c r="E54" s="13">
        <v>82.985900000203401</v>
      </c>
      <c r="F54" s="7">
        <f t="shared" si="14"/>
        <v>83.118777348149962</v>
      </c>
    </row>
    <row r="78" spans="1:5">
      <c r="D78" s="7" t="s">
        <v>37</v>
      </c>
      <c r="E78" s="7" t="s">
        <v>71</v>
      </c>
    </row>
    <row r="79" spans="1:5">
      <c r="A79" s="8" t="s">
        <v>20</v>
      </c>
      <c r="B79" s="16">
        <v>28</v>
      </c>
      <c r="C79" s="16" t="s">
        <v>32</v>
      </c>
      <c r="D79" s="31">
        <f>'28c'!$K$31</f>
        <v>2459065.0931111425</v>
      </c>
      <c r="E79" s="31">
        <f>'28c'!$K$34</f>
        <v>2459065.3847746374</v>
      </c>
    </row>
    <row r="80" spans="1:5">
      <c r="A80" s="8" t="s">
        <v>20</v>
      </c>
      <c r="B80" s="16">
        <v>31</v>
      </c>
      <c r="C80" s="16" t="s">
        <v>33</v>
      </c>
      <c r="D80" s="31">
        <f>'31c'!$K$31</f>
        <v>2459148.3431854933</v>
      </c>
      <c r="E80" s="31">
        <f>'31c'!$K$34</f>
        <v>2459148.6279118527</v>
      </c>
    </row>
    <row r="81" spans="1:5">
      <c r="A81" s="8" t="s">
        <v>20</v>
      </c>
      <c r="B81" s="16">
        <v>34</v>
      </c>
      <c r="C81" s="16" t="s">
        <v>34</v>
      </c>
      <c r="D81" s="31">
        <f>'34c'!$K$31</f>
        <v>2459230.96270811</v>
      </c>
      <c r="E81" s="31">
        <f>'34c'!$K$34</f>
        <v>2459231.2543796636</v>
      </c>
    </row>
    <row r="82" spans="1:5">
      <c r="A82" s="8" t="s">
        <v>20</v>
      </c>
      <c r="B82" s="16">
        <v>37</v>
      </c>
      <c r="C82" s="16" t="s">
        <v>35</v>
      </c>
      <c r="D82" s="31">
        <f>'37c'!$K$31</f>
        <v>2459313.1088080285</v>
      </c>
      <c r="E82" s="31">
        <f>'37c'!$K$34</f>
        <v>2459313.4004717376</v>
      </c>
    </row>
    <row r="83" spans="1:5">
      <c r="A83" s="8" t="s">
        <v>20</v>
      </c>
      <c r="B83" s="16">
        <v>61</v>
      </c>
      <c r="C83" s="16" t="s">
        <v>40</v>
      </c>
      <c r="D83" s="31">
        <f>'61c'!$K$31</f>
        <v>2459975.9278488979</v>
      </c>
      <c r="E83" s="31">
        <f>'61c'!$K$34</f>
        <v>2459976.2070197146</v>
      </c>
    </row>
    <row r="84" spans="1:5">
      <c r="A84" s="8" t="s">
        <v>20</v>
      </c>
      <c r="B84" s="17">
        <v>64</v>
      </c>
      <c r="C84" s="17" t="s">
        <v>41</v>
      </c>
      <c r="D84" s="31">
        <f>'64c'!$K$31</f>
        <v>2460059.4809668693</v>
      </c>
      <c r="E84" s="31">
        <f>'64c'!$K$34</f>
        <v>2460059.7564260294</v>
      </c>
    </row>
    <row r="85" spans="1:5">
      <c r="A85" s="8" t="s">
        <v>20</v>
      </c>
      <c r="B85" s="17">
        <v>67</v>
      </c>
      <c r="C85" s="17" t="s">
        <v>42</v>
      </c>
      <c r="D85" s="31">
        <f>'67c'!$K$31</f>
        <v>2460142.4609310823</v>
      </c>
      <c r="E85" s="31">
        <f>'67c'!$K$34</f>
        <v>2460142.7363902261</v>
      </c>
    </row>
    <row r="86" spans="1:5">
      <c r="A86" s="8" t="s">
        <v>20</v>
      </c>
      <c r="B86" s="17">
        <v>89</v>
      </c>
      <c r="C86" s="17" t="s">
        <v>110</v>
      </c>
      <c r="D86" s="31">
        <f>'89c'!$K$31</f>
        <v>2460718.4882754739</v>
      </c>
      <c r="E86" s="31">
        <f>'89c'!$K$34</f>
        <v>2460718.7410553764</v>
      </c>
    </row>
    <row r="87" spans="1:5">
      <c r="A87" s="8" t="s">
        <v>20</v>
      </c>
      <c r="B87" s="17"/>
      <c r="C87" s="17" t="s">
        <v>128</v>
      </c>
    </row>
    <row r="88" spans="1:5">
      <c r="A88" s="8" t="s">
        <v>20</v>
      </c>
      <c r="B88" s="17">
        <v>95</v>
      </c>
      <c r="C88" s="17" t="s">
        <v>129</v>
      </c>
    </row>
    <row r="89" spans="1:5" ht="15.75" thickBot="1">
      <c r="A89" s="97" t="s">
        <v>20</v>
      </c>
      <c r="B89" s="98">
        <v>97</v>
      </c>
      <c r="C89" s="98" t="s">
        <v>130</v>
      </c>
      <c r="D89" s="99"/>
      <c r="E89" s="99"/>
    </row>
    <row r="90" spans="1:5">
      <c r="A90" s="8" t="s">
        <v>21</v>
      </c>
      <c r="B90" s="17">
        <v>88</v>
      </c>
      <c r="C90" s="17" t="s">
        <v>36</v>
      </c>
      <c r="D90" s="31">
        <f>'88d'!$K$31</f>
        <v>2460695.4796898947</v>
      </c>
      <c r="E90" s="31">
        <f>'88d'!$K$34</f>
        <v>2460695.5894138231</v>
      </c>
    </row>
    <row r="91" spans="1:5">
      <c r="A91" s="8" t="s">
        <v>21</v>
      </c>
      <c r="B91" s="17">
        <v>89</v>
      </c>
      <c r="C91" s="17" t="s">
        <v>37</v>
      </c>
      <c r="D91" s="31">
        <f>'89d'!$K$31</f>
        <v>2460736.5800440735</v>
      </c>
      <c r="E91" s="31">
        <f>'89d'!$K$34</f>
        <v>2460736.6897667288</v>
      </c>
    </row>
    <row r="92" spans="1:5">
      <c r="A92" s="8" t="s">
        <v>21</v>
      </c>
      <c r="B92" s="17"/>
      <c r="C92" s="17" t="s">
        <v>38</v>
      </c>
      <c r="D92" s="262"/>
    </row>
    <row r="93" spans="1:5">
      <c r="A93" s="8" t="s">
        <v>21</v>
      </c>
      <c r="B93" s="17"/>
      <c r="C93" s="17" t="s">
        <v>39</v>
      </c>
      <c r="D93" s="262"/>
    </row>
    <row r="94" spans="1:5">
      <c r="A94" s="8" t="s">
        <v>21</v>
      </c>
      <c r="B94" s="17">
        <v>94</v>
      </c>
      <c r="C94" s="17" t="s">
        <v>71</v>
      </c>
      <c r="D94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34</vt:i4>
      </vt:variant>
    </vt:vector>
  </HeadingPairs>
  <TitlesOfParts>
    <vt:vector size="34" baseType="lpstr">
      <vt:lpstr>mcmc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fit transits d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2025-08-22T22:21:54Z</dcterms:modified>
</cp:coreProperties>
</file>