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44BBD36A-56D1-4E70-9854-66273E785F31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0" hidden="1">Rebound!$B$20:$D$34</definedName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41" l="1"/>
  <c r="J55" i="41" s="1"/>
  <c r="K55" i="41" s="1"/>
  <c r="G55" i="41"/>
  <c r="H54" i="41"/>
  <c r="J54" i="41" s="1"/>
  <c r="K54" i="41" s="1"/>
  <c r="G54" i="41"/>
  <c r="H53" i="41"/>
  <c r="J53" i="41" s="1"/>
  <c r="K53" i="41" s="1"/>
  <c r="G53" i="41"/>
  <c r="H52" i="41"/>
  <c r="J52" i="41" s="1"/>
  <c r="K52" i="41" s="1"/>
  <c r="G52" i="41"/>
  <c r="H51" i="41"/>
  <c r="J51" i="41" s="1"/>
  <c r="K51" i="41" s="1"/>
  <c r="G51" i="41"/>
  <c r="J50" i="41"/>
  <c r="K50" i="41" s="1"/>
  <c r="H50" i="41"/>
  <c r="G50" i="41"/>
  <c r="J49" i="41"/>
  <c r="K49" i="41" s="1"/>
  <c r="H49" i="41"/>
  <c r="G49" i="41"/>
  <c r="H48" i="41"/>
  <c r="J48" i="41" s="1"/>
  <c r="K48" i="41" s="1"/>
  <c r="G48" i="41"/>
  <c r="D37" i="41"/>
  <c r="H47" i="41"/>
  <c r="J47" i="41" s="1"/>
  <c r="K47" i="41" s="1"/>
  <c r="G47" i="41"/>
  <c r="D47" i="41"/>
  <c r="E47" i="41"/>
  <c r="F47" i="41"/>
  <c r="H46" i="41"/>
  <c r="G46" i="41"/>
  <c r="F46" i="41"/>
  <c r="E46" i="41"/>
  <c r="D46" i="41"/>
  <c r="F45" i="41"/>
  <c r="E45" i="41"/>
  <c r="D45" i="41"/>
  <c r="F40" i="41"/>
  <c r="E40" i="41"/>
  <c r="D40" i="41"/>
  <c r="F44" i="41"/>
  <c r="E44" i="41"/>
  <c r="D44" i="41"/>
  <c r="B42" i="41"/>
  <c r="F42" i="41" s="1"/>
  <c r="G43" i="41"/>
  <c r="H43" i="41"/>
  <c r="F43" i="41"/>
  <c r="E43" i="41"/>
  <c r="D43" i="41"/>
  <c r="F41" i="41"/>
  <c r="E41" i="41"/>
  <c r="D41" i="41"/>
  <c r="H42" i="41"/>
  <c r="G42" i="41"/>
  <c r="H41" i="41"/>
  <c r="G41" i="41"/>
  <c r="H40" i="41"/>
  <c r="G40" i="41"/>
  <c r="H39" i="41"/>
  <c r="J43" i="41" s="1"/>
  <c r="K43" i="41" s="1"/>
  <c r="G39" i="41"/>
  <c r="D35" i="41"/>
  <c r="D34" i="41"/>
  <c r="N31" i="7"/>
  <c r="L31" i="7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J46" i="41" l="1"/>
  <c r="K46" i="41" s="1"/>
  <c r="J41" i="41"/>
  <c r="K41" i="41" s="1"/>
  <c r="J42" i="41"/>
  <c r="K42" i="41" s="1"/>
  <c r="D42" i="41"/>
  <c r="E42" i="41"/>
  <c r="J40" i="41"/>
  <c r="K40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<sst xmlns="http://schemas.openxmlformats.org/spreadsheetml/2006/main" count="1041" uniqueCount="245">
  <si>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</si>
  <si>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</si>
  <si>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</si>
  <si>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</si>
  <si>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</si>
  <si>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</si>
  <si>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</si>
  <si>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</si>
  <si>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</si>
  <si>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</si>
  <si>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</si>
  <si>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</si>
  <si>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</si>
  <si>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</si>
  <si>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</si>
  <si>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</si>
  <si>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</si>
  <si>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</si>
  <si>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</si>
  <si>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</si>
  <si>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</si>
  <si>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</si>
  <si>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</si>
  <si>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</si>
  <si>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</si>
  <si>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</si>
  <si>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</si>
  <si>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</si>
  <si>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</si>
  <si>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</si>
  <si>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</si>
  <si>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</si>
  <si>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</si>
  <si>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</si>
  <si>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</si>
  <si>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</si>
  <si>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</si>
  <si>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</si>
  <si>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</si>
  <si>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</si>
  <si>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</si>
  <si>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</si>
  <si>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</si>
  <si>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</si>
  <si>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</si>
  <si>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</si>
  <si>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</si>
  <si>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</si>
  <si>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</si>
  <si>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</si>
  <si>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</si>
  <si>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</si>
  <si>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</si>
  <si>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</si>
  <si>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</si>
  <si>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</si>
  <si>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</si>
  <si>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</si>
  <si>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</si>
  <si>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</si>
  <si>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</si>
  <si>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</si>
  <si>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</si>
  <si>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</si>
  <si>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</si>
  <si>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</si>
  <si>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</si>
  <si>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</si>
  <si>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</si>
  <si>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</si>
  <si>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</si>
  <si>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</si>
  <si>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</si>
  <si>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</si>
  <si>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</si>
  <si>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</si>
  <si>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</si>
  <si>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</si>
  <si>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</si>
  <si>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</si>
  <si>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</si>
  <si>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</si>
  <si>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</si>
  <si>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</si>
  <si>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</si>
  <si>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</si>
  <si>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</si>
  <si>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</si>
  <si>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</si>
  <si>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</si>
  <si>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</si>
  <si>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</si>
  <si>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</si>
  <si>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</si>
  <si>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</si>
  <si>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</si>
  <si>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</si>
  <si>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</si>
  <si>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</si>
  <si>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</si>
  <si>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</si>
  <si>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</si>
  <si>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</si>
  <si>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</si>
  <si>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</si>
  <si>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</si>
  <si>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</si>
  <si>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</si>
  <si>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</si>
  <si>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</si>
  <si>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</si>
  <si>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</si>
  <si>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</si>
  <si>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</si>
  <si>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</si>
  <si>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</si>
  <si>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</si>
  <si>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</si>
  <si>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</si>
  <si>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</si>
  <si>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</si>
  <si>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</si>
  <si>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</si>
  <si>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</si>
  <si>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</si>
  <si>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</si>
  <si>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</si>
  <si>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</si>
  <si>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</si>
  <si>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</si>
  <si>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</si>
  <si>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</si>
  <si>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</si>
  <si>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</si>
  <si>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</si>
  <si>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</si>
  <si>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</si>
  <si>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</si>
  <si>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</si>
  <si>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</si>
  <si>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</si>
  <si>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</si>
  <si>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</si>
  <si>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</si>
  <si>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</si>
  <si>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</si>
  <si>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</si>
  <si>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</si>
  <si>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</si>
  <si>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</si>
  <si>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</si>
  <si>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</si>
  <si>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</si>
  <si>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</si>
  <si>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</si>
  <si>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</si>
  <si>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</si>
  <si>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</si>
  <si>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</si>
  <si>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</si>
  <si>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</si>
  <si>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</si>
  <si>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</si>
  <si>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</si>
  <si>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</si>
  <si>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</si>
  <si>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</si>
  <si>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</si>
  <si>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</si>
  <si>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</si>
  <si>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</si>
  <si>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</si>
  <si>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</si>
  <si>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</si>
  <si>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</si>
  <si>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</si>
  <si>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</si>
  <si>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</si>
  <si>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</si>
  <si>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</si>
  <si>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</si>
  <si>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</si>
  <si>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</si>
  <si>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</si>
  <si>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</si>
  <si>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</si>
  <si>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</si>
  <si>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</si>
  <si>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</si>
  <si>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</si>
  <si>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</si>
  <si>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</si>
  <si>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</si>
  <si>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</si>
  <si>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 xml:space="preserve">energy_change=1.41e-09  total_momentum_change=8.52e+02  total_angular_momentum_change=-1.28e-14  center_of_mass_position_change=3.96e-04  </t>
  </si>
  <si>
    <t xml:space="preserve">energy_change=1.43e-11  total_momentum_change=1.58e+04  total_angular_momentum_change=1.73e-14  center_of_mass_position_change=4.07e-03  </t>
  </si>
  <si>
    <t>energy_change=1.45e-13  total_momentum_change=1.60e+05  total_angular_momentum_change=1.50e-13  center_of_mass_position_change=4.11e-02</t>
  </si>
  <si>
    <t>dt [s]</t>
  </si>
  <si>
    <t>energy_change=1.27e-07  total_momentum_change=1.65e+02  total_angular_momentum_change=1.49e-15  center_of_mass_position_change=4.69e-05</t>
  </si>
  <si>
    <t>energy_change=1.23e-05  total_momentum_change=3.46e+01  total_angular_momentum_change=-1.92e-15  center_of_mass_position_change=5.04e-06</t>
  </si>
  <si>
    <t>energy_change=-2.08e-02  total_momentum_change=6.54e+00  total_angular_momentum_change=4.27e-16  center_of_mass_position_change=2.29e-06</t>
  </si>
  <si>
    <t>energy_change=-7.12e-08  total_momentum_change=6.07e+02  total_angular_momentum_change=4.71e-14  center_of_mass_position_change=1.04e-02</t>
  </si>
  <si>
    <t>Result</t>
  </si>
  <si>
    <t>total time span [y]</t>
  </si>
  <si>
    <t>energy_change=1.15e-08  total_momentum_change=1.42e+03  total_angular_momentum_change=1.48e-13  center_of_mass_position_change=5.01e-01</t>
  </si>
  <si>
    <t>energy_change,  total_angular_momentum_change and center_of_mass_position_change are very small, as they should be in a rebound simulation. But total_momentum_change is large. Is there a mistake in calc_total_momentum()?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</si>
  <si>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</si>
  <si>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</si>
  <si>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</si>
  <si>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</si>
  <si>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</si>
  <si>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</si>
  <si>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</si>
  <si>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</si>
  <si>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area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</si>
  <si>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</si>
  <si>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</si>
  <si>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</si>
  <si>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</si>
  <si>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</si>
  <si>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</si>
  <si>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</si>
  <si>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</si>
  <si>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</si>
  <si>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</si>
  <si>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energy_change=5.46e-10</t>
  </si>
  <si>
    <t>energy_change=2.52e-05</t>
  </si>
  <si>
    <t>energy change</t>
  </si>
  <si>
    <t>energy_change=1.87e-08</t>
  </si>
  <si>
    <t>energy_change=-3.30e-08</t>
  </si>
  <si>
    <t>energy_change=3.24e-09</t>
  </si>
  <si>
    <t>energy_change=-3.49e-07</t>
  </si>
  <si>
    <t>energy_change=3.11e-05</t>
  </si>
  <si>
    <t>energy_change=-5.44e-06</t>
  </si>
  <si>
    <t>area=1.572794e+16  impact=0.444338</t>
  </si>
  <si>
    <t>ias15 (default)</t>
  </si>
  <si>
    <t>energy_change=0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</si>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</sst>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</numFmts>
  <fonts count="2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0" fontId="0" fillId="5" borderId="0" xfId="0" applyFill="1"/>
    <xf numFmtId="173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75" fontId="0" fillId="0" borderId="0" xfId="0" applyNumberFormat="1"/>
    <xf numFmtId="3" fontId="0" fillId="0" borderId="4" xfId="0" applyNumberFormat="1" applyBorder="1"/>
    <xf numFmtId="1" fontId="0" fillId="0" borderId="4" xfId="0" applyNumberFormat="1" applyBorder="1"/>
    <xf numFmtId="173" fontId="0" fillId="0" borderId="4" xfId="0" applyNumberFormat="1" applyBorder="1"/>
    <xf numFmtId="174" fontId="0" fillId="0" borderId="4" xfId="1" applyNumberFormat="1" applyFont="1" applyBorder="1"/>
    <xf numFmtId="2" fontId="0" fillId="0" borderId="4" xfId="0" applyNumberFormat="1" applyBorder="1"/>
    <xf numFmtId="0" fontId="0" fillId="5" borderId="4" xfId="0" applyFill="1" applyBorder="1"/>
    <xf numFmtId="0" fontId="0" fillId="3" borderId="4" xfId="0" applyFill="1" applyBorder="1"/>
    <xf numFmtId="0" fontId="25" fillId="0" borderId="0" xfId="0" applyFont="1" applyAlignment="1">
      <alignment horizontal="right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5" Type="http://schemas.openxmlformats.org/officeDocument/2006/relationships/image" Target="../media/image23.png"/><Relationship Id="rId4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29</xdr:row>
      <xdr:rowOff>28574</xdr:rowOff>
    </xdr:from>
    <xdr:to>
      <xdr:col>12</xdr:col>
      <xdr:colOff>323850</xdr:colOff>
      <xdr:row>37</xdr:row>
      <xdr:rowOff>28575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4324350" y="5553074"/>
          <a:ext cx="7429500" cy="152400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T55"/>
  <sheetViews>
    <sheetView tabSelected="1" topLeftCell="A23" workbookViewId="0">
      <selection activeCell="O36" sqref="O36"/>
    </sheetView>
  </sheetViews>
  <sheetFormatPr baseColWidth="10" defaultColWidth="11.5703125" defaultRowHeight="15"/>
  <cols>
    <col min="1" max="1" width="3.5703125" customWidth="1"/>
    <col min="3" max="3" width="33.140625" customWidth="1"/>
    <col min="4" max="4" width="13.7109375" bestFit="1" customWidth="1"/>
    <col min="6" max="6" width="21.140625" customWidth="1"/>
    <col min="7" max="7" width="12.5703125" bestFit="1" customWidth="1"/>
    <col min="10" max="10" width="13" bestFit="1" customWidth="1"/>
    <col min="11" max="12" width="14" customWidth="1"/>
  </cols>
  <sheetData>
    <row r="1" spans="2:8">
      <c r="B1" t="s">
        <v>162</v>
      </c>
    </row>
    <row r="2" spans="2:8">
      <c r="C2" s="1"/>
      <c r="D2" s="1" t="s">
        <v>161</v>
      </c>
      <c r="E2" s="1" t="s">
        <v>160</v>
      </c>
      <c r="F2" s="1" t="s">
        <v>159</v>
      </c>
      <c r="G2" s="1" t="s">
        <v>158</v>
      </c>
    </row>
    <row r="3" spans="2:8">
      <c r="C3" s="1" t="s">
        <v>88</v>
      </c>
      <c r="D3" s="1" t="s">
        <v>157</v>
      </c>
      <c r="E3" s="1" t="s">
        <v>157</v>
      </c>
      <c r="F3" s="1" t="s">
        <v>157</v>
      </c>
      <c r="G3" s="1" t="s">
        <v>157</v>
      </c>
    </row>
    <row r="4" spans="2:8">
      <c r="B4" t="s">
        <v>156</v>
      </c>
      <c r="C4" s="152" t="s">
        <v>155</v>
      </c>
      <c r="D4">
        <v>-15</v>
      </c>
    </row>
    <row r="5" spans="2:8">
      <c r="B5" t="s">
        <v>154</v>
      </c>
      <c r="C5">
        <v>6</v>
      </c>
      <c r="D5">
        <v>-12</v>
      </c>
    </row>
    <row r="6" spans="2:8">
      <c r="B6" t="s">
        <v>154</v>
      </c>
      <c r="C6">
        <v>60</v>
      </c>
      <c r="D6">
        <v>-11</v>
      </c>
    </row>
    <row r="7" spans="2:8">
      <c r="B7" t="s">
        <v>154</v>
      </c>
      <c r="C7">
        <v>600</v>
      </c>
      <c r="D7">
        <v>-9</v>
      </c>
    </row>
    <row r="8" spans="2:8">
      <c r="B8" t="s">
        <v>154</v>
      </c>
      <c r="C8">
        <v>1200</v>
      </c>
      <c r="D8">
        <v>-9</v>
      </c>
    </row>
    <row r="9" spans="2:8">
      <c r="B9" t="s">
        <v>154</v>
      </c>
      <c r="C9">
        <v>2400</v>
      </c>
      <c r="D9">
        <v>-8</v>
      </c>
    </row>
    <row r="10" spans="2:8">
      <c r="B10" t="s">
        <v>154</v>
      </c>
      <c r="C10">
        <v>4800</v>
      </c>
      <c r="D10">
        <v>-8</v>
      </c>
    </row>
    <row r="11" spans="2:8">
      <c r="B11" t="s">
        <v>154</v>
      </c>
      <c r="C11">
        <v>7200</v>
      </c>
      <c r="D11">
        <v>-7</v>
      </c>
    </row>
    <row r="12" spans="2:8">
      <c r="B12" t="s">
        <v>154</v>
      </c>
      <c r="C12">
        <v>14400</v>
      </c>
      <c r="D12">
        <v>-7</v>
      </c>
      <c r="G12">
        <v>-7</v>
      </c>
    </row>
    <row r="13" spans="2:8">
      <c r="B13" t="s">
        <v>154</v>
      </c>
      <c r="C13">
        <v>28800</v>
      </c>
      <c r="D13">
        <v>-6</v>
      </c>
    </row>
    <row r="14" spans="2:8">
      <c r="B14" t="s">
        <v>154</v>
      </c>
      <c r="C14">
        <v>86400</v>
      </c>
      <c r="D14">
        <v>-5</v>
      </c>
      <c r="E14">
        <v>-6</v>
      </c>
      <c r="F14">
        <v>-6</v>
      </c>
      <c r="G14">
        <v>-6</v>
      </c>
      <c r="H14" t="s">
        <v>164</v>
      </c>
    </row>
    <row r="15" spans="2:8">
      <c r="B15" t="s">
        <v>156</v>
      </c>
      <c r="C15">
        <v>86400</v>
      </c>
      <c r="D15">
        <v>-16</v>
      </c>
      <c r="F15">
        <v>-16</v>
      </c>
      <c r="G15">
        <v>-15</v>
      </c>
      <c r="H15" t="s">
        <v>163</v>
      </c>
    </row>
    <row r="17" spans="2:8">
      <c r="B17" t="s">
        <v>154</v>
      </c>
      <c r="C17">
        <v>3600</v>
      </c>
      <c r="F17">
        <v>-9</v>
      </c>
      <c r="H17" t="s">
        <v>165</v>
      </c>
    </row>
    <row r="18" spans="2:8" s="186" customFormat="1">
      <c r="B18" s="186" t="s">
        <v>156</v>
      </c>
      <c r="C18" s="186">
        <v>3600</v>
      </c>
      <c r="F18" s="186">
        <v>-15</v>
      </c>
      <c r="H18" s="186" t="s">
        <v>166</v>
      </c>
    </row>
    <row r="20" spans="2:8">
      <c r="B20" s="183" t="s">
        <v>197</v>
      </c>
      <c r="C20" s="183" t="s">
        <v>203</v>
      </c>
      <c r="D20" s="3" t="s">
        <v>202</v>
      </c>
    </row>
    <row r="21" spans="2:8">
      <c r="B21">
        <v>18</v>
      </c>
      <c r="C21" s="184">
        <v>0.77344284736481861</v>
      </c>
      <c r="D21" t="s">
        <v>196</v>
      </c>
    </row>
    <row r="22" spans="2:8">
      <c r="B22">
        <v>180</v>
      </c>
      <c r="C22" s="184">
        <v>0.77344284736481861</v>
      </c>
      <c r="D22" t="s">
        <v>195</v>
      </c>
    </row>
    <row r="23" spans="2:8">
      <c r="B23">
        <v>1800</v>
      </c>
      <c r="C23" s="184">
        <v>0.77344284736481861</v>
      </c>
      <c r="D23" t="s">
        <v>194</v>
      </c>
    </row>
    <row r="24" spans="2:8">
      <c r="B24">
        <v>18000</v>
      </c>
      <c r="C24" s="184">
        <v>0.77344284736481861</v>
      </c>
      <c r="D24" t="s">
        <v>198</v>
      </c>
    </row>
    <row r="25" spans="2:8">
      <c r="B25">
        <v>18000</v>
      </c>
      <c r="C25" s="184">
        <v>77.344284736481868</v>
      </c>
      <c r="D25" t="s">
        <v>201</v>
      </c>
    </row>
    <row r="26" spans="2:8">
      <c r="B26">
        <v>18000</v>
      </c>
      <c r="C26" s="184">
        <v>773.44284736481859</v>
      </c>
      <c r="D26" t="s">
        <v>204</v>
      </c>
    </row>
    <row r="27" spans="2:8">
      <c r="B27">
        <v>180000</v>
      </c>
      <c r="C27" s="184">
        <v>0.77563312799452433</v>
      </c>
      <c r="D27" t="s">
        <v>199</v>
      </c>
    </row>
    <row r="28" spans="2:8">
      <c r="B28">
        <v>1800000</v>
      </c>
      <c r="C28" s="184">
        <v>0.7986310746064339</v>
      </c>
      <c r="D28" t="s">
        <v>200</v>
      </c>
    </row>
    <row r="29" spans="2:8" s="186" customFormat="1">
      <c r="B29" s="186" t="s">
        <v>205</v>
      </c>
    </row>
    <row r="30" spans="2:8">
      <c r="C30" s="3" t="s">
        <v>197</v>
      </c>
      <c r="D30" s="196">
        <v>1800</v>
      </c>
    </row>
    <row r="31" spans="2:8">
      <c r="C31" s="3" t="s">
        <v>210</v>
      </c>
      <c r="D31" s="187">
        <v>100000</v>
      </c>
    </row>
    <row r="32" spans="2:8">
      <c r="C32" s="3" t="s">
        <v>206</v>
      </c>
      <c r="D32" s="198">
        <v>2458400.0109999999</v>
      </c>
    </row>
    <row r="33" spans="2:20">
      <c r="C33" s="3" t="s">
        <v>208</v>
      </c>
      <c r="D33" s="197">
        <v>2460472.3902825499</v>
      </c>
    </row>
    <row r="34" spans="2:20">
      <c r="C34" s="3" t="s">
        <v>209</v>
      </c>
      <c r="D34" s="197">
        <f>(D33-D32)/D30*(60*60*24)</f>
        <v>99474.205562397838</v>
      </c>
    </row>
    <row r="35" spans="2:20">
      <c r="C35" s="3" t="s">
        <v>211</v>
      </c>
      <c r="D35" s="197">
        <f>D30*D31/(60*60*24)</f>
        <v>2083.3333333333335</v>
      </c>
    </row>
    <row r="36" spans="2:20">
      <c r="C36" s="3" t="s">
        <v>223</v>
      </c>
      <c r="D36" s="184">
        <v>0.25</v>
      </c>
    </row>
    <row r="37" spans="2:20">
      <c r="C37" s="3" t="s">
        <v>238</v>
      </c>
      <c r="D37" s="196">
        <f>D30*ROUNDDOWN(D34,0)</f>
        <v>179053200</v>
      </c>
    </row>
    <row r="38" spans="2:20">
      <c r="D38" s="183" t="s">
        <v>197</v>
      </c>
      <c r="E38" s="183" t="s">
        <v>210</v>
      </c>
      <c r="F38" s="183" t="s">
        <v>237</v>
      </c>
      <c r="G38" s="183" t="s">
        <v>214</v>
      </c>
      <c r="H38" s="183" t="s">
        <v>213</v>
      </c>
      <c r="I38" s="183" t="s">
        <v>215</v>
      </c>
      <c r="J38" s="183" t="s">
        <v>220</v>
      </c>
      <c r="K38" s="183" t="s">
        <v>224</v>
      </c>
      <c r="L38" s="183" t="s">
        <v>227</v>
      </c>
    </row>
    <row r="39" spans="2:20">
      <c r="B39" s="185"/>
      <c r="C39" t="s">
        <v>212</v>
      </c>
      <c r="D39" s="195">
        <v>1800</v>
      </c>
      <c r="E39" s="192">
        <v>100000</v>
      </c>
      <c r="F39" s="191">
        <v>99474</v>
      </c>
      <c r="G39" s="189">
        <f>SUBSTITUTE(RIGHT(LEFT(M39,17),12),".",",")*1</f>
        <v>1.572794E+16</v>
      </c>
      <c r="H39">
        <f>SUBSTITUTE(RIGHT(M39,8),".",",")*1</f>
        <v>0.44228800000000001</v>
      </c>
      <c r="I39">
        <v>2.0499999999999998</v>
      </c>
      <c r="L39" s="187"/>
      <c r="M39" s="188" t="s">
        <v>207</v>
      </c>
      <c r="P39" s="194" t="s">
        <v>225</v>
      </c>
      <c r="Q39" s="194"/>
      <c r="R39" s="194"/>
      <c r="S39" s="194"/>
      <c r="T39" s="194"/>
    </row>
    <row r="40" spans="2:20">
      <c r="B40">
        <v>0.01</v>
      </c>
      <c r="C40" t="s">
        <v>212</v>
      </c>
      <c r="D40" s="196">
        <f t="shared" ref="D40:D47" si="0">D$39*$B40</f>
        <v>18</v>
      </c>
      <c r="E40" s="187">
        <f t="shared" ref="E40:F47" si="1">E$39/$B40</f>
        <v>10000000</v>
      </c>
      <c r="F40">
        <f t="shared" si="1"/>
        <v>9947400</v>
      </c>
      <c r="G40" s="189">
        <f>SUBSTITUTE(RIGHT(LEFT(M40,17),12),".",",")*1</f>
        <v>1.572794E+16</v>
      </c>
      <c r="H40">
        <f>SUBSTITUTE(RIGHT(M40,8),".",",")*1</f>
        <v>0.44228800000000001</v>
      </c>
      <c r="I40">
        <v>212.84</v>
      </c>
      <c r="J40" s="190">
        <f t="shared" ref="J40:J42" si="2">H40/H$39-1</f>
        <v>0</v>
      </c>
      <c r="K40" s="184">
        <f t="shared" ref="K40:K42" si="3">$D$36*J40*60*60*24</f>
        <v>0</v>
      </c>
      <c r="L40" s="187"/>
      <c r="M40" s="188" t="s">
        <v>207</v>
      </c>
      <c r="P40" s="194"/>
      <c r="Q40" s="194"/>
      <c r="R40" s="194"/>
      <c r="S40" s="194"/>
      <c r="T40" s="194"/>
    </row>
    <row r="41" spans="2:20">
      <c r="B41">
        <v>2</v>
      </c>
      <c r="C41" t="s">
        <v>212</v>
      </c>
      <c r="D41" s="196">
        <f t="shared" si="0"/>
        <v>3600</v>
      </c>
      <c r="E41" s="187">
        <f t="shared" si="1"/>
        <v>50000</v>
      </c>
      <c r="F41">
        <f t="shared" si="1"/>
        <v>49737</v>
      </c>
      <c r="G41" s="189">
        <f>SUBSTITUTE(RIGHT(LEFT(M41,17),12),".",",")*1</f>
        <v>1.572794E+16</v>
      </c>
      <c r="H41">
        <f>SUBSTITUTE(RIGHT(M41,8),".",",")*1</f>
        <v>0.44228899999999999</v>
      </c>
      <c r="I41">
        <v>1.07</v>
      </c>
      <c r="J41" s="190">
        <f t="shared" si="2"/>
        <v>2.2609702274856147E-6</v>
      </c>
      <c r="K41" s="184">
        <f t="shared" si="3"/>
        <v>4.8836956913689278E-2</v>
      </c>
      <c r="L41" s="187"/>
      <c r="M41" s="188" t="s">
        <v>216</v>
      </c>
      <c r="P41" s="194"/>
      <c r="Q41" s="194"/>
      <c r="R41" s="194"/>
      <c r="S41" s="194"/>
      <c r="T41" s="194"/>
    </row>
    <row r="42" spans="2:20">
      <c r="B42">
        <f>2*3</f>
        <v>6</v>
      </c>
      <c r="C42" t="s">
        <v>212</v>
      </c>
      <c r="D42" s="196">
        <f t="shared" si="0"/>
        <v>10800</v>
      </c>
      <c r="E42" s="2">
        <f t="shared" si="1"/>
        <v>16666.666666666668</v>
      </c>
      <c r="F42">
        <f t="shared" si="1"/>
        <v>16579</v>
      </c>
      <c r="G42" s="189">
        <f>SUBSTITUTE(RIGHT(LEFT(M42,17),12),".",",")*1</f>
        <v>1.572794E+16</v>
      </c>
      <c r="H42">
        <f>SUBSTITUTE(RIGHT(M42,8),".",",")*1</f>
        <v>0.442301</v>
      </c>
      <c r="I42">
        <v>0.36</v>
      </c>
      <c r="J42" s="190">
        <f t="shared" si="2"/>
        <v>2.9392612957979125E-5</v>
      </c>
      <c r="K42" s="184">
        <f t="shared" si="3"/>
        <v>0.6348804398923491</v>
      </c>
      <c r="L42" s="187">
        <v>3.2999999999999998E-8</v>
      </c>
      <c r="M42" s="188" t="s">
        <v>217</v>
      </c>
      <c r="P42" s="194" t="s">
        <v>228</v>
      </c>
      <c r="Q42" s="194" t="s">
        <v>229</v>
      </c>
      <c r="R42" s="194" t="s">
        <v>230</v>
      </c>
      <c r="S42" s="194"/>
      <c r="T42" s="194"/>
    </row>
    <row r="43" spans="2:20">
      <c r="B43">
        <v>59</v>
      </c>
      <c r="C43" t="s">
        <v>212</v>
      </c>
      <c r="D43" s="196">
        <f t="shared" si="0"/>
        <v>106200</v>
      </c>
      <c r="E43" s="2">
        <f t="shared" si="1"/>
        <v>1694.9152542372881</v>
      </c>
      <c r="F43">
        <f t="shared" si="1"/>
        <v>1686</v>
      </c>
      <c r="G43" s="189">
        <f>SUBSTITUTE(RIGHT(LEFT(M43,17),12),".",",")*1</f>
        <v>1.572794E+16</v>
      </c>
      <c r="H43">
        <f>SUBSTITUTE(RIGHT(M43,8),".",",")*1</f>
        <v>0.444328</v>
      </c>
      <c r="I43">
        <v>0.04</v>
      </c>
      <c r="J43" s="190">
        <f>H43/H$39-1</f>
        <v>4.612379264189892E-3</v>
      </c>
      <c r="K43" s="184">
        <f>$D$36*J43*60*60*24</f>
        <v>99.627392106501674</v>
      </c>
      <c r="L43" s="187">
        <v>3.1099999999999997E-5</v>
      </c>
      <c r="M43" s="188" t="s">
        <v>218</v>
      </c>
      <c r="P43" s="194" t="s">
        <v>226</v>
      </c>
      <c r="Q43" s="194" t="s">
        <v>231</v>
      </c>
      <c r="R43" s="194" t="s">
        <v>232</v>
      </c>
      <c r="S43" s="194" t="s">
        <v>233</v>
      </c>
      <c r="T43" s="194"/>
    </row>
    <row r="44" spans="2:20">
      <c r="B44">
        <v>281</v>
      </c>
      <c r="C44" t="s">
        <v>212</v>
      </c>
      <c r="D44" s="196">
        <f t="shared" si="0"/>
        <v>505800</v>
      </c>
      <c r="E44" s="2">
        <f t="shared" si="1"/>
        <v>355.87188612099646</v>
      </c>
      <c r="F44">
        <f t="shared" si="1"/>
        <v>354</v>
      </c>
      <c r="G44" s="193" t="s">
        <v>0</v>
      </c>
      <c r="H44" s="193" t="s">
        <v>0</v>
      </c>
      <c r="I44" s="193" t="s">
        <v>0</v>
      </c>
      <c r="J44" s="193" t="s">
        <v>0</v>
      </c>
      <c r="L44" s="187"/>
      <c r="M44" s="188" t="s">
        <v>221</v>
      </c>
      <c r="P44" s="194"/>
      <c r="Q44" s="194"/>
      <c r="R44" s="194"/>
      <c r="S44" s="194"/>
      <c r="T44" s="194"/>
    </row>
    <row r="45" spans="2:20">
      <c r="B45">
        <v>1</v>
      </c>
      <c r="C45" t="s">
        <v>212</v>
      </c>
      <c r="D45" s="196">
        <f t="shared" si="0"/>
        <v>1800</v>
      </c>
      <c r="E45" s="187">
        <f t="shared" si="1"/>
        <v>100000</v>
      </c>
      <c r="F45">
        <f t="shared" si="1"/>
        <v>99474</v>
      </c>
      <c r="G45" s="193" t="s">
        <v>0</v>
      </c>
      <c r="H45" s="193" t="s">
        <v>222</v>
      </c>
      <c r="I45" s="193" t="s">
        <v>0</v>
      </c>
      <c r="J45" s="193" t="s">
        <v>0</v>
      </c>
      <c r="L45" s="187"/>
      <c r="M45" s="188" t="s">
        <v>219</v>
      </c>
      <c r="P45" s="194"/>
      <c r="Q45" s="194"/>
      <c r="R45" s="194"/>
      <c r="S45" s="194"/>
      <c r="T45" s="194"/>
    </row>
    <row r="46" spans="2:20">
      <c r="B46">
        <v>59</v>
      </c>
      <c r="C46" t="s">
        <v>212</v>
      </c>
      <c r="D46" s="196">
        <f t="shared" si="0"/>
        <v>106200</v>
      </c>
      <c r="E46" s="2">
        <f t="shared" si="1"/>
        <v>1694.9152542372881</v>
      </c>
      <c r="F46">
        <f t="shared" si="1"/>
        <v>1686</v>
      </c>
      <c r="G46" s="189">
        <f>SUBSTITUTE(RIGHT(LEFT(M46,17),12),".",",")*1</f>
        <v>1.572794E+16</v>
      </c>
      <c r="H46">
        <f>SUBSTITUTE(RIGHT(M46,8),".",",")*1</f>
        <v>0.44433800000000001</v>
      </c>
      <c r="I46">
        <v>0.08</v>
      </c>
      <c r="J46" s="190">
        <f>H46/H$39-1</f>
        <v>4.6349889664651922E-3</v>
      </c>
      <c r="K46" s="184">
        <f>$D$36*J46*60*60*24</f>
        <v>100.11576167564814</v>
      </c>
      <c r="L46" s="187"/>
      <c r="M46" s="188" t="s">
        <v>234</v>
      </c>
      <c r="P46" s="194"/>
      <c r="Q46" s="194"/>
      <c r="R46" s="194"/>
      <c r="S46" s="194"/>
      <c r="T46" s="194"/>
    </row>
    <row r="47" spans="2:20">
      <c r="B47" s="186">
        <v>59</v>
      </c>
      <c r="C47" s="186" t="s">
        <v>235</v>
      </c>
      <c r="D47" s="199">
        <f t="shared" si="0"/>
        <v>106200</v>
      </c>
      <c r="E47" s="200">
        <f t="shared" si="1"/>
        <v>1694.9152542372881</v>
      </c>
      <c r="F47" s="186">
        <f t="shared" si="1"/>
        <v>1686</v>
      </c>
      <c r="G47" s="201">
        <f>SUBSTITUTE(RIGHT(LEFT(M47,17),12),".",",")*1</f>
        <v>1.572794E+16</v>
      </c>
      <c r="H47" s="186">
        <f>SUBSTITUTE(RIGHT(M47,8),".",",")*1</f>
        <v>0.44228800000000001</v>
      </c>
      <c r="I47" s="186">
        <v>0.28999999999999998</v>
      </c>
      <c r="J47" s="202">
        <f>H47/H$39-1</f>
        <v>0</v>
      </c>
      <c r="K47" s="203">
        <f>$D$36*J47*60*60*24</f>
        <v>0</v>
      </c>
      <c r="L47" s="186"/>
      <c r="M47" s="204" t="s">
        <v>207</v>
      </c>
      <c r="N47" s="186"/>
      <c r="O47" s="186"/>
      <c r="P47" s="205" t="s">
        <v>236</v>
      </c>
      <c r="Q47" s="205"/>
      <c r="R47" s="205"/>
      <c r="S47" s="205"/>
      <c r="T47" s="205"/>
    </row>
    <row r="48" spans="2:20">
      <c r="B48" s="206" t="s">
        <v>239</v>
      </c>
      <c r="C48" t="s">
        <v>235</v>
      </c>
      <c r="D48" s="1" t="s">
        <v>0</v>
      </c>
      <c r="E48">
        <v>4281</v>
      </c>
      <c r="F48">
        <v>3780</v>
      </c>
      <c r="G48" s="189">
        <f>SUBSTITUTE(RIGHT(LEFT(M48,17),12),".",",")*1</f>
        <v>1.572794E+16</v>
      </c>
      <c r="H48">
        <f>SUBSTITUTE(RIGHT(M48,8),".",",")*1</f>
        <v>0.44228800000000001</v>
      </c>
      <c r="I48">
        <v>0.34</v>
      </c>
      <c r="J48" s="190">
        <f>H48/H$39-1</f>
        <v>0</v>
      </c>
      <c r="K48" s="184">
        <f>$D$36*J48*60*60*24</f>
        <v>0</v>
      </c>
      <c r="L48" s="187">
        <v>9.9999999999999998E-17</v>
      </c>
      <c r="M48" s="188" t="s">
        <v>207</v>
      </c>
    </row>
    <row r="49" spans="2:13">
      <c r="B49" s="206" t="s">
        <v>239</v>
      </c>
      <c r="C49" t="s">
        <v>212</v>
      </c>
      <c r="D49">
        <v>1800</v>
      </c>
      <c r="E49">
        <v>4281</v>
      </c>
      <c r="F49">
        <v>3780</v>
      </c>
      <c r="G49" s="189">
        <f>SUBSTITUTE(RIGHT(LEFT(M49,17),12),".",",")*1</f>
        <v>1.572794E+16</v>
      </c>
      <c r="H49">
        <f>SUBSTITUTE(RIGHT(M49,8),".",",")*1</f>
        <v>0.44228800000000001</v>
      </c>
      <c r="I49">
        <v>0.15</v>
      </c>
      <c r="J49" s="190">
        <f>H49/H$39-1</f>
        <v>0</v>
      </c>
      <c r="K49" s="184">
        <f>$D$36*J49*60*60*24</f>
        <v>0</v>
      </c>
      <c r="L49" s="187">
        <v>6E-10</v>
      </c>
      <c r="M49" s="188" t="s">
        <v>207</v>
      </c>
    </row>
    <row r="50" spans="2:13">
      <c r="B50" s="206" t="s">
        <v>239</v>
      </c>
      <c r="C50" t="s">
        <v>212</v>
      </c>
      <c r="D50">
        <v>10800</v>
      </c>
      <c r="E50">
        <v>4281</v>
      </c>
      <c r="F50">
        <v>3780</v>
      </c>
      <c r="G50" s="189">
        <f t="shared" ref="G50:G55" si="4">SUBSTITUTE(RIGHT(LEFT(M50,17),12),".",",")*1</f>
        <v>1.572794E+16</v>
      </c>
      <c r="H50">
        <f t="shared" ref="H50:H55" si="5">SUBSTITUTE(RIGHT(M50,8),".",",")*1</f>
        <v>0.44228400000000001</v>
      </c>
      <c r="I50" s="120">
        <v>0.10100000000000001</v>
      </c>
      <c r="J50" s="190">
        <f t="shared" ref="J50:J55" si="6">H50/H$39-1</f>
        <v>-9.0438809101645035E-6</v>
      </c>
      <c r="K50" s="184">
        <f t="shared" ref="K50:K55" si="7">$D$36*J50*60*60*24</f>
        <v>-0.19534782765955327</v>
      </c>
      <c r="L50" s="187">
        <v>9.9999999999999995E-8</v>
      </c>
      <c r="M50" s="188" t="s">
        <v>240</v>
      </c>
    </row>
    <row r="51" spans="2:13">
      <c r="B51" s="206" t="s">
        <v>239</v>
      </c>
      <c r="C51" t="s">
        <v>212</v>
      </c>
      <c r="D51">
        <v>106200</v>
      </c>
      <c r="E51">
        <v>4281</v>
      </c>
      <c r="F51">
        <v>3780</v>
      </c>
      <c r="G51" s="189">
        <f t="shared" si="4"/>
        <v>1.572794E+16</v>
      </c>
      <c r="H51">
        <f t="shared" si="5"/>
        <v>0.44170599999999999</v>
      </c>
      <c r="I51" s="120">
        <v>0.09</v>
      </c>
      <c r="J51" s="190">
        <f t="shared" si="6"/>
        <v>-1.3158846724307116E-3</v>
      </c>
      <c r="K51" s="184">
        <f t="shared" si="7"/>
        <v>-28.423108924503371</v>
      </c>
      <c r="L51" s="187">
        <v>1.9999999999999999E-6</v>
      </c>
      <c r="M51" s="188" t="s">
        <v>241</v>
      </c>
    </row>
    <row r="52" spans="2:13">
      <c r="B52" s="206" t="s">
        <v>239</v>
      </c>
      <c r="C52" t="s">
        <v>242</v>
      </c>
      <c r="D52">
        <v>10800</v>
      </c>
      <c r="E52">
        <v>4281</v>
      </c>
      <c r="F52">
        <v>3780</v>
      </c>
      <c r="G52" s="189">
        <f t="shared" si="4"/>
        <v>1.572794E+16</v>
      </c>
      <c r="H52">
        <f t="shared" si="5"/>
        <v>0.44228400000000001</v>
      </c>
      <c r="I52">
        <v>9.5000000000000001E-2</v>
      </c>
      <c r="J52" s="190">
        <f t="shared" si="6"/>
        <v>-9.0438809101645035E-6</v>
      </c>
      <c r="K52" s="184">
        <f t="shared" si="7"/>
        <v>-0.19534782765955327</v>
      </c>
      <c r="L52" s="187">
        <v>9.9999999999999995E-8</v>
      </c>
      <c r="M52" s="188" t="s">
        <v>240</v>
      </c>
    </row>
    <row r="53" spans="2:13">
      <c r="B53" s="206" t="s">
        <v>239</v>
      </c>
      <c r="C53" t="s">
        <v>243</v>
      </c>
      <c r="D53">
        <v>10800</v>
      </c>
      <c r="E53">
        <v>4281</v>
      </c>
      <c r="F53">
        <v>3780</v>
      </c>
      <c r="G53" s="189">
        <f t="shared" si="4"/>
        <v>1.572794E+16</v>
      </c>
      <c r="H53">
        <f t="shared" si="5"/>
        <v>0.442301</v>
      </c>
      <c r="I53">
        <v>0.158</v>
      </c>
      <c r="J53" s="190">
        <f t="shared" si="6"/>
        <v>2.9392612957979125E-5</v>
      </c>
      <c r="K53" s="184">
        <f t="shared" si="7"/>
        <v>0.6348804398923491</v>
      </c>
      <c r="L53" s="187">
        <v>1E-8</v>
      </c>
      <c r="M53" s="188" t="s">
        <v>217</v>
      </c>
    </row>
    <row r="54" spans="2:13">
      <c r="B54" s="206" t="s">
        <v>239</v>
      </c>
      <c r="C54" t="s">
        <v>243</v>
      </c>
      <c r="D54">
        <v>106200</v>
      </c>
      <c r="E54">
        <v>4281</v>
      </c>
      <c r="F54">
        <v>3780</v>
      </c>
      <c r="G54" s="189">
        <f t="shared" si="4"/>
        <v>1.572794E+16</v>
      </c>
      <c r="H54">
        <f t="shared" si="5"/>
        <v>0.443247</v>
      </c>
      <c r="I54">
        <v>0.17</v>
      </c>
      <c r="J54" s="190">
        <f t="shared" si="6"/>
        <v>2.1682704482146598E-3</v>
      </c>
      <c r="K54" s="184">
        <f t="shared" si="7"/>
        <v>46.834641681436651</v>
      </c>
      <c r="L54" s="187">
        <v>9.9999999999999995E-7</v>
      </c>
      <c r="M54" s="188" t="s">
        <v>244</v>
      </c>
    </row>
    <row r="55" spans="2:13">
      <c r="B55" s="206" t="s">
        <v>239</v>
      </c>
      <c r="E55">
        <v>4281</v>
      </c>
      <c r="F55">
        <v>3780</v>
      </c>
      <c r="G55" s="189" t="e">
        <f t="shared" si="4"/>
        <v>#VALUE!</v>
      </c>
      <c r="H55" t="e">
        <f t="shared" si="5"/>
        <v>#VALUE!</v>
      </c>
      <c r="J55" s="190" t="e">
        <f t="shared" si="6"/>
        <v>#VALUE!</v>
      </c>
      <c r="K55" s="184" t="e">
        <f t="shared" si="7"/>
        <v>#VALUE!</v>
      </c>
      <c r="L55" s="187"/>
    </row>
  </sheetData>
  <autoFilter ref="B20:D34" xr:uid="{A243E092-630F-4AF3-826F-3B08B7255F60}"/>
  <sortState xmlns:xlrd2="http://schemas.microsoft.com/office/spreadsheetml/2017/richdata2" ref="B21:D28">
    <sortCondition ref="B20:B28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11" style="153" bestFit="1" customWidth="1"/>
    <col min="4" max="4" width="18.140625" style="153" bestFit="1" customWidth="1"/>
    <col min="5" max="5" width="18.5703125" style="153" customWidth="1"/>
    <col min="6" max="6" width="6.5703125" style="153" customWidth="1"/>
    <col min="7" max="7" width="16.28515625" style="153" bestFit="1" customWidth="1"/>
    <col min="8" max="16384" width="35.28515625" style="153"/>
  </cols>
  <sheetData>
    <row r="1" spans="1:8">
      <c r="A1" s="173" t="s">
        <v>179</v>
      </c>
      <c r="B1" s="171"/>
      <c r="C1" s="172"/>
    </row>
    <row r="2" spans="1:8">
      <c r="A2" s="174" t="s">
        <v>191</v>
      </c>
      <c r="B2" s="175" t="s">
        <v>192</v>
      </c>
      <c r="C2" s="176" t="s">
        <v>193</v>
      </c>
    </row>
    <row r="3" spans="1:8">
      <c r="A3" s="177">
        <v>1</v>
      </c>
      <c r="B3" s="178" t="s">
        <v>180</v>
      </c>
      <c r="C3" s="179" t="s">
        <v>190</v>
      </c>
    </row>
    <row r="4" spans="1:8">
      <c r="A4" s="177">
        <v>2</v>
      </c>
      <c r="B4" s="178" t="s">
        <v>181</v>
      </c>
      <c r="C4" s="179" t="s">
        <v>189</v>
      </c>
    </row>
    <row r="5" spans="1:8" ht="15.75" thickBot="1">
      <c r="A5" s="180">
        <v>3</v>
      </c>
      <c r="B5" s="181" t="s">
        <v>183</v>
      </c>
      <c r="C5" s="182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t="30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53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4"/>
    </row>
    <row r="17" spans="1:6" ht="30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t="30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t="30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t="30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t="30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t="30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53" t="s">
        <v>178</v>
      </c>
    </row>
    <row r="44" spans="1:8" ht="30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53" t="s">
        <v>178</v>
      </c>
      <c r="H46" s="153" t="s">
        <v>186</v>
      </c>
    </row>
    <row r="47" spans="1:8" ht="30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t="30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L20" sqref="L20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K31" s="7">
        <v>2460069.75</v>
      </c>
      <c r="L31" s="12">
        <f>K19-K31</f>
        <v>625.7845518598333</v>
      </c>
      <c r="M31" s="12">
        <v>15</v>
      </c>
      <c r="N31" s="7">
        <f>L31/M31</f>
        <v>41.718970123988889</v>
      </c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2025-07-07T14:35:14Z</dcterms:modified>
</cp:coreProperties>
</file>