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Faculdade\Teoria das Estruturas\Lista 02\Resolução\PorticoPlanoV2\porticos\01\"/>
    </mc:Choice>
  </mc:AlternateContent>
  <xr:revisionPtr revIDLastSave="0" documentId="13_ncr:1_{8E4CF259-1286-49EC-BD1E-91C202F2EB5A}" xr6:coauthVersionLast="47" xr6:coauthVersionMax="47" xr10:uidLastSave="{00000000-0000-0000-0000-000000000000}"/>
  <bookViews>
    <workbookView xWindow="-108" yWindow="-108" windowWidth="23256" windowHeight="12576" xr2:uid="{ED116D09-7778-4A28-BF95-725EA29D26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3" i="1" l="1" a="1"/>
  <c r="AB18" i="1" s="1"/>
  <c r="AB2" i="1" a="1"/>
  <c r="AB7" i="1" s="1"/>
  <c r="AT42" i="1" a="1"/>
  <c r="AR56" i="1" l="1" a="1"/>
  <c r="AR57" i="1" s="1"/>
  <c r="AT51" i="1"/>
  <c r="AT50" i="1"/>
  <c r="AT44" i="1"/>
  <c r="AT42" i="1"/>
  <c r="AT43" i="1"/>
  <c r="AB14" i="1"/>
  <c r="AB15" i="1"/>
  <c r="AB13" i="1"/>
  <c r="AB16" i="1"/>
  <c r="AB17" i="1"/>
  <c r="AB6" i="1"/>
  <c r="AB5" i="1"/>
  <c r="AB4" i="1"/>
  <c r="AB3" i="1"/>
  <c r="AB2" i="1"/>
  <c r="AT47" i="1"/>
  <c r="AT46" i="1"/>
  <c r="AT45" i="1"/>
  <c r="AT52" i="1"/>
  <c r="AT49" i="1"/>
  <c r="AT48" i="1"/>
  <c r="AT53" i="1"/>
  <c r="AR59" i="1" l="1"/>
  <c r="AR60" i="1"/>
  <c r="AR62" i="1"/>
  <c r="AR64" i="1"/>
  <c r="AR65" i="1"/>
  <c r="AR61" i="1"/>
  <c r="AR67" i="1"/>
  <c r="AR63" i="1"/>
  <c r="AR58" i="1"/>
  <c r="AR56" i="1"/>
  <c r="AR66" i="1"/>
  <c r="C8" i="1"/>
  <c r="C30" i="1"/>
  <c r="G26" i="1" s="1"/>
  <c r="AS16" i="1"/>
  <c r="AS15" i="1"/>
  <c r="C19" i="1"/>
  <c r="AA15" i="1" l="1"/>
  <c r="AA18" i="1" s="1"/>
  <c r="AA14" i="1"/>
  <c r="AA17" i="1" s="1"/>
  <c r="G3" i="1"/>
  <c r="AA4" i="1"/>
  <c r="AA7" i="1" s="1"/>
  <c r="AA3" i="1"/>
  <c r="AA6" i="1" s="1"/>
  <c r="G29" i="1"/>
  <c r="J26" i="1"/>
  <c r="H28" i="1"/>
  <c r="H25" i="1"/>
  <c r="K25" i="1" s="1"/>
  <c r="M24" i="1"/>
  <c r="N24" i="1"/>
  <c r="H29" i="1"/>
  <c r="K26" i="1" s="1"/>
  <c r="F24" i="1"/>
  <c r="H26" i="1"/>
  <c r="K29" i="1" s="1"/>
  <c r="G25" i="1"/>
  <c r="J29" i="1" l="1"/>
  <c r="K28" i="1"/>
  <c r="M25" i="1"/>
  <c r="P28" i="1" s="1"/>
  <c r="Q27" i="1"/>
  <c r="G28" i="1"/>
  <c r="J28" i="1"/>
  <c r="J25" i="1"/>
  <c r="I24" i="1"/>
  <c r="I27" i="1"/>
  <c r="F27" i="1"/>
  <c r="N25" i="1"/>
  <c r="Q28" i="1" s="1"/>
  <c r="P27" i="1"/>
  <c r="H18" i="1"/>
  <c r="K15" i="1" s="1"/>
  <c r="T24" i="1" l="1" a="1"/>
  <c r="J6" i="1"/>
  <c r="J3" i="1"/>
  <c r="G6" i="1"/>
  <c r="G4" i="1"/>
  <c r="N2" i="1"/>
  <c r="M2" i="1"/>
  <c r="H4" i="1"/>
  <c r="K7" i="1" s="1"/>
  <c r="F2" i="1"/>
  <c r="H7" i="1"/>
  <c r="K4" i="1" s="1"/>
  <c r="G14" i="1"/>
  <c r="F13" i="1"/>
  <c r="M13" i="1"/>
  <c r="N13" i="1"/>
  <c r="G15" i="1"/>
  <c r="H15" i="1"/>
  <c r="K18" i="1" s="1"/>
  <c r="X29" i="1" l="1"/>
  <c r="V28" i="1"/>
  <c r="T27" i="1"/>
  <c r="X25" i="1"/>
  <c r="V24" i="1"/>
  <c r="U24" i="1"/>
  <c r="V29" i="1"/>
  <c r="X26" i="1"/>
  <c r="V25" i="1"/>
  <c r="Y27" i="1"/>
  <c r="U25" i="1"/>
  <c r="X28" i="1"/>
  <c r="V27" i="1"/>
  <c r="T26" i="1"/>
  <c r="X24" i="1"/>
  <c r="Y29" i="1"/>
  <c r="W28" i="1"/>
  <c r="U27" i="1"/>
  <c r="Y25" i="1"/>
  <c r="W24" i="1"/>
  <c r="W29" i="1"/>
  <c r="U28" i="1"/>
  <c r="Y26" i="1"/>
  <c r="W25" i="1"/>
  <c r="T28" i="1"/>
  <c r="T24" i="1"/>
  <c r="U29" i="1"/>
  <c r="W26" i="1"/>
  <c r="T29" i="1"/>
  <c r="X27" i="1"/>
  <c r="V26" i="1"/>
  <c r="T25" i="1"/>
  <c r="Y28" i="1"/>
  <c r="W27" i="1"/>
  <c r="U26" i="1"/>
  <c r="Y24" i="1"/>
  <c r="I2" i="1"/>
  <c r="F5" i="1"/>
  <c r="I5" i="1"/>
  <c r="M3" i="1"/>
  <c r="P6" i="1" s="1"/>
  <c r="Q5" i="1"/>
  <c r="P5" i="1"/>
  <c r="N3" i="1"/>
  <c r="Q6" i="1" s="1"/>
  <c r="H6" i="1"/>
  <c r="H3" i="1"/>
  <c r="K3" i="1" s="1"/>
  <c r="J4" i="1"/>
  <c r="G7" i="1"/>
  <c r="J17" i="1"/>
  <c r="J14" i="1"/>
  <c r="G17" i="1"/>
  <c r="F16" i="1"/>
  <c r="I16" i="1"/>
  <c r="I13" i="1"/>
  <c r="M14" i="1"/>
  <c r="P17" i="1" s="1"/>
  <c r="Q16" i="1"/>
  <c r="J15" i="1"/>
  <c r="G18" i="1"/>
  <c r="H17" i="1"/>
  <c r="H14" i="1"/>
  <c r="K14" i="1" s="1"/>
  <c r="N14" i="1"/>
  <c r="Q17" i="1" s="1"/>
  <c r="P16" i="1"/>
  <c r="AM31" i="1" l="1" a="1"/>
  <c r="AG37" i="1" a="1"/>
  <c r="AM37" i="1" a="1"/>
  <c r="AG31" i="1" a="1"/>
  <c r="K6" i="1"/>
  <c r="T2" i="1" s="1" a="1"/>
  <c r="J7" i="1"/>
  <c r="J18" i="1"/>
  <c r="K17" i="1"/>
  <c r="T13" i="1" s="1" a="1"/>
  <c r="AM37" i="1" l="1"/>
  <c r="AN39" i="1"/>
  <c r="AO38" i="1"/>
  <c r="AN38" i="1"/>
  <c r="AO37" i="1"/>
  <c r="AM38" i="1"/>
  <c r="AN37" i="1"/>
  <c r="AO39" i="1"/>
  <c r="AM39" i="1"/>
  <c r="AG31" i="1"/>
  <c r="AI32" i="1"/>
  <c r="AH32" i="1"/>
  <c r="AH33" i="1"/>
  <c r="AG32" i="1"/>
  <c r="AI31" i="1"/>
  <c r="AH31" i="1"/>
  <c r="AI33" i="1"/>
  <c r="AG33" i="1"/>
  <c r="AH37" i="1"/>
  <c r="AI37" i="1"/>
  <c r="AI39" i="1"/>
  <c r="AH39" i="1"/>
  <c r="AG37" i="1"/>
  <c r="AG39" i="1"/>
  <c r="AH38" i="1"/>
  <c r="AI38" i="1"/>
  <c r="AG38" i="1"/>
  <c r="AN31" i="1"/>
  <c r="AO32" i="1"/>
  <c r="AO31" i="1"/>
  <c r="AM31" i="1"/>
  <c r="AN33" i="1"/>
  <c r="AM33" i="1"/>
  <c r="AO33" i="1"/>
  <c r="AN32" i="1"/>
  <c r="AM32" i="1"/>
  <c r="X4" i="1"/>
  <c r="V7" i="1"/>
  <c r="X5" i="1"/>
  <c r="W7" i="1"/>
  <c r="V6" i="1"/>
  <c r="X7" i="1"/>
  <c r="Y7" i="1"/>
  <c r="T5" i="1"/>
  <c r="X6" i="1"/>
  <c r="Y5" i="1"/>
  <c r="U7" i="1"/>
  <c r="V5" i="1"/>
  <c r="U2" i="1"/>
  <c r="T2" i="1"/>
  <c r="W2" i="1"/>
  <c r="V2" i="1"/>
  <c r="Y6" i="1"/>
  <c r="U6" i="1"/>
  <c r="U3" i="1"/>
  <c r="T4" i="1"/>
  <c r="V4" i="1"/>
  <c r="W5" i="1"/>
  <c r="Y3" i="1"/>
  <c r="W6" i="1"/>
  <c r="T7" i="1"/>
  <c r="T3" i="1"/>
  <c r="Y4" i="1"/>
  <c r="U4" i="1"/>
  <c r="X2" i="1"/>
  <c r="V3" i="1"/>
  <c r="X3" i="1"/>
  <c r="W3" i="1"/>
  <c r="T6" i="1"/>
  <c r="U5" i="1"/>
  <c r="Y2" i="1"/>
  <c r="W4" i="1"/>
  <c r="X18" i="1"/>
  <c r="Y18" i="1"/>
  <c r="T14" i="1"/>
  <c r="V14" i="1"/>
  <c r="U17" i="1"/>
  <c r="T16" i="1"/>
  <c r="Y13" i="1"/>
  <c r="V15" i="1"/>
  <c r="X15" i="1"/>
  <c r="W18" i="1"/>
  <c r="V17" i="1"/>
  <c r="Y14" i="1"/>
  <c r="X16" i="1"/>
  <c r="T17" i="1"/>
  <c r="U16" i="1"/>
  <c r="X13" i="1"/>
  <c r="T18" i="1"/>
  <c r="V18" i="1"/>
  <c r="V16" i="1"/>
  <c r="X17" i="1"/>
  <c r="Y16" i="1"/>
  <c r="U14" i="1"/>
  <c r="U15" i="1"/>
  <c r="U13" i="1"/>
  <c r="W15" i="1"/>
  <c r="W16" i="1"/>
  <c r="U18" i="1"/>
  <c r="W17" i="1"/>
  <c r="V13" i="1"/>
  <c r="W13" i="1"/>
  <c r="T15" i="1"/>
  <c r="W14" i="1"/>
  <c r="Y17" i="1"/>
  <c r="T13" i="1"/>
  <c r="Y15" i="1"/>
  <c r="X14" i="1"/>
  <c r="AD8" i="1" l="1" a="1"/>
  <c r="AJ2" i="1" a="1"/>
  <c r="AJ21" i="1" a="1"/>
  <c r="AJ8" i="1" a="1"/>
  <c r="AD2" i="1" a="1"/>
  <c r="AK21" i="1" l="1"/>
  <c r="AM21" i="1"/>
  <c r="AN23" i="1"/>
  <c r="AL23" i="1"/>
  <c r="AN26" i="1"/>
  <c r="AO21" i="1"/>
  <c r="AM22" i="1"/>
  <c r="AL22" i="1"/>
  <c r="AO25" i="1"/>
  <c r="AL25" i="1"/>
  <c r="AN25" i="1"/>
  <c r="AK26" i="1"/>
  <c r="AN22" i="1"/>
  <c r="AO24" i="1"/>
  <c r="AO22" i="1"/>
  <c r="AJ21" i="1"/>
  <c r="AK23" i="1"/>
  <c r="AJ24" i="1"/>
  <c r="AN21" i="1"/>
  <c r="AL24" i="1"/>
  <c r="AJ23" i="1"/>
  <c r="AJ25" i="1"/>
  <c r="AM25" i="1"/>
  <c r="AN24" i="1"/>
  <c r="AL21" i="1"/>
  <c r="AM24" i="1"/>
  <c r="AM23" i="1"/>
  <c r="AO26" i="1"/>
  <c r="AJ26" i="1"/>
  <c r="AM26" i="1"/>
  <c r="AL26" i="1"/>
  <c r="AK22" i="1"/>
  <c r="AK24" i="1"/>
  <c r="AJ22" i="1"/>
  <c r="AK25" i="1"/>
  <c r="AO23" i="1"/>
  <c r="AD8" i="1"/>
  <c r="AF10" i="1"/>
  <c r="AD10" i="1"/>
  <c r="AF8" i="1"/>
  <c r="AE10" i="1"/>
  <c r="AE8" i="1"/>
  <c r="AD9" i="1"/>
  <c r="AF9" i="1"/>
  <c r="AE9" i="1"/>
  <c r="AD2" i="1"/>
  <c r="AF4" i="1"/>
  <c r="AD4" i="1"/>
  <c r="AE4" i="1"/>
  <c r="AE3" i="1"/>
  <c r="AF3" i="1"/>
  <c r="AD3" i="1"/>
  <c r="AF2" i="1"/>
  <c r="AE2" i="1"/>
  <c r="AK8" i="1"/>
  <c r="AK9" i="1"/>
  <c r="AL10" i="1"/>
  <c r="AL9" i="1"/>
  <c r="AJ8" i="1"/>
  <c r="AJ9" i="1"/>
  <c r="AL8" i="1"/>
  <c r="AK10" i="1"/>
  <c r="AJ10" i="1"/>
  <c r="AK2" i="1"/>
  <c r="AK3" i="1"/>
  <c r="AJ2" i="1"/>
  <c r="AJ4" i="1"/>
  <c r="AJ3" i="1"/>
  <c r="AL4" i="1"/>
  <c r="AL3" i="1"/>
  <c r="AL2" i="1"/>
  <c r="AK4" i="1"/>
  <c r="AD42" i="1" l="1" a="1"/>
  <c r="AD42" i="1" l="1"/>
  <c r="AK50" i="1"/>
  <c r="AN49" i="1"/>
  <c r="AO45" i="1"/>
  <c r="AI52" i="1"/>
  <c r="AL53" i="1"/>
  <c r="AG52" i="1"/>
  <c r="AG46" i="1"/>
  <c r="AG51" i="1"/>
  <c r="AD45" i="1"/>
  <c r="AN46" i="1"/>
  <c r="AM42" i="1"/>
  <c r="AG45" i="1"/>
  <c r="AN47" i="1"/>
  <c r="AK42" i="1"/>
  <c r="AI50" i="1"/>
  <c r="AH52" i="1"/>
  <c r="AO50" i="1"/>
  <c r="AK45" i="1"/>
  <c r="AO47" i="1"/>
  <c r="AF43" i="1"/>
  <c r="AE43" i="1"/>
  <c r="AH44" i="1"/>
  <c r="AJ51" i="1"/>
  <c r="AF46" i="1"/>
  <c r="AM52" i="1"/>
  <c r="AI47" i="1"/>
  <c r="AE42" i="1"/>
  <c r="AH51" i="1"/>
  <c r="AD46" i="1"/>
  <c r="AM53" i="1"/>
  <c r="AN45" i="1"/>
  <c r="AF53" i="1"/>
  <c r="AE49" i="1"/>
  <c r="AD51" i="1"/>
  <c r="AG50" i="1"/>
  <c r="AO44" i="1"/>
  <c r="AO43" i="1"/>
  <c r="AE53" i="1"/>
  <c r="AD53" i="1"/>
  <c r="AD43" i="1"/>
  <c r="AN50" i="1"/>
  <c r="AJ45" i="1"/>
  <c r="AE52" i="1"/>
  <c r="AM46" i="1"/>
  <c r="AK52" i="1"/>
  <c r="AL50" i="1"/>
  <c r="AH45" i="1"/>
  <c r="AG49" i="1"/>
  <c r="AF49" i="1"/>
  <c r="AI46" i="1"/>
  <c r="AH48" i="1"/>
  <c r="AO48" i="1"/>
  <c r="AN51" i="1"/>
  <c r="AM49" i="1"/>
  <c r="AK53" i="1"/>
  <c r="AF44" i="1"/>
  <c r="AI45" i="1"/>
  <c r="AH49" i="1"/>
  <c r="AI53" i="1"/>
  <c r="AO51" i="1"/>
  <c r="AN43" i="1"/>
  <c r="AF51" i="1"/>
  <c r="AM47" i="1"/>
  <c r="AL49" i="1"/>
  <c r="AK49" i="1"/>
  <c r="AG44" i="1"/>
  <c r="AN53" i="1"/>
  <c r="AE51" i="1"/>
  <c r="AL51" i="1"/>
  <c r="AH42" i="1"/>
  <c r="AF50" i="1"/>
  <c r="AN44" i="1"/>
  <c r="AI51" i="1"/>
  <c r="AE46" i="1"/>
  <c r="AK48" i="1"/>
  <c r="AD50" i="1"/>
  <c r="AL44" i="1"/>
  <c r="AM51" i="1"/>
  <c r="AK43" i="1"/>
  <c r="AH50" i="1"/>
  <c r="AJ49" i="1"/>
  <c r="AM50" i="1"/>
  <c r="AG47" i="1"/>
  <c r="AD44" i="1"/>
  <c r="AI44" i="1"/>
  <c r="AL46" i="1"/>
  <c r="AD52" i="1"/>
  <c r="AK46" i="1"/>
  <c r="AL45" i="1"/>
  <c r="AF47" i="1"/>
  <c r="AE45" i="1"/>
  <c r="AH46" i="1"/>
  <c r="AG48" i="1"/>
  <c r="AO42" i="1"/>
  <c r="AJ50" i="1"/>
  <c r="AI48" i="1"/>
  <c r="AD49" i="1"/>
  <c r="AK51" i="1"/>
  <c r="AN48" i="1"/>
  <c r="AJ43" i="1"/>
  <c r="AE50" i="1"/>
  <c r="AM44" i="1"/>
  <c r="AK44" i="1"/>
  <c r="AL48" i="1"/>
  <c r="AH43" i="1"/>
  <c r="AF52" i="1"/>
  <c r="AG43" i="1"/>
  <c r="AG53" i="1"/>
  <c r="AF45" i="1"/>
  <c r="AM43" i="1"/>
  <c r="AL43" i="1"/>
  <c r="AK47" i="1"/>
  <c r="AG42" i="1"/>
  <c r="AJ48" i="1"/>
  <c r="AE47" i="1"/>
  <c r="AL47" i="1"/>
  <c r="AJ53" i="1"/>
  <c r="AF48" i="1"/>
  <c r="AN42" i="1"/>
  <c r="AI49" i="1"/>
  <c r="AE44" i="1"/>
  <c r="AH53" i="1"/>
  <c r="AD48" i="1"/>
  <c r="AL42" i="1"/>
  <c r="AJ52" i="1"/>
  <c r="AO49" i="1"/>
  <c r="AJ42" i="1"/>
  <c r="AI42" i="1"/>
  <c r="AO52" i="1"/>
  <c r="AO46" i="1"/>
  <c r="AO53" i="1"/>
  <c r="AJ46" i="1"/>
  <c r="AM45" i="1"/>
  <c r="AD47" i="1"/>
  <c r="AN52" i="1"/>
  <c r="AJ47" i="1"/>
  <c r="AF42" i="1"/>
  <c r="AM48" i="1"/>
  <c r="AI43" i="1"/>
  <c r="AL52" i="1"/>
  <c r="AH47" i="1"/>
  <c r="AJ44" i="1"/>
  <c r="AE48" i="1"/>
  <c r="AR14" i="1" l="1" a="1"/>
  <c r="AR18" i="1" s="1"/>
  <c r="AR3" i="1" a="1"/>
  <c r="AR14" i="1" l="1"/>
  <c r="AR15" i="1"/>
  <c r="AR17" i="1"/>
  <c r="AR16" i="1"/>
  <c r="AR19" i="1"/>
  <c r="AR8" i="1"/>
  <c r="AS8" i="1" s="1"/>
  <c r="AR5" i="1"/>
  <c r="AS5" i="1" s="1"/>
  <c r="AR4" i="1"/>
  <c r="AS4" i="1" s="1"/>
  <c r="AR6" i="1"/>
  <c r="AS6" i="1" s="1"/>
  <c r="AR7" i="1"/>
  <c r="AS7" i="1" s="1"/>
  <c r="AR3" i="1"/>
  <c r="AS3" i="1" s="1"/>
  <c r="AT14" i="1" a="1"/>
  <c r="AT19" i="1" l="1"/>
  <c r="AU19" i="1" s="1"/>
  <c r="AT15" i="1"/>
  <c r="AU15" i="1" s="1"/>
  <c r="AT18" i="1"/>
  <c r="AU18" i="1" s="1"/>
  <c r="AT17" i="1"/>
  <c r="AU17" i="1" s="1"/>
  <c r="AT16" i="1"/>
  <c r="AU16" i="1" s="1"/>
  <c r="AT14" i="1"/>
  <c r="AU14" i="1" s="1"/>
</calcChain>
</file>

<file path=xl/sharedStrings.xml><?xml version="1.0" encoding="utf-8"?>
<sst xmlns="http://schemas.openxmlformats.org/spreadsheetml/2006/main" count="94" uniqueCount="35">
  <si>
    <t>Barra 01</t>
  </si>
  <si>
    <t>Nó Inicial</t>
  </si>
  <si>
    <t>Nó Final</t>
  </si>
  <si>
    <t>E</t>
  </si>
  <si>
    <t>A</t>
  </si>
  <si>
    <t>Iz</t>
  </si>
  <si>
    <t>x (m)</t>
  </si>
  <si>
    <t>y (m)</t>
  </si>
  <si>
    <t>N/m²</t>
  </si>
  <si>
    <t>m²</t>
  </si>
  <si>
    <r>
      <t>m</t>
    </r>
    <r>
      <rPr>
        <vertAlign val="superscript"/>
        <sz val="11"/>
        <color theme="1"/>
        <rFont val="Calibri"/>
        <family val="2"/>
        <scheme val="minor"/>
      </rPr>
      <t>4</t>
    </r>
  </si>
  <si>
    <t>Matriz de Rigidez Local (Kl)</t>
  </si>
  <si>
    <t>L</t>
  </si>
  <si>
    <t>m</t>
  </si>
  <si>
    <t>Parâmetros</t>
  </si>
  <si>
    <t>Matriz de Rotação</t>
  </si>
  <si>
    <t>Matriz de Rigidez nas Coordenas Globais</t>
  </si>
  <si>
    <t>Incerção na Matriz de Rigidez Global</t>
  </si>
  <si>
    <t>Barra 02</t>
  </si>
  <si>
    <t>Term.Carga</t>
  </si>
  <si>
    <t>Deslocamentos</t>
  </si>
  <si>
    <t>Cargas-Nós (f)</t>
  </si>
  <si>
    <r>
      <t>Carga-Barras (</t>
    </r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Calibri"/>
        <family val="2"/>
        <scheme val="minor"/>
      </rPr>
      <t>)</t>
    </r>
  </si>
  <si>
    <t>f-β</t>
  </si>
  <si>
    <t>k*D-(f-β)</t>
  </si>
  <si>
    <t>Esforços</t>
  </si>
  <si>
    <t>Esforços-Nós</t>
  </si>
  <si>
    <t>Total</t>
  </si>
  <si>
    <t>Diagrama</t>
  </si>
  <si>
    <t>kN</t>
  </si>
  <si>
    <t>kN.m</t>
  </si>
  <si>
    <t>Esforços-Barra</t>
  </si>
  <si>
    <t>Barra 03</t>
  </si>
  <si>
    <t>Carga local</t>
  </si>
  <si>
    <t>Carga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</si>
</sst>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vertical="center" textRotation="90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/>
    <xf numFmtId="11" fontId="0" fillId="0" borderId="3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0" xfId="0" applyBorder="1"/>
    <xf numFmtId="11" fontId="0" fillId="0" borderId="1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2" xfId="0" applyNumberFormat="1" applyBorder="1"/>
    <xf numFmtId="11" fontId="0" fillId="0" borderId="3" xfId="0" applyNumberFormat="1" applyBorder="1"/>
    <xf numFmtId="11" fontId="0" fillId="0" borderId="4" xfId="0" applyNumberFormat="1" applyBorder="1"/>
    <xf numFmtId="11" fontId="0" fillId="0" borderId="0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13251</xdr:colOff>
      <xdr:row>1</xdr:row>
      <xdr:rowOff>6626</xdr:rowOff>
    </xdr:from>
    <xdr:to>
      <xdr:col>47</xdr:col>
      <xdr:colOff>397175</xdr:colOff>
      <xdr:row>2</xdr:row>
      <xdr:rowOff>82363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B7A4999-2900-9A0D-8B92-9F30E2F3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67025" y="198783"/>
          <a:ext cx="987287" cy="261267"/>
        </a:xfrm>
        <a:prstGeom prst="rect">
          <a:avLst/>
        </a:prstGeom>
      </xdr:spPr>
    </xdr:pic>
    <xdr:clientData/>
  </xdr:twoCellAnchor>
  <xdr:twoCellAnchor editAs="oneCell">
    <xdr:from>
      <xdr:col>46</xdr:col>
      <xdr:colOff>19879</xdr:colOff>
      <xdr:row>2</xdr:row>
      <xdr:rowOff>119270</xdr:rowOff>
    </xdr:from>
    <xdr:to>
      <xdr:col>47</xdr:col>
      <xdr:colOff>536713</xdr:colOff>
      <xdr:row>3</xdr:row>
      <xdr:rowOff>172279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8D8641D-8B2C-7F24-A749-91701AE9C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73653" y="496957"/>
          <a:ext cx="1120197" cy="238539"/>
        </a:xfrm>
        <a:prstGeom prst="rect">
          <a:avLst/>
        </a:prstGeom>
      </xdr:spPr>
    </xdr:pic>
    <xdr:clientData/>
  </xdr:twoCellAnchor>
  <xdr:twoCellAnchor editAs="oneCell">
    <xdr:from>
      <xdr:col>45</xdr:col>
      <xdr:colOff>516835</xdr:colOff>
      <xdr:row>0</xdr:row>
      <xdr:rowOff>145775</xdr:rowOff>
    </xdr:from>
    <xdr:to>
      <xdr:col>47</xdr:col>
      <xdr:colOff>83770</xdr:colOff>
      <xdr:row>8</xdr:row>
      <xdr:rowOff>19879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99D179C-8758-8C16-7000-5702CBF91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99478" y="145775"/>
          <a:ext cx="790033" cy="1391478"/>
        </a:xfrm>
        <a:prstGeom prst="rect">
          <a:avLst/>
        </a:prstGeom>
      </xdr:spPr>
    </xdr:pic>
    <xdr:clientData/>
  </xdr:twoCellAnchor>
  <xdr:twoCellAnchor editAs="oneCell">
    <xdr:from>
      <xdr:col>20</xdr:col>
      <xdr:colOff>855234</xdr:colOff>
      <xdr:row>40</xdr:row>
      <xdr:rowOff>60640</xdr:rowOff>
    </xdr:from>
    <xdr:to>
      <xdr:col>28</xdr:col>
      <xdr:colOff>396304</xdr:colOff>
      <xdr:row>52</xdr:row>
      <xdr:rowOff>123788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D2828D5-A285-CF4F-8C30-9B338F0A610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3" t="7496" r="26908" b="42462"/>
        <a:stretch/>
      </xdr:blipFill>
      <xdr:spPr bwMode="auto">
        <a:xfrm>
          <a:off x="13058120" y="7658869"/>
          <a:ext cx="5833013" cy="2294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072B-E992-410C-9047-2160BD6F3B76}">
  <dimension ref="A1:AV67"/>
  <sheetViews>
    <sheetView tabSelected="1" topLeftCell="F1" zoomScaleNormal="100" workbookViewId="0">
      <selection activeCell="AR64" sqref="AR64"/>
    </sheetView>
  </sheetViews>
  <sheetFormatPr defaultRowHeight="14.4" x14ac:dyDescent="0.3"/>
  <cols>
    <col min="1" max="1" width="3.5546875" bestFit="1" customWidth="1"/>
    <col min="3" max="3" width="9.109375" bestFit="1" customWidth="1"/>
    <col min="6" max="11" width="9.21875" bestFit="1" customWidth="1"/>
    <col min="20" max="20" width="12.44140625" bestFit="1" customWidth="1"/>
    <col min="21" max="21" width="13" bestFit="1" customWidth="1"/>
    <col min="22" max="22" width="11.33203125" bestFit="1" customWidth="1"/>
    <col min="23" max="23" width="12.44140625" bestFit="1" customWidth="1"/>
    <col min="24" max="24" width="13" bestFit="1" customWidth="1"/>
    <col min="25" max="25" width="11.33203125" bestFit="1" customWidth="1"/>
    <col min="27" max="27" width="11" bestFit="1" customWidth="1"/>
    <col min="28" max="28" width="11" customWidth="1"/>
    <col min="30" max="30" width="10.6640625" bestFit="1" customWidth="1"/>
    <col min="31" max="31" width="9.6640625" bestFit="1" customWidth="1"/>
    <col min="32" max="32" width="9.109375" bestFit="1" customWidth="1"/>
    <col min="33" max="33" width="12.6640625" bestFit="1" customWidth="1"/>
    <col min="34" max="34" width="10.6640625" bestFit="1" customWidth="1"/>
    <col min="35" max="35" width="11.5546875" bestFit="1" customWidth="1"/>
    <col min="36" max="36" width="9.6640625" customWidth="1"/>
    <col min="37" max="37" width="10.6640625" bestFit="1" customWidth="1"/>
    <col min="38" max="38" width="11.5546875" bestFit="1" customWidth="1"/>
    <col min="39" max="39" width="10.6640625" bestFit="1" customWidth="1"/>
    <col min="40" max="40" width="9.33203125" customWidth="1"/>
    <col min="41" max="41" width="10.44140625" customWidth="1"/>
    <col min="42" max="42" width="9.21875" bestFit="1" customWidth="1"/>
    <col min="43" max="43" width="15" bestFit="1" customWidth="1"/>
    <col min="44" max="44" width="14.6640625" bestFit="1" customWidth="1"/>
    <col min="45" max="45" width="13.21875" bestFit="1" customWidth="1"/>
  </cols>
  <sheetData>
    <row r="1" spans="1:48" ht="15" thickBot="1" x14ac:dyDescent="0.35">
      <c r="B1" s="35" t="s">
        <v>14</v>
      </c>
      <c r="C1" s="35"/>
      <c r="D1" s="35"/>
      <c r="F1" s="35" t="s">
        <v>11</v>
      </c>
      <c r="G1" s="35"/>
      <c r="H1" s="35"/>
      <c r="I1" s="35"/>
      <c r="J1" s="35"/>
      <c r="K1" s="35"/>
      <c r="M1" s="35" t="s">
        <v>15</v>
      </c>
      <c r="N1" s="35"/>
      <c r="O1" s="35"/>
      <c r="P1" s="35"/>
      <c r="Q1" s="35"/>
      <c r="R1" s="35"/>
      <c r="T1" s="35" t="s">
        <v>16</v>
      </c>
      <c r="U1" s="35"/>
      <c r="V1" s="35"/>
      <c r="W1" s="35"/>
      <c r="X1" s="35"/>
      <c r="Y1" s="35"/>
      <c r="AA1" s="55" t="s">
        <v>33</v>
      </c>
      <c r="AB1" s="55" t="s">
        <v>34</v>
      </c>
      <c r="AD1" s="37" t="s">
        <v>17</v>
      </c>
      <c r="AE1" s="37"/>
      <c r="AF1" s="37"/>
      <c r="AG1" s="37"/>
      <c r="AH1" s="37"/>
      <c r="AI1" s="37"/>
      <c r="AJ1" s="37"/>
      <c r="AK1" s="37"/>
      <c r="AL1" s="37"/>
    </row>
    <row r="2" spans="1:48" x14ac:dyDescent="0.3">
      <c r="A2" s="33" t="s">
        <v>0</v>
      </c>
      <c r="C2" s="1" t="s">
        <v>6</v>
      </c>
      <c r="D2" s="1" t="s">
        <v>7</v>
      </c>
      <c r="F2" s="11">
        <f>(C5*C6)/C8</f>
        <v>270000000</v>
      </c>
      <c r="G2" s="12">
        <v>0</v>
      </c>
      <c r="H2" s="12">
        <v>0</v>
      </c>
      <c r="I2" s="13">
        <f>-F2</f>
        <v>-270000000</v>
      </c>
      <c r="J2" s="12">
        <v>0</v>
      </c>
      <c r="K2" s="14">
        <v>0</v>
      </c>
      <c r="M2" s="25">
        <f>(C4-C3)/C8</f>
        <v>0.8</v>
      </c>
      <c r="N2" s="12">
        <f>(D4-D3)/C8</f>
        <v>0.6</v>
      </c>
      <c r="O2" s="12">
        <v>0</v>
      </c>
      <c r="P2" s="12">
        <v>0</v>
      </c>
      <c r="Q2" s="12">
        <v>0</v>
      </c>
      <c r="R2" s="14">
        <v>0</v>
      </c>
      <c r="T2" s="11">
        <f t="array" ref="T2:Y7">MMULT(MMULT(TRANSPOSE(M2:R7),F2:K7),M2:R7)</f>
        <v>173149401.59999999</v>
      </c>
      <c r="U2" s="13">
        <v>129134131.2</v>
      </c>
      <c r="V2" s="13">
        <v>-1455840</v>
      </c>
      <c r="W2" s="13">
        <v>-173149401.59999999</v>
      </c>
      <c r="X2" s="13">
        <v>-129134131.2</v>
      </c>
      <c r="Y2" s="38">
        <v>-1455840</v>
      </c>
      <c r="AA2" s="2">
        <v>0</v>
      </c>
      <c r="AB2" s="2">
        <f t="array" ref="AB2:AB7">MMULT(TRANSPOSE(M2:R7),AA2:AA7)</f>
        <v>-7500</v>
      </c>
      <c r="AD2" s="41">
        <f t="array" ref="AD2:AF4">T2:V4</f>
        <v>173149401.59999999</v>
      </c>
      <c r="AE2" s="4">
        <v>129134131.2</v>
      </c>
      <c r="AF2" s="4">
        <v>-1455840</v>
      </c>
      <c r="AG2" s="4"/>
      <c r="AH2" s="4"/>
      <c r="AI2" s="4"/>
      <c r="AJ2" s="4">
        <f t="array" ref="AJ2:AL4">W2:Y4</f>
        <v>-173149401.59999999</v>
      </c>
      <c r="AK2" s="4">
        <v>-129134131.2</v>
      </c>
      <c r="AL2" s="4">
        <v>-1455840</v>
      </c>
      <c r="AM2" s="4"/>
      <c r="AN2" s="4"/>
      <c r="AO2" s="5"/>
      <c r="AR2" s="32" t="s">
        <v>25</v>
      </c>
      <c r="AS2" s="32" t="s">
        <v>28</v>
      </c>
    </row>
    <row r="3" spans="1:48" x14ac:dyDescent="0.3">
      <c r="A3" s="33"/>
      <c r="B3" t="s">
        <v>1</v>
      </c>
      <c r="C3" s="1">
        <v>0</v>
      </c>
      <c r="D3" s="1">
        <v>0</v>
      </c>
      <c r="F3" s="15">
        <v>0</v>
      </c>
      <c r="G3" s="16">
        <f>(12*C5*C7)/C8^3</f>
        <v>970560</v>
      </c>
      <c r="H3" s="16">
        <f>G4</f>
        <v>2426400</v>
      </c>
      <c r="I3" s="17">
        <v>0</v>
      </c>
      <c r="J3" s="16">
        <f>-G3</f>
        <v>-970560</v>
      </c>
      <c r="K3" s="18">
        <f>H3</f>
        <v>2426400</v>
      </c>
      <c r="M3" s="15">
        <f>-N2</f>
        <v>-0.6</v>
      </c>
      <c r="N3" s="17">
        <f>M2</f>
        <v>0.8</v>
      </c>
      <c r="O3" s="17">
        <v>0</v>
      </c>
      <c r="P3" s="17">
        <v>0</v>
      </c>
      <c r="Q3" s="17">
        <v>0</v>
      </c>
      <c r="R3" s="20">
        <v>0</v>
      </c>
      <c r="T3" s="19">
        <v>129134131.2</v>
      </c>
      <c r="U3" s="16">
        <v>97821158.400000006</v>
      </c>
      <c r="V3" s="16">
        <v>1941120</v>
      </c>
      <c r="W3" s="16">
        <v>-129134131.2</v>
      </c>
      <c r="X3" s="16">
        <v>-97821158.400000006</v>
      </c>
      <c r="Y3" s="18">
        <v>1941120</v>
      </c>
      <c r="AA3" s="2">
        <f>-C9*C8/2</f>
        <v>12500</v>
      </c>
      <c r="AB3" s="2">
        <v>10000</v>
      </c>
      <c r="AD3" s="6">
        <v>129134131.2</v>
      </c>
      <c r="AE3" s="40">
        <v>97821158.400000006</v>
      </c>
      <c r="AF3" s="40">
        <v>1941120</v>
      </c>
      <c r="AG3" s="40"/>
      <c r="AH3" s="40"/>
      <c r="AI3" s="40"/>
      <c r="AJ3" s="40">
        <v>-129134131.2</v>
      </c>
      <c r="AK3" s="40">
        <v>-97821158.400000006</v>
      </c>
      <c r="AL3" s="40">
        <v>1941120</v>
      </c>
      <c r="AM3" s="40"/>
      <c r="AN3" s="40"/>
      <c r="AO3" s="7"/>
      <c r="AR3" s="27">
        <f t="array" ref="AR3:AR8">MMULT(M2:R7,MMULT(T2:Y7,AR56:AR61))</f>
        <v>0</v>
      </c>
      <c r="AS3" s="27">
        <f>-AR3</f>
        <v>0</v>
      </c>
      <c r="AT3" t="s">
        <v>29</v>
      </c>
    </row>
    <row r="4" spans="1:48" x14ac:dyDescent="0.3">
      <c r="A4" s="33"/>
      <c r="B4" t="s">
        <v>2</v>
      </c>
      <c r="C4" s="1">
        <v>4</v>
      </c>
      <c r="D4" s="1">
        <v>3</v>
      </c>
      <c r="F4" s="15">
        <v>0</v>
      </c>
      <c r="G4" s="16">
        <f>(6*C5*C7)/C8^2</f>
        <v>2426400</v>
      </c>
      <c r="H4" s="16">
        <f>(4*C5*C7)/C8</f>
        <v>8088000</v>
      </c>
      <c r="I4" s="17">
        <v>0</v>
      </c>
      <c r="J4" s="16">
        <f>-G4</f>
        <v>-2426400</v>
      </c>
      <c r="K4" s="18">
        <f>H7</f>
        <v>4044000</v>
      </c>
      <c r="M4" s="15">
        <v>0</v>
      </c>
      <c r="N4" s="17">
        <v>0</v>
      </c>
      <c r="O4" s="17">
        <v>1</v>
      </c>
      <c r="P4" s="17">
        <v>0</v>
      </c>
      <c r="Q4" s="17">
        <v>0</v>
      </c>
      <c r="R4" s="20">
        <v>0</v>
      </c>
      <c r="T4" s="19">
        <v>-1455840</v>
      </c>
      <c r="U4" s="16">
        <v>1941120</v>
      </c>
      <c r="V4" s="16">
        <v>8088000</v>
      </c>
      <c r="W4" s="16">
        <v>1455840</v>
      </c>
      <c r="X4" s="16">
        <v>-1941120</v>
      </c>
      <c r="Y4" s="18">
        <v>4044000</v>
      </c>
      <c r="AA4" s="2">
        <f>-C9*C8^2/12</f>
        <v>10416.666666666666</v>
      </c>
      <c r="AB4" s="2">
        <v>10416.666666666666</v>
      </c>
      <c r="AD4" s="6">
        <v>-1455840</v>
      </c>
      <c r="AE4" s="40">
        <v>1941120</v>
      </c>
      <c r="AF4" s="40">
        <v>8088000</v>
      </c>
      <c r="AG4" s="40"/>
      <c r="AH4" s="40"/>
      <c r="AI4" s="40"/>
      <c r="AJ4" s="40">
        <v>1455840</v>
      </c>
      <c r="AK4" s="40">
        <v>-1941120</v>
      </c>
      <c r="AL4" s="40">
        <v>4044000</v>
      </c>
      <c r="AM4" s="40"/>
      <c r="AN4" s="40"/>
      <c r="AO4" s="7"/>
      <c r="AR4" s="27">
        <v>0</v>
      </c>
      <c r="AS4" s="27">
        <f>AR4</f>
        <v>0</v>
      </c>
      <c r="AT4" t="s">
        <v>29</v>
      </c>
    </row>
    <row r="5" spans="1:48" x14ac:dyDescent="0.3">
      <c r="A5" s="33"/>
      <c r="B5" t="s">
        <v>3</v>
      </c>
      <c r="C5" s="2">
        <v>30000000000</v>
      </c>
      <c r="D5" t="s">
        <v>8</v>
      </c>
      <c r="F5" s="19">
        <f>-F2</f>
        <v>-270000000</v>
      </c>
      <c r="G5" s="17">
        <v>0</v>
      </c>
      <c r="H5" s="17">
        <v>0</v>
      </c>
      <c r="I5" s="16">
        <f>F2</f>
        <v>270000000</v>
      </c>
      <c r="J5" s="17">
        <v>0</v>
      </c>
      <c r="K5" s="20">
        <v>0</v>
      </c>
      <c r="M5" s="15">
        <v>0</v>
      </c>
      <c r="N5" s="17">
        <v>0</v>
      </c>
      <c r="O5" s="17">
        <v>0</v>
      </c>
      <c r="P5" s="17">
        <f>M2</f>
        <v>0.8</v>
      </c>
      <c r="Q5" s="17">
        <f>N2</f>
        <v>0.6</v>
      </c>
      <c r="R5" s="20">
        <v>0</v>
      </c>
      <c r="T5" s="19">
        <v>-173149401.59999999</v>
      </c>
      <c r="U5" s="16">
        <v>-129134131.2</v>
      </c>
      <c r="V5" s="16">
        <v>1455840</v>
      </c>
      <c r="W5" s="16">
        <v>173149401.59999999</v>
      </c>
      <c r="X5" s="16">
        <v>129134131.2</v>
      </c>
      <c r="Y5" s="18">
        <v>1455840</v>
      </c>
      <c r="AA5" s="2">
        <v>0</v>
      </c>
      <c r="AB5" s="2">
        <v>-7500</v>
      </c>
      <c r="AD5" s="6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7"/>
      <c r="AR5" s="27">
        <v>0</v>
      </c>
      <c r="AS5" s="27">
        <f>-AR5</f>
        <v>0</v>
      </c>
      <c r="AT5" t="s">
        <v>30</v>
      </c>
    </row>
    <row r="6" spans="1:48" x14ac:dyDescent="0.3">
      <c r="A6" s="33"/>
      <c r="B6" t="s">
        <v>4</v>
      </c>
      <c r="C6" s="2">
        <v>4.4999999999999998E-2</v>
      </c>
      <c r="D6" t="s">
        <v>9</v>
      </c>
      <c r="F6" s="15">
        <v>0</v>
      </c>
      <c r="G6" s="16">
        <f>-G3</f>
        <v>-970560</v>
      </c>
      <c r="H6" s="16">
        <f>-G4</f>
        <v>-2426400</v>
      </c>
      <c r="I6" s="17">
        <v>0</v>
      </c>
      <c r="J6" s="16">
        <f>G3</f>
        <v>970560</v>
      </c>
      <c r="K6" s="18">
        <f>H6</f>
        <v>-2426400</v>
      </c>
      <c r="M6" s="15">
        <v>0</v>
      </c>
      <c r="N6" s="17">
        <v>0</v>
      </c>
      <c r="O6" s="17">
        <v>0</v>
      </c>
      <c r="P6" s="17">
        <f>M3</f>
        <v>-0.6</v>
      </c>
      <c r="Q6" s="17">
        <f>N3</f>
        <v>0.8</v>
      </c>
      <c r="R6" s="20">
        <v>0</v>
      </c>
      <c r="T6" s="19">
        <v>-129134131.2</v>
      </c>
      <c r="U6" s="16">
        <v>-97821158.400000006</v>
      </c>
      <c r="V6" s="16">
        <v>-1941120</v>
      </c>
      <c r="W6" s="16">
        <v>129134131.2</v>
      </c>
      <c r="X6" s="16">
        <v>97821158.400000006</v>
      </c>
      <c r="Y6" s="18">
        <v>-1941120</v>
      </c>
      <c r="AA6" s="2">
        <f>AA3</f>
        <v>12500</v>
      </c>
      <c r="AB6" s="2">
        <v>10000</v>
      </c>
      <c r="AD6" s="6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7"/>
      <c r="AR6" s="27">
        <v>0</v>
      </c>
      <c r="AS6" s="27">
        <f>AR6</f>
        <v>0</v>
      </c>
      <c r="AT6" t="s">
        <v>29</v>
      </c>
    </row>
    <row r="7" spans="1:48" ht="16.8" thickBot="1" x14ac:dyDescent="0.35">
      <c r="A7" s="33"/>
      <c r="B7" t="s">
        <v>5</v>
      </c>
      <c r="C7" s="2">
        <v>3.3700000000000001E-4</v>
      </c>
      <c r="D7" s="3" t="s">
        <v>10</v>
      </c>
      <c r="F7" s="21">
        <v>0</v>
      </c>
      <c r="G7" s="22">
        <f>G4</f>
        <v>2426400</v>
      </c>
      <c r="H7" s="22">
        <f>(2*C5*C7)/C8</f>
        <v>4044000</v>
      </c>
      <c r="I7" s="23">
        <v>0</v>
      </c>
      <c r="J7" s="22">
        <f>H6</f>
        <v>-2426400</v>
      </c>
      <c r="K7" s="24">
        <f>H4</f>
        <v>8088000</v>
      </c>
      <c r="M7" s="21">
        <v>0</v>
      </c>
      <c r="N7" s="23">
        <v>0</v>
      </c>
      <c r="O7" s="23">
        <v>0</v>
      </c>
      <c r="P7" s="23">
        <v>0</v>
      </c>
      <c r="Q7" s="23">
        <v>0</v>
      </c>
      <c r="R7" s="26">
        <v>1</v>
      </c>
      <c r="T7" s="39">
        <v>-1455840</v>
      </c>
      <c r="U7" s="22">
        <v>1941120</v>
      </c>
      <c r="V7" s="22">
        <v>4044000</v>
      </c>
      <c r="W7" s="22">
        <v>1455840</v>
      </c>
      <c r="X7" s="22">
        <v>-1941120</v>
      </c>
      <c r="Y7" s="24">
        <v>8088000</v>
      </c>
      <c r="AA7" s="2">
        <f>-AA4</f>
        <v>-10416.666666666666</v>
      </c>
      <c r="AB7" s="2">
        <v>-10416.666666666666</v>
      </c>
      <c r="AD7" s="6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7"/>
      <c r="AR7" s="27">
        <v>0</v>
      </c>
      <c r="AS7" s="27">
        <f>-AR7</f>
        <v>0</v>
      </c>
      <c r="AT7" t="s">
        <v>29</v>
      </c>
    </row>
    <row r="8" spans="1:48" x14ac:dyDescent="0.3">
      <c r="A8" s="33"/>
      <c r="B8" t="s">
        <v>12</v>
      </c>
      <c r="C8">
        <f>SQRT((C4-C3)^2+(D4-D3)^2)</f>
        <v>5</v>
      </c>
      <c r="D8" t="s">
        <v>13</v>
      </c>
      <c r="T8" s="2"/>
      <c r="U8" s="2"/>
      <c r="V8" s="2"/>
      <c r="W8" s="2"/>
      <c r="X8" s="2"/>
      <c r="Y8" s="2"/>
      <c r="AD8" s="6">
        <f t="array" ref="AD8:AF10">T5:V7</f>
        <v>-173149401.59999999</v>
      </c>
      <c r="AE8" s="40">
        <v>-129134131.2</v>
      </c>
      <c r="AF8" s="40">
        <v>1455840</v>
      </c>
      <c r="AG8" s="40"/>
      <c r="AH8" s="40"/>
      <c r="AI8" s="40"/>
      <c r="AJ8" s="40">
        <f t="array" ref="AJ8:AL10">W5:Y7</f>
        <v>173149401.59999999</v>
      </c>
      <c r="AK8" s="40">
        <v>129134131.2</v>
      </c>
      <c r="AL8" s="40">
        <v>1455840</v>
      </c>
      <c r="AM8" s="40"/>
      <c r="AN8" s="40"/>
      <c r="AO8" s="7"/>
      <c r="AR8" s="28">
        <v>0</v>
      </c>
      <c r="AS8" s="28">
        <f>AR8</f>
        <v>0</v>
      </c>
      <c r="AT8" t="s">
        <v>30</v>
      </c>
    </row>
    <row r="9" spans="1:48" x14ac:dyDescent="0.3">
      <c r="B9" t="s">
        <v>33</v>
      </c>
      <c r="C9" s="2">
        <v>-5000</v>
      </c>
      <c r="D9" t="s">
        <v>29</v>
      </c>
      <c r="AD9" s="6">
        <v>-129134131.2</v>
      </c>
      <c r="AE9" s="40">
        <v>-97821158.400000006</v>
      </c>
      <c r="AF9" s="40">
        <v>-1941120</v>
      </c>
      <c r="AG9" s="40"/>
      <c r="AH9" s="40"/>
      <c r="AI9" s="40"/>
      <c r="AJ9" s="40">
        <v>129134131.2</v>
      </c>
      <c r="AK9" s="40">
        <v>97821158.400000006</v>
      </c>
      <c r="AL9" s="40">
        <v>-1941120</v>
      </c>
      <c r="AM9" s="40"/>
      <c r="AN9" s="40"/>
      <c r="AO9" s="7"/>
    </row>
    <row r="10" spans="1:48" x14ac:dyDescent="0.3">
      <c r="AD10" s="6">
        <v>-1455840</v>
      </c>
      <c r="AE10" s="40">
        <v>1941120</v>
      </c>
      <c r="AF10" s="40">
        <v>4044000</v>
      </c>
      <c r="AG10" s="40"/>
      <c r="AH10" s="40"/>
      <c r="AI10" s="40"/>
      <c r="AJ10" s="40">
        <v>1455840</v>
      </c>
      <c r="AK10" s="40">
        <v>-1941120</v>
      </c>
      <c r="AL10" s="40">
        <v>8088000</v>
      </c>
      <c r="AM10" s="40"/>
      <c r="AN10" s="40"/>
      <c r="AO10" s="7"/>
    </row>
    <row r="11" spans="1:48" x14ac:dyDescent="0.3">
      <c r="AD11" s="6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7"/>
    </row>
    <row r="12" spans="1:48" ht="15" thickBot="1" x14ac:dyDescent="0.35">
      <c r="B12" s="35" t="s">
        <v>14</v>
      </c>
      <c r="C12" s="35"/>
      <c r="D12" s="35"/>
      <c r="F12" s="35" t="s">
        <v>11</v>
      </c>
      <c r="G12" s="35"/>
      <c r="H12" s="35"/>
      <c r="I12" s="35"/>
      <c r="J12" s="35"/>
      <c r="K12" s="35"/>
      <c r="M12" s="35" t="s">
        <v>15</v>
      </c>
      <c r="N12" s="35"/>
      <c r="O12" s="35"/>
      <c r="P12" s="35"/>
      <c r="Q12" s="35"/>
      <c r="R12" s="35"/>
      <c r="T12" s="35" t="s">
        <v>16</v>
      </c>
      <c r="U12" s="35"/>
      <c r="V12" s="35"/>
      <c r="W12" s="35"/>
      <c r="X12" s="35"/>
      <c r="Y12" s="35"/>
      <c r="AA12" s="55" t="s">
        <v>33</v>
      </c>
      <c r="AB12" s="55" t="s">
        <v>34</v>
      </c>
      <c r="AD12" s="6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7"/>
    </row>
    <row r="13" spans="1:48" ht="15" thickBot="1" x14ac:dyDescent="0.35">
      <c r="A13" s="33" t="s">
        <v>18</v>
      </c>
      <c r="C13" s="1" t="s">
        <v>6</v>
      </c>
      <c r="D13" s="1" t="s">
        <v>7</v>
      </c>
      <c r="F13" s="11">
        <f>(C16*C17)/C19</f>
        <v>337500000</v>
      </c>
      <c r="G13" s="12">
        <v>0</v>
      </c>
      <c r="H13" s="12">
        <v>0</v>
      </c>
      <c r="I13" s="13">
        <f>-F13</f>
        <v>-337500000</v>
      </c>
      <c r="J13" s="12">
        <v>0</v>
      </c>
      <c r="K13" s="14">
        <v>0</v>
      </c>
      <c r="M13" s="25">
        <f>(C15-C14)/C19</f>
        <v>1</v>
      </c>
      <c r="N13" s="12">
        <f>(D15-D14)/C19</f>
        <v>0</v>
      </c>
      <c r="O13" s="12">
        <v>0</v>
      </c>
      <c r="P13" s="12">
        <v>0</v>
      </c>
      <c r="Q13" s="12">
        <v>0</v>
      </c>
      <c r="R13" s="14">
        <v>0</v>
      </c>
      <c r="T13" s="25">
        <f t="array" ref="T13:Y18">MMULT(MMULT(TRANSPOSE(M13:R18),F13:K18),M13:R18)</f>
        <v>337500000</v>
      </c>
      <c r="U13" s="12">
        <v>0</v>
      </c>
      <c r="V13" s="12">
        <v>0</v>
      </c>
      <c r="W13" s="12">
        <v>-337500000</v>
      </c>
      <c r="X13" s="12">
        <v>0</v>
      </c>
      <c r="Y13" s="14">
        <v>0</v>
      </c>
      <c r="AA13" s="2">
        <v>0</v>
      </c>
      <c r="AB13" s="2">
        <f t="array" ref="AB13:AB18">MMULT(TRANSPOSE(M13:R18),AA13:AA18)</f>
        <v>0</v>
      </c>
      <c r="AD13" s="8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  <c r="AR13" s="32" t="s">
        <v>26</v>
      </c>
      <c r="AS13" s="32" t="s">
        <v>31</v>
      </c>
      <c r="AT13" s="32" t="s">
        <v>27</v>
      </c>
      <c r="AU13" s="32" t="s">
        <v>28</v>
      </c>
    </row>
    <row r="14" spans="1:48" ht="15" thickBot="1" x14ac:dyDescent="0.35">
      <c r="A14" s="33"/>
      <c r="B14" t="s">
        <v>1</v>
      </c>
      <c r="C14" s="1">
        <v>4</v>
      </c>
      <c r="D14" s="1">
        <v>3</v>
      </c>
      <c r="F14" s="15">
        <v>0</v>
      </c>
      <c r="G14" s="16">
        <f>(12*C16*C18)/C19^3</f>
        <v>2999999.8125</v>
      </c>
      <c r="H14" s="16">
        <f>G15</f>
        <v>5999999.625</v>
      </c>
      <c r="I14" s="17">
        <v>0</v>
      </c>
      <c r="J14" s="16">
        <f>-G14</f>
        <v>-2999999.8125</v>
      </c>
      <c r="K14" s="18">
        <f>H14</f>
        <v>5999999.625</v>
      </c>
      <c r="M14" s="15">
        <f>-N13</f>
        <v>0</v>
      </c>
      <c r="N14" s="17">
        <f>M13</f>
        <v>1</v>
      </c>
      <c r="O14" s="17">
        <v>0</v>
      </c>
      <c r="P14" s="17">
        <v>0</v>
      </c>
      <c r="Q14" s="17">
        <v>0</v>
      </c>
      <c r="R14" s="20">
        <v>0</v>
      </c>
      <c r="T14" s="15">
        <v>0</v>
      </c>
      <c r="U14" s="17">
        <v>2999999.8125</v>
      </c>
      <c r="V14" s="17">
        <v>5999999.625</v>
      </c>
      <c r="W14" s="17">
        <v>0</v>
      </c>
      <c r="X14" s="17">
        <v>-2999999.8125</v>
      </c>
      <c r="Y14" s="20">
        <v>5999999.625</v>
      </c>
      <c r="AA14" s="2">
        <f>-C20*C19/2</f>
        <v>10000</v>
      </c>
      <c r="AB14" s="2">
        <v>10000</v>
      </c>
      <c r="AR14" s="27">
        <f t="array" ref="AR14:AR19">MMULT(M13:R18,MMULT(T13:Y18,AR59:AR64))</f>
        <v>-1517782.4932961401</v>
      </c>
      <c r="AS14" s="29">
        <v>0</v>
      </c>
      <c r="AT14" s="27">
        <f t="array" ref="AT14:AT19">AR14:AR19+AS14:AS19</f>
        <v>-1517782.4932961401</v>
      </c>
      <c r="AU14" s="27">
        <f>-AT14</f>
        <v>1517782.4932961401</v>
      </c>
      <c r="AV14" t="s">
        <v>29</v>
      </c>
    </row>
    <row r="15" spans="1:48" x14ac:dyDescent="0.3">
      <c r="A15" s="33"/>
      <c r="B15" t="s">
        <v>2</v>
      </c>
      <c r="C15" s="1">
        <v>8</v>
      </c>
      <c r="D15" s="1">
        <v>3</v>
      </c>
      <c r="F15" s="15">
        <v>0</v>
      </c>
      <c r="G15" s="16">
        <f>(6*C16*C18)/C19^2</f>
        <v>5999999.625</v>
      </c>
      <c r="H15" s="16">
        <f>(4*C16*C18)/C19</f>
        <v>15999999</v>
      </c>
      <c r="I15" s="17">
        <v>0</v>
      </c>
      <c r="J15" s="16">
        <f>-G15</f>
        <v>-5999999.625</v>
      </c>
      <c r="K15" s="18">
        <f>H18</f>
        <v>7999999.5</v>
      </c>
      <c r="M15" s="15">
        <v>0</v>
      </c>
      <c r="N15" s="17">
        <v>0</v>
      </c>
      <c r="O15" s="17">
        <v>1</v>
      </c>
      <c r="P15" s="17">
        <v>0</v>
      </c>
      <c r="Q15" s="17">
        <v>0</v>
      </c>
      <c r="R15" s="20">
        <v>0</v>
      </c>
      <c r="T15" s="15">
        <v>0</v>
      </c>
      <c r="U15" s="17">
        <v>5999999.625</v>
      </c>
      <c r="V15" s="17">
        <v>15999999</v>
      </c>
      <c r="W15" s="17">
        <v>0</v>
      </c>
      <c r="X15" s="17">
        <v>-5999999.625</v>
      </c>
      <c r="Y15" s="20">
        <v>7999999.5</v>
      </c>
      <c r="AA15" s="2">
        <f>-C20*C19^2/12</f>
        <v>6666.666666666667</v>
      </c>
      <c r="AB15" s="2">
        <v>6666.666666666667</v>
      </c>
      <c r="AD15" s="41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5"/>
      <c r="AR15" s="27">
        <v>25106.757910722659</v>
      </c>
      <c r="AS15" s="29">
        <f>-(-40000*9)/2</f>
        <v>180000</v>
      </c>
      <c r="AT15" s="27">
        <v>205106.75791072266</v>
      </c>
      <c r="AU15" s="27">
        <f>AT15</f>
        <v>205106.75791072266</v>
      </c>
      <c r="AV15" t="s">
        <v>29</v>
      </c>
    </row>
    <row r="16" spans="1:48" x14ac:dyDescent="0.3">
      <c r="A16" s="33"/>
      <c r="B16" t="s">
        <v>3</v>
      </c>
      <c r="C16" s="2">
        <v>30000000000</v>
      </c>
      <c r="D16" t="s">
        <v>8</v>
      </c>
      <c r="F16" s="19">
        <f>-F13</f>
        <v>-337500000</v>
      </c>
      <c r="G16" s="17">
        <v>0</v>
      </c>
      <c r="H16" s="17">
        <v>0</v>
      </c>
      <c r="I16" s="16">
        <f>F13</f>
        <v>337500000</v>
      </c>
      <c r="J16" s="17">
        <v>0</v>
      </c>
      <c r="K16" s="20">
        <v>0</v>
      </c>
      <c r="M16" s="15">
        <v>0</v>
      </c>
      <c r="N16" s="17">
        <v>0</v>
      </c>
      <c r="O16" s="17">
        <v>0</v>
      </c>
      <c r="P16" s="17">
        <f>M13</f>
        <v>1</v>
      </c>
      <c r="Q16" s="17">
        <f>N13</f>
        <v>0</v>
      </c>
      <c r="R16" s="20">
        <v>0</v>
      </c>
      <c r="T16" s="15">
        <v>-337500000</v>
      </c>
      <c r="U16" s="17">
        <v>0</v>
      </c>
      <c r="V16" s="17">
        <v>0</v>
      </c>
      <c r="W16" s="17">
        <v>337500000</v>
      </c>
      <c r="X16" s="17">
        <v>0</v>
      </c>
      <c r="Y16" s="20">
        <v>0</v>
      </c>
      <c r="AA16" s="2">
        <v>0</v>
      </c>
      <c r="AB16" s="2">
        <v>0</v>
      </c>
      <c r="AD16" s="6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7"/>
      <c r="AR16" s="27">
        <v>45649.644146089166</v>
      </c>
      <c r="AS16" s="30">
        <f>-(-40000*9^2)/12</f>
        <v>270000</v>
      </c>
      <c r="AT16" s="27">
        <v>315649.64414608915</v>
      </c>
      <c r="AU16" s="27">
        <f>-AT16</f>
        <v>-315649.64414608915</v>
      </c>
      <c r="AV16" t="s">
        <v>30</v>
      </c>
    </row>
    <row r="17" spans="1:48" x14ac:dyDescent="0.3">
      <c r="A17" s="33"/>
      <c r="B17" t="s">
        <v>4</v>
      </c>
      <c r="C17" s="2">
        <v>4.4999999999999998E-2</v>
      </c>
      <c r="D17" t="s">
        <v>9</v>
      </c>
      <c r="F17" s="15">
        <v>0</v>
      </c>
      <c r="G17" s="16">
        <f>-G14</f>
        <v>-2999999.8125</v>
      </c>
      <c r="H17" s="16">
        <f>-G15</f>
        <v>-5999999.625</v>
      </c>
      <c r="I17" s="17">
        <v>0</v>
      </c>
      <c r="J17" s="16">
        <f>G14</f>
        <v>2999999.8125</v>
      </c>
      <c r="K17" s="18">
        <f>H17</f>
        <v>-5999999.625</v>
      </c>
      <c r="M17" s="15">
        <v>0</v>
      </c>
      <c r="N17" s="17">
        <v>0</v>
      </c>
      <c r="O17" s="17">
        <v>0</v>
      </c>
      <c r="P17" s="17">
        <f>M14</f>
        <v>0</v>
      </c>
      <c r="Q17" s="17">
        <f>N14</f>
        <v>1</v>
      </c>
      <c r="R17" s="20">
        <v>0</v>
      </c>
      <c r="T17" s="15">
        <v>0</v>
      </c>
      <c r="U17" s="17">
        <v>-2999999.8125</v>
      </c>
      <c r="V17" s="17">
        <v>-5999999.625</v>
      </c>
      <c r="W17" s="17">
        <v>0</v>
      </c>
      <c r="X17" s="17">
        <v>2999999.8125</v>
      </c>
      <c r="Y17" s="20">
        <v>-5999999.625</v>
      </c>
      <c r="AA17" s="2">
        <f>AA14</f>
        <v>10000</v>
      </c>
      <c r="AB17" s="2">
        <v>10000</v>
      </c>
      <c r="AD17" s="6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7"/>
      <c r="AR17" s="27">
        <v>1517782.4932961401</v>
      </c>
      <c r="AS17" s="29">
        <v>0</v>
      </c>
      <c r="AT17" s="27">
        <v>1517782.4932961401</v>
      </c>
      <c r="AU17" s="27">
        <f>AT17</f>
        <v>1517782.4932961401</v>
      </c>
      <c r="AV17" t="s">
        <v>29</v>
      </c>
    </row>
    <row r="18" spans="1:48" ht="16.8" thickBot="1" x14ac:dyDescent="0.35">
      <c r="A18" s="33"/>
      <c r="B18" t="s">
        <v>5</v>
      </c>
      <c r="C18" s="2">
        <v>5.3333329999999998E-4</v>
      </c>
      <c r="D18" s="3" t="s">
        <v>10</v>
      </c>
      <c r="F18" s="21">
        <v>0</v>
      </c>
      <c r="G18" s="22">
        <f>G15</f>
        <v>5999999.625</v>
      </c>
      <c r="H18" s="22">
        <f>(2*C16*C18)/C19</f>
        <v>7999999.5</v>
      </c>
      <c r="I18" s="23">
        <v>0</v>
      </c>
      <c r="J18" s="22">
        <f>H17</f>
        <v>-5999999.625</v>
      </c>
      <c r="K18" s="24">
        <f>H15</f>
        <v>15999999</v>
      </c>
      <c r="M18" s="21">
        <v>0</v>
      </c>
      <c r="N18" s="23">
        <v>0</v>
      </c>
      <c r="O18" s="23">
        <v>0</v>
      </c>
      <c r="P18" s="23">
        <v>0</v>
      </c>
      <c r="Q18" s="23">
        <v>0</v>
      </c>
      <c r="R18" s="26">
        <v>1</v>
      </c>
      <c r="T18" s="21">
        <v>0</v>
      </c>
      <c r="U18" s="23">
        <v>5999999.625</v>
      </c>
      <c r="V18" s="23">
        <v>7999999.5</v>
      </c>
      <c r="W18" s="23">
        <v>0</v>
      </c>
      <c r="X18" s="23">
        <v>-5999999.625</v>
      </c>
      <c r="Y18" s="26">
        <v>15999999</v>
      </c>
      <c r="AA18" s="2">
        <f>-AA15</f>
        <v>-6666.666666666667</v>
      </c>
      <c r="AB18" s="2">
        <v>-6666.666666666667</v>
      </c>
      <c r="AD18" s="6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7"/>
      <c r="AR18" s="27">
        <v>-25106.757910722659</v>
      </c>
      <c r="AS18" s="29">
        <v>180000</v>
      </c>
      <c r="AT18" s="27">
        <v>154893.24208927734</v>
      </c>
      <c r="AU18" s="27">
        <f>-AT18</f>
        <v>-154893.24208927734</v>
      </c>
      <c r="AV18" t="s">
        <v>29</v>
      </c>
    </row>
    <row r="19" spans="1:48" x14ac:dyDescent="0.3">
      <c r="A19" s="33"/>
      <c r="B19" t="s">
        <v>12</v>
      </c>
      <c r="C19">
        <f>SQRT((C15-C14)^2+(D15-D14)^2)</f>
        <v>4</v>
      </c>
      <c r="D19" t="s">
        <v>13</v>
      </c>
      <c r="AD19" s="6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7"/>
      <c r="AR19" s="28">
        <v>54777.387496801472</v>
      </c>
      <c r="AS19" s="31">
        <v>-270000</v>
      </c>
      <c r="AT19" s="28">
        <v>-215222.61250319853</v>
      </c>
      <c r="AU19" s="28">
        <f>AT19</f>
        <v>-215222.61250319853</v>
      </c>
      <c r="AV19" t="s">
        <v>30</v>
      </c>
    </row>
    <row r="20" spans="1:48" x14ac:dyDescent="0.3">
      <c r="B20" t="s">
        <v>33</v>
      </c>
      <c r="C20" s="2">
        <v>-5000</v>
      </c>
      <c r="D20" t="s">
        <v>29</v>
      </c>
      <c r="AD20" s="6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7"/>
    </row>
    <row r="21" spans="1:48" ht="15" customHeight="1" x14ac:dyDescent="0.3">
      <c r="AD21" s="6"/>
      <c r="AE21" s="40"/>
      <c r="AF21" s="40"/>
      <c r="AG21" s="40"/>
      <c r="AH21" s="40"/>
      <c r="AI21" s="40"/>
      <c r="AJ21" s="40">
        <f t="array" ref="AJ21:AO26">T13:Y18</f>
        <v>337500000</v>
      </c>
      <c r="AK21" s="40">
        <v>0</v>
      </c>
      <c r="AL21" s="40">
        <v>0</v>
      </c>
      <c r="AM21" s="40">
        <v>-337500000</v>
      </c>
      <c r="AN21" s="40">
        <v>0</v>
      </c>
      <c r="AO21" s="7">
        <v>0</v>
      </c>
    </row>
    <row r="22" spans="1:48" ht="14.4" customHeight="1" x14ac:dyDescent="0.3">
      <c r="AD22" s="6"/>
      <c r="AE22" s="40"/>
      <c r="AF22" s="40"/>
      <c r="AG22" s="40"/>
      <c r="AH22" s="40"/>
      <c r="AI22" s="40"/>
      <c r="AJ22" s="40">
        <v>0</v>
      </c>
      <c r="AK22" s="40">
        <v>2999999.8125</v>
      </c>
      <c r="AL22" s="40">
        <v>5999999.625</v>
      </c>
      <c r="AM22" s="40">
        <v>0</v>
      </c>
      <c r="AN22" s="40">
        <v>-2999999.8125</v>
      </c>
      <c r="AO22" s="7">
        <v>5999999.625</v>
      </c>
    </row>
    <row r="23" spans="1:48" ht="15" thickBot="1" x14ac:dyDescent="0.35">
      <c r="B23" s="35" t="s">
        <v>14</v>
      </c>
      <c r="C23" s="35"/>
      <c r="D23" s="35"/>
      <c r="F23" s="34" t="s">
        <v>11</v>
      </c>
      <c r="G23" s="34"/>
      <c r="H23" s="34"/>
      <c r="I23" s="34"/>
      <c r="J23" s="34"/>
      <c r="K23" s="34"/>
      <c r="M23" s="34" t="s">
        <v>15</v>
      </c>
      <c r="N23" s="34"/>
      <c r="O23" s="34"/>
      <c r="P23" s="34"/>
      <c r="Q23" s="34"/>
      <c r="R23" s="34"/>
      <c r="T23" s="34" t="s">
        <v>16</v>
      </c>
      <c r="U23" s="34"/>
      <c r="V23" s="34"/>
      <c r="W23" s="34"/>
      <c r="X23" s="34"/>
      <c r="Y23" s="34"/>
      <c r="AA23" s="55"/>
      <c r="AB23" s="55"/>
      <c r="AD23" s="6"/>
      <c r="AE23" s="40"/>
      <c r="AF23" s="40"/>
      <c r="AG23" s="40"/>
      <c r="AH23" s="40"/>
      <c r="AI23" s="40"/>
      <c r="AJ23" s="40">
        <v>0</v>
      </c>
      <c r="AK23" s="40">
        <v>5999999.625</v>
      </c>
      <c r="AL23" s="40">
        <v>15999999</v>
      </c>
      <c r="AM23" s="40">
        <v>0</v>
      </c>
      <c r="AN23" s="40">
        <v>-5999999.625</v>
      </c>
      <c r="AO23" s="7">
        <v>7999999.5</v>
      </c>
    </row>
    <row r="24" spans="1:48" x14ac:dyDescent="0.3">
      <c r="A24" s="36" t="s">
        <v>32</v>
      </c>
      <c r="C24" s="1" t="s">
        <v>6</v>
      </c>
      <c r="D24" s="1" t="s">
        <v>7</v>
      </c>
      <c r="F24" s="11">
        <f>(C27*C28)/C30</f>
        <v>450000000</v>
      </c>
      <c r="G24" s="12">
        <v>0</v>
      </c>
      <c r="H24" s="12">
        <v>0</v>
      </c>
      <c r="I24" s="13">
        <f>-F24</f>
        <v>-450000000</v>
      </c>
      <c r="J24" s="12">
        <v>0</v>
      </c>
      <c r="K24" s="14">
        <v>0</v>
      </c>
      <c r="M24" s="25">
        <f>(C26-C25)/C30</f>
        <v>0</v>
      </c>
      <c r="N24" s="12">
        <f>(D26-D25)/C30</f>
        <v>1</v>
      </c>
      <c r="O24" s="12">
        <v>0</v>
      </c>
      <c r="P24" s="12">
        <v>0</v>
      </c>
      <c r="Q24" s="12">
        <v>0</v>
      </c>
      <c r="R24" s="14">
        <v>0</v>
      </c>
      <c r="T24" s="25">
        <f t="array" ref="T24:Y29">MMULT(MMULT(TRANSPOSE(M24:R29),F24:K29),M24:R29)</f>
        <v>4493333.333333333</v>
      </c>
      <c r="U24" s="12">
        <v>0</v>
      </c>
      <c r="V24" s="12">
        <v>-6740000</v>
      </c>
      <c r="W24" s="12">
        <v>-4493333.333333333</v>
      </c>
      <c r="X24" s="12">
        <v>0</v>
      </c>
      <c r="Y24" s="14">
        <v>-6740000</v>
      </c>
      <c r="AA24" s="2"/>
      <c r="AB24" s="2"/>
      <c r="AD24" s="6"/>
      <c r="AE24" s="40"/>
      <c r="AF24" s="40"/>
      <c r="AG24" s="40"/>
      <c r="AH24" s="40"/>
      <c r="AI24" s="40"/>
      <c r="AJ24" s="40">
        <v>-337500000</v>
      </c>
      <c r="AK24" s="40">
        <v>0</v>
      </c>
      <c r="AL24" s="40">
        <v>0</v>
      </c>
      <c r="AM24" s="40">
        <v>337500000</v>
      </c>
      <c r="AN24" s="40">
        <v>0</v>
      </c>
      <c r="AO24" s="7">
        <v>0</v>
      </c>
    </row>
    <row r="25" spans="1:48" x14ac:dyDescent="0.3">
      <c r="A25" s="36"/>
      <c r="B25" t="s">
        <v>1</v>
      </c>
      <c r="C25" s="1">
        <v>8</v>
      </c>
      <c r="D25" s="1">
        <v>0</v>
      </c>
      <c r="F25" s="15">
        <v>0</v>
      </c>
      <c r="G25" s="16">
        <f>(12*C27*C29)/C30^3</f>
        <v>4493333.333333333</v>
      </c>
      <c r="H25" s="16">
        <f>G26</f>
        <v>6740000</v>
      </c>
      <c r="I25" s="17">
        <v>0</v>
      </c>
      <c r="J25" s="16">
        <f>-G25</f>
        <v>-4493333.333333333</v>
      </c>
      <c r="K25" s="18">
        <f>H25</f>
        <v>6740000</v>
      </c>
      <c r="M25" s="15">
        <f>-N24</f>
        <v>-1</v>
      </c>
      <c r="N25" s="17">
        <f>M24</f>
        <v>0</v>
      </c>
      <c r="O25" s="17">
        <v>0</v>
      </c>
      <c r="P25" s="17">
        <v>0</v>
      </c>
      <c r="Q25" s="17">
        <v>0</v>
      </c>
      <c r="R25" s="20">
        <v>0</v>
      </c>
      <c r="T25" s="15">
        <v>0</v>
      </c>
      <c r="U25" s="17">
        <v>450000000</v>
      </c>
      <c r="V25" s="17">
        <v>0</v>
      </c>
      <c r="W25" s="17">
        <v>0</v>
      </c>
      <c r="X25" s="17">
        <v>-450000000</v>
      </c>
      <c r="Y25" s="20">
        <v>0</v>
      </c>
      <c r="AA25" s="2"/>
      <c r="AB25" s="2"/>
      <c r="AD25" s="6"/>
      <c r="AE25" s="40"/>
      <c r="AF25" s="40"/>
      <c r="AG25" s="40"/>
      <c r="AH25" s="40"/>
      <c r="AI25" s="40"/>
      <c r="AJ25" s="40">
        <v>0</v>
      </c>
      <c r="AK25" s="40">
        <v>-2999999.8125</v>
      </c>
      <c r="AL25" s="40">
        <v>-5999999.625</v>
      </c>
      <c r="AM25" s="40">
        <v>0</v>
      </c>
      <c r="AN25" s="40">
        <v>2999999.8125</v>
      </c>
      <c r="AO25" s="7">
        <v>-5999999.625</v>
      </c>
    </row>
    <row r="26" spans="1:48" ht="15" thickBot="1" x14ac:dyDescent="0.35">
      <c r="A26" s="36"/>
      <c r="B26" t="s">
        <v>2</v>
      </c>
      <c r="C26" s="1">
        <v>8</v>
      </c>
      <c r="D26" s="1">
        <v>3</v>
      </c>
      <c r="F26" s="15">
        <v>0</v>
      </c>
      <c r="G26" s="16">
        <f>(6*C27*C29)/C30^2</f>
        <v>6740000</v>
      </c>
      <c r="H26" s="16">
        <f>(4*C27*C29)/C30</f>
        <v>13480000</v>
      </c>
      <c r="I26" s="17">
        <v>0</v>
      </c>
      <c r="J26" s="16">
        <f>-G26</f>
        <v>-6740000</v>
      </c>
      <c r="K26" s="18">
        <f>H29</f>
        <v>6740000</v>
      </c>
      <c r="M26" s="15">
        <v>0</v>
      </c>
      <c r="N26" s="17">
        <v>0</v>
      </c>
      <c r="O26" s="17">
        <v>1</v>
      </c>
      <c r="P26" s="17">
        <v>0</v>
      </c>
      <c r="Q26" s="17">
        <v>0</v>
      </c>
      <c r="R26" s="20">
        <v>0</v>
      </c>
      <c r="T26" s="15">
        <v>-6740000</v>
      </c>
      <c r="U26" s="17">
        <v>0</v>
      </c>
      <c r="V26" s="17">
        <v>13480000</v>
      </c>
      <c r="W26" s="17">
        <v>6740000</v>
      </c>
      <c r="X26" s="17">
        <v>0</v>
      </c>
      <c r="Y26" s="20">
        <v>6740000</v>
      </c>
      <c r="AA26" s="2"/>
      <c r="AB26" s="2"/>
      <c r="AD26" s="8"/>
      <c r="AE26" s="9"/>
      <c r="AF26" s="9"/>
      <c r="AG26" s="9"/>
      <c r="AH26" s="9"/>
      <c r="AI26" s="9"/>
      <c r="AJ26" s="9">
        <v>0</v>
      </c>
      <c r="AK26" s="9">
        <v>5999999.625</v>
      </c>
      <c r="AL26" s="9">
        <v>7999999.5</v>
      </c>
      <c r="AM26" s="9">
        <v>0</v>
      </c>
      <c r="AN26" s="9">
        <v>-5999999.625</v>
      </c>
      <c r="AO26" s="10">
        <v>15999999</v>
      </c>
    </row>
    <row r="27" spans="1:48" ht="15" thickBot="1" x14ac:dyDescent="0.35">
      <c r="A27" s="36"/>
      <c r="B27" t="s">
        <v>3</v>
      </c>
      <c r="C27" s="2">
        <v>30000000000</v>
      </c>
      <c r="D27" t="s">
        <v>8</v>
      </c>
      <c r="F27" s="19">
        <f>-F24</f>
        <v>-450000000</v>
      </c>
      <c r="G27" s="17">
        <v>0</v>
      </c>
      <c r="H27" s="17">
        <v>0</v>
      </c>
      <c r="I27" s="16">
        <f>F24</f>
        <v>450000000</v>
      </c>
      <c r="J27" s="17">
        <v>0</v>
      </c>
      <c r="K27" s="20">
        <v>0</v>
      </c>
      <c r="M27" s="15">
        <v>0</v>
      </c>
      <c r="N27" s="17">
        <v>0</v>
      </c>
      <c r="O27" s="17">
        <v>0</v>
      </c>
      <c r="P27" s="17">
        <f>M24</f>
        <v>0</v>
      </c>
      <c r="Q27" s="17">
        <f>N24</f>
        <v>1</v>
      </c>
      <c r="R27" s="20">
        <v>0</v>
      </c>
      <c r="T27" s="15">
        <v>-4493333.333333333</v>
      </c>
      <c r="U27" s="17">
        <v>0</v>
      </c>
      <c r="V27" s="17">
        <v>6740000</v>
      </c>
      <c r="W27" s="17">
        <v>4493333.333333333</v>
      </c>
      <c r="X27" s="17">
        <v>0</v>
      </c>
      <c r="Y27" s="20">
        <v>6740000</v>
      </c>
      <c r="AA27" s="2"/>
      <c r="AB27" s="2"/>
    </row>
    <row r="28" spans="1:48" x14ac:dyDescent="0.3">
      <c r="A28" s="36"/>
      <c r="B28" t="s">
        <v>4</v>
      </c>
      <c r="C28" s="2">
        <v>4.4999999999999998E-2</v>
      </c>
      <c r="D28" t="s">
        <v>9</v>
      </c>
      <c r="F28" s="15">
        <v>0</v>
      </c>
      <c r="G28" s="16">
        <f>-G25</f>
        <v>-4493333.333333333</v>
      </c>
      <c r="H28" s="16">
        <f>-G26</f>
        <v>-6740000</v>
      </c>
      <c r="I28" s="17">
        <v>0</v>
      </c>
      <c r="J28" s="16">
        <f>G25</f>
        <v>4493333.333333333</v>
      </c>
      <c r="K28" s="18">
        <f>H28</f>
        <v>-6740000</v>
      </c>
      <c r="M28" s="15">
        <v>0</v>
      </c>
      <c r="N28" s="17">
        <v>0</v>
      </c>
      <c r="O28" s="17">
        <v>0</v>
      </c>
      <c r="P28" s="17">
        <f>M25</f>
        <v>-1</v>
      </c>
      <c r="Q28" s="17">
        <f>N25</f>
        <v>0</v>
      </c>
      <c r="R28" s="20">
        <v>0</v>
      </c>
      <c r="T28" s="15">
        <v>0</v>
      </c>
      <c r="U28" s="17">
        <v>-450000000</v>
      </c>
      <c r="V28" s="17">
        <v>0</v>
      </c>
      <c r="W28" s="17">
        <v>0</v>
      </c>
      <c r="X28" s="17">
        <v>450000000</v>
      </c>
      <c r="Y28" s="20">
        <v>0</v>
      </c>
      <c r="AA28" s="2"/>
      <c r="AB28" s="2"/>
      <c r="AD28" s="41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5"/>
      <c r="AR28" t="s">
        <v>24</v>
      </c>
    </row>
    <row r="29" spans="1:48" ht="16.8" thickBot="1" x14ac:dyDescent="0.35">
      <c r="A29" s="36"/>
      <c r="B29" t="s">
        <v>5</v>
      </c>
      <c r="C29" s="2">
        <v>3.3700000000000001E-4</v>
      </c>
      <c r="D29" s="3" t="s">
        <v>10</v>
      </c>
      <c r="F29" s="21">
        <v>0</v>
      </c>
      <c r="G29" s="22">
        <f>G26</f>
        <v>6740000</v>
      </c>
      <c r="H29" s="22">
        <f>(2*C27*C29)/C30</f>
        <v>6740000</v>
      </c>
      <c r="I29" s="23">
        <v>0</v>
      </c>
      <c r="J29" s="22">
        <f>H28</f>
        <v>-6740000</v>
      </c>
      <c r="K29" s="24">
        <f>H26</f>
        <v>13480000</v>
      </c>
      <c r="M29" s="21">
        <v>0</v>
      </c>
      <c r="N29" s="23">
        <v>0</v>
      </c>
      <c r="O29" s="23">
        <v>0</v>
      </c>
      <c r="P29" s="23">
        <v>0</v>
      </c>
      <c r="Q29" s="23">
        <v>0</v>
      </c>
      <c r="R29" s="26">
        <v>1</v>
      </c>
      <c r="T29" s="21">
        <v>-6740000</v>
      </c>
      <c r="U29" s="23">
        <v>0</v>
      </c>
      <c r="V29" s="23">
        <v>6740000</v>
      </c>
      <c r="W29" s="23">
        <v>6740000</v>
      </c>
      <c r="X29" s="23">
        <v>0</v>
      </c>
      <c r="Y29" s="26">
        <v>13480000</v>
      </c>
      <c r="AA29" s="2"/>
      <c r="AB29" s="2"/>
      <c r="AD29" s="6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7"/>
      <c r="AR29" t="s">
        <v>29</v>
      </c>
    </row>
    <row r="30" spans="1:48" x14ac:dyDescent="0.3">
      <c r="A30" s="36"/>
      <c r="B30" t="s">
        <v>12</v>
      </c>
      <c r="C30">
        <f>SQRT((C26-C25)^2+(D26-D25)^2)</f>
        <v>3</v>
      </c>
      <c r="D30" t="s">
        <v>13</v>
      </c>
      <c r="AD30" s="6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7"/>
      <c r="AR30" t="s">
        <v>29</v>
      </c>
    </row>
    <row r="31" spans="1:48" x14ac:dyDescent="0.3">
      <c r="AD31" s="6"/>
      <c r="AE31" s="40"/>
      <c r="AF31" s="40"/>
      <c r="AG31" s="40">
        <f t="array" ref="AG31:AI33">T24:V26</f>
        <v>4493333.333333333</v>
      </c>
      <c r="AH31" s="40">
        <v>0</v>
      </c>
      <c r="AI31" s="40">
        <v>-6740000</v>
      </c>
      <c r="AJ31" s="40"/>
      <c r="AK31" s="40"/>
      <c r="AL31" s="40"/>
      <c r="AM31" s="40">
        <f t="array" ref="AM31:AO33">W24:Y26</f>
        <v>-4493333.333333333</v>
      </c>
      <c r="AN31" s="40">
        <v>0</v>
      </c>
      <c r="AO31" s="7">
        <v>-6740000</v>
      </c>
      <c r="AR31" t="s">
        <v>30</v>
      </c>
    </row>
    <row r="32" spans="1:48" x14ac:dyDescent="0.3">
      <c r="AD32" s="6"/>
      <c r="AE32" s="40"/>
      <c r="AF32" s="40"/>
      <c r="AG32" s="40">
        <v>0</v>
      </c>
      <c r="AH32" s="40">
        <v>450000000</v>
      </c>
      <c r="AI32" s="40">
        <v>0</v>
      </c>
      <c r="AJ32" s="40"/>
      <c r="AK32" s="40"/>
      <c r="AL32" s="40"/>
      <c r="AM32" s="40">
        <v>0</v>
      </c>
      <c r="AN32" s="40">
        <v>-450000000</v>
      </c>
      <c r="AO32" s="7">
        <v>0</v>
      </c>
      <c r="AR32" t="s">
        <v>29</v>
      </c>
    </row>
    <row r="33" spans="30:46" x14ac:dyDescent="0.3">
      <c r="AD33" s="6"/>
      <c r="AE33" s="40"/>
      <c r="AF33" s="40"/>
      <c r="AG33" s="40">
        <v>-6740000</v>
      </c>
      <c r="AH33" s="40">
        <v>0</v>
      </c>
      <c r="AI33" s="40">
        <v>13480000</v>
      </c>
      <c r="AJ33" s="40"/>
      <c r="AK33" s="40"/>
      <c r="AL33" s="40"/>
      <c r="AM33" s="40">
        <v>6740000</v>
      </c>
      <c r="AN33" s="40">
        <v>0</v>
      </c>
      <c r="AO33" s="7">
        <v>6740000</v>
      </c>
      <c r="AR33" t="s">
        <v>29</v>
      </c>
    </row>
    <row r="34" spans="30:46" x14ac:dyDescent="0.3">
      <c r="AD34" s="6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7"/>
      <c r="AR34" t="s">
        <v>30</v>
      </c>
    </row>
    <row r="35" spans="30:46" x14ac:dyDescent="0.3">
      <c r="AD35" s="6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7"/>
      <c r="AR35" t="s">
        <v>29</v>
      </c>
    </row>
    <row r="36" spans="30:46" x14ac:dyDescent="0.3">
      <c r="AD36" s="6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7"/>
      <c r="AR36" t="s">
        <v>29</v>
      </c>
    </row>
    <row r="37" spans="30:46" x14ac:dyDescent="0.3">
      <c r="AD37" s="6"/>
      <c r="AE37" s="40"/>
      <c r="AF37" s="40"/>
      <c r="AG37" s="40">
        <f t="array" ref="AG37:AI39">T27:V29</f>
        <v>-4493333.333333333</v>
      </c>
      <c r="AH37" s="40">
        <v>0</v>
      </c>
      <c r="AI37" s="40">
        <v>6740000</v>
      </c>
      <c r="AJ37" s="40"/>
      <c r="AK37" s="40"/>
      <c r="AL37" s="40"/>
      <c r="AM37" s="40">
        <f t="array" ref="AM37:AO39">W27:Y29</f>
        <v>4493333.333333333</v>
      </c>
      <c r="AN37" s="40">
        <v>0</v>
      </c>
      <c r="AO37" s="7">
        <v>6740000</v>
      </c>
      <c r="AR37" t="s">
        <v>30</v>
      </c>
    </row>
    <row r="38" spans="30:46" x14ac:dyDescent="0.3">
      <c r="AD38" s="6"/>
      <c r="AE38" s="40"/>
      <c r="AF38" s="40"/>
      <c r="AG38" s="40">
        <v>0</v>
      </c>
      <c r="AH38" s="40">
        <v>-450000000</v>
      </c>
      <c r="AI38" s="40">
        <v>0</v>
      </c>
      <c r="AJ38" s="40"/>
      <c r="AK38" s="40"/>
      <c r="AL38" s="40"/>
      <c r="AM38" s="40">
        <v>0</v>
      </c>
      <c r="AN38" s="40">
        <v>450000000</v>
      </c>
      <c r="AO38" s="7">
        <v>0</v>
      </c>
    </row>
    <row r="39" spans="30:46" ht="15" thickBot="1" x14ac:dyDescent="0.35">
      <c r="AD39" s="8"/>
      <c r="AE39" s="9"/>
      <c r="AF39" s="9"/>
      <c r="AG39" s="9">
        <v>-6740000</v>
      </c>
      <c r="AH39" s="9">
        <v>0</v>
      </c>
      <c r="AI39" s="9">
        <v>6740000</v>
      </c>
      <c r="AJ39" s="9"/>
      <c r="AK39" s="9"/>
      <c r="AL39" s="9"/>
      <c r="AM39" s="9">
        <v>6740000</v>
      </c>
      <c r="AN39" s="9">
        <v>0</v>
      </c>
      <c r="AO39" s="10">
        <v>13480000</v>
      </c>
    </row>
    <row r="41" spans="30:46" ht="15" thickBot="1" x14ac:dyDescent="0.35">
      <c r="AQ41" s="42" t="s">
        <v>21</v>
      </c>
      <c r="AR41" s="42" t="s">
        <v>22</v>
      </c>
      <c r="AS41" s="42" t="s">
        <v>22</v>
      </c>
      <c r="AT41" s="42" t="s">
        <v>23</v>
      </c>
    </row>
    <row r="42" spans="30:46" x14ac:dyDescent="0.3">
      <c r="AD42" s="41">
        <f t="array" ref="AD42:AO53">AD2:AO13+AD15:AO26+AD28:AO39</f>
        <v>173149401.59999999</v>
      </c>
      <c r="AE42" s="46">
        <v>129134131.2</v>
      </c>
      <c r="AF42" s="46">
        <v>-1455840</v>
      </c>
      <c r="AG42" s="46">
        <v>0</v>
      </c>
      <c r="AH42" s="46">
        <v>0</v>
      </c>
      <c r="AI42" s="46">
        <v>0</v>
      </c>
      <c r="AJ42" s="46">
        <v>-173149401.59999999</v>
      </c>
      <c r="AK42" s="46">
        <v>-129134131.2</v>
      </c>
      <c r="AL42" s="46">
        <v>-1455840</v>
      </c>
      <c r="AM42" s="46">
        <v>0</v>
      </c>
      <c r="AN42" s="46">
        <v>0</v>
      </c>
      <c r="AO42" s="47">
        <v>0</v>
      </c>
      <c r="AQ42" s="54">
        <v>0</v>
      </c>
      <c r="AR42" s="54">
        <v>-7500</v>
      </c>
      <c r="AS42" s="54">
        <v>0</v>
      </c>
      <c r="AT42">
        <f t="array" ref="AT42:AT53">AQ42:AQ53-AR42:AR53-AS42:AS53</f>
        <v>7500</v>
      </c>
    </row>
    <row r="43" spans="30:46" x14ac:dyDescent="0.3">
      <c r="AD43" s="48">
        <v>129134131.2</v>
      </c>
      <c r="AE43" s="49">
        <v>97821158.400000006</v>
      </c>
      <c r="AF43" s="49">
        <v>1941120</v>
      </c>
      <c r="AG43" s="49">
        <v>0</v>
      </c>
      <c r="AH43" s="49">
        <v>0</v>
      </c>
      <c r="AI43" s="49">
        <v>0</v>
      </c>
      <c r="AJ43" s="49">
        <v>-129134131.2</v>
      </c>
      <c r="AK43" s="49">
        <v>-97821158.400000006</v>
      </c>
      <c r="AL43" s="49">
        <v>1941120</v>
      </c>
      <c r="AM43" s="49">
        <v>0</v>
      </c>
      <c r="AN43" s="49">
        <v>0</v>
      </c>
      <c r="AO43" s="50">
        <v>0</v>
      </c>
      <c r="AQ43" s="54">
        <v>0</v>
      </c>
      <c r="AR43" s="54">
        <v>10000</v>
      </c>
      <c r="AS43" s="54">
        <v>0</v>
      </c>
      <c r="AT43">
        <v>-10000</v>
      </c>
    </row>
    <row r="44" spans="30:46" x14ac:dyDescent="0.3">
      <c r="AD44" s="48">
        <v>-1455840</v>
      </c>
      <c r="AE44" s="49">
        <v>1941120</v>
      </c>
      <c r="AF44" s="49">
        <v>8088000</v>
      </c>
      <c r="AG44" s="49">
        <v>0</v>
      </c>
      <c r="AH44" s="49">
        <v>0</v>
      </c>
      <c r="AI44" s="49">
        <v>0</v>
      </c>
      <c r="AJ44" s="49">
        <v>1455840</v>
      </c>
      <c r="AK44" s="49">
        <v>-1941120</v>
      </c>
      <c r="AL44" s="49">
        <v>4044000</v>
      </c>
      <c r="AM44" s="49">
        <v>0</v>
      </c>
      <c r="AN44" s="49">
        <v>0</v>
      </c>
      <c r="AO44" s="50">
        <v>0</v>
      </c>
      <c r="AQ44" s="45">
        <v>0</v>
      </c>
      <c r="AR44" s="45">
        <v>10416.666666666666</v>
      </c>
      <c r="AS44" s="45">
        <v>0</v>
      </c>
      <c r="AT44">
        <v>-10416.666666666666</v>
      </c>
    </row>
    <row r="45" spans="30:46" x14ac:dyDescent="0.3">
      <c r="AD45" s="48">
        <v>0</v>
      </c>
      <c r="AE45" s="49">
        <v>0</v>
      </c>
      <c r="AF45" s="49">
        <v>0</v>
      </c>
      <c r="AG45" s="49">
        <v>4493333.333333333</v>
      </c>
      <c r="AH45" s="49">
        <v>0</v>
      </c>
      <c r="AI45" s="49">
        <v>-6740000</v>
      </c>
      <c r="AJ45" s="49">
        <v>0</v>
      </c>
      <c r="AK45" s="49">
        <v>0</v>
      </c>
      <c r="AL45" s="49">
        <v>0</v>
      </c>
      <c r="AM45" s="49">
        <v>-4493333.333333333</v>
      </c>
      <c r="AN45" s="49">
        <v>0</v>
      </c>
      <c r="AO45" s="50">
        <v>-6740000</v>
      </c>
      <c r="AQ45" s="45">
        <v>0</v>
      </c>
      <c r="AR45" s="45">
        <v>0</v>
      </c>
      <c r="AS45" s="45">
        <v>0</v>
      </c>
      <c r="AT45">
        <v>0</v>
      </c>
    </row>
    <row r="46" spans="30:46" x14ac:dyDescent="0.3">
      <c r="AD46" s="48">
        <v>0</v>
      </c>
      <c r="AE46" s="49">
        <v>0</v>
      </c>
      <c r="AF46" s="49">
        <v>0</v>
      </c>
      <c r="AG46" s="49">
        <v>0</v>
      </c>
      <c r="AH46" s="49">
        <v>450000000</v>
      </c>
      <c r="AI46" s="49">
        <v>0</v>
      </c>
      <c r="AJ46" s="49">
        <v>0</v>
      </c>
      <c r="AK46" s="49">
        <v>0</v>
      </c>
      <c r="AL46" s="49">
        <v>0</v>
      </c>
      <c r="AM46" s="49">
        <v>0</v>
      </c>
      <c r="AN46" s="49">
        <v>-450000000</v>
      </c>
      <c r="AO46" s="50">
        <v>0</v>
      </c>
      <c r="AQ46" s="45">
        <v>0</v>
      </c>
      <c r="AR46" s="45">
        <v>0</v>
      </c>
      <c r="AS46" s="45">
        <v>0</v>
      </c>
      <c r="AT46">
        <v>0</v>
      </c>
    </row>
    <row r="47" spans="30:46" x14ac:dyDescent="0.3">
      <c r="AD47" s="48">
        <v>0</v>
      </c>
      <c r="AE47" s="49">
        <v>0</v>
      </c>
      <c r="AF47" s="49">
        <v>0</v>
      </c>
      <c r="AG47" s="49">
        <v>-6740000</v>
      </c>
      <c r="AH47" s="49">
        <v>0</v>
      </c>
      <c r="AI47" s="49">
        <v>13480000</v>
      </c>
      <c r="AJ47" s="49">
        <v>0</v>
      </c>
      <c r="AK47" s="49">
        <v>0</v>
      </c>
      <c r="AL47" s="49">
        <v>0</v>
      </c>
      <c r="AM47" s="49">
        <v>6740000</v>
      </c>
      <c r="AN47" s="49">
        <v>0</v>
      </c>
      <c r="AO47" s="50">
        <v>6740000</v>
      </c>
      <c r="AQ47" s="45">
        <v>0</v>
      </c>
      <c r="AR47" s="45">
        <v>0</v>
      </c>
      <c r="AS47" s="45">
        <v>0</v>
      </c>
      <c r="AT47">
        <v>0</v>
      </c>
    </row>
    <row r="48" spans="30:46" x14ac:dyDescent="0.3">
      <c r="AD48" s="48">
        <v>-173149401.59999999</v>
      </c>
      <c r="AE48" s="49">
        <v>-129134131.2</v>
      </c>
      <c r="AF48" s="49">
        <v>1455840</v>
      </c>
      <c r="AG48" s="49">
        <v>0</v>
      </c>
      <c r="AH48" s="49">
        <v>0</v>
      </c>
      <c r="AI48" s="49">
        <v>0</v>
      </c>
      <c r="AJ48" s="49">
        <v>510649401.60000002</v>
      </c>
      <c r="AK48" s="49">
        <v>129134131.2</v>
      </c>
      <c r="AL48" s="49">
        <v>1455840</v>
      </c>
      <c r="AM48" s="49">
        <v>-337500000</v>
      </c>
      <c r="AN48" s="49">
        <v>0</v>
      </c>
      <c r="AO48" s="50">
        <v>0</v>
      </c>
      <c r="AQ48" s="45">
        <v>10000</v>
      </c>
      <c r="AR48" s="45">
        <v>-7500</v>
      </c>
      <c r="AS48" s="45">
        <v>0</v>
      </c>
      <c r="AT48">
        <v>17500</v>
      </c>
    </row>
    <row r="49" spans="30:46" x14ac:dyDescent="0.3">
      <c r="AD49" s="48">
        <v>-129134131.2</v>
      </c>
      <c r="AE49" s="49">
        <v>-97821158.400000006</v>
      </c>
      <c r="AF49" s="49">
        <v>-1941120</v>
      </c>
      <c r="AG49" s="49">
        <v>0</v>
      </c>
      <c r="AH49" s="49">
        <v>0</v>
      </c>
      <c r="AI49" s="49">
        <v>0</v>
      </c>
      <c r="AJ49" s="49">
        <v>129134131.2</v>
      </c>
      <c r="AK49" s="49">
        <v>100821158.21250001</v>
      </c>
      <c r="AL49" s="49">
        <v>4058879.625</v>
      </c>
      <c r="AM49" s="49">
        <v>0</v>
      </c>
      <c r="AN49" s="49">
        <v>-2999999.8125</v>
      </c>
      <c r="AO49" s="50">
        <v>5999999.625</v>
      </c>
      <c r="AQ49" s="45">
        <v>0</v>
      </c>
      <c r="AR49" s="45">
        <v>10000</v>
      </c>
      <c r="AS49" s="45">
        <v>10000</v>
      </c>
      <c r="AT49">
        <v>-20000</v>
      </c>
    </row>
    <row r="50" spans="30:46" x14ac:dyDescent="0.3">
      <c r="AD50" s="48">
        <v>-1455840</v>
      </c>
      <c r="AE50" s="49">
        <v>1941120</v>
      </c>
      <c r="AF50" s="49">
        <v>4044000</v>
      </c>
      <c r="AG50" s="49">
        <v>0</v>
      </c>
      <c r="AH50" s="49">
        <v>0</v>
      </c>
      <c r="AI50" s="49">
        <v>0</v>
      </c>
      <c r="AJ50" s="49">
        <v>1455840</v>
      </c>
      <c r="AK50" s="49">
        <v>4058879.625</v>
      </c>
      <c r="AL50" s="49">
        <v>24087999</v>
      </c>
      <c r="AM50" s="49">
        <v>0</v>
      </c>
      <c r="AN50" s="49">
        <v>-5999999.625</v>
      </c>
      <c r="AO50" s="50">
        <v>7999999.5</v>
      </c>
      <c r="AQ50" s="45">
        <v>0</v>
      </c>
      <c r="AR50" s="45">
        <v>-10416.666666666666</v>
      </c>
      <c r="AS50" s="45">
        <v>6666.666666666667</v>
      </c>
      <c r="AT50">
        <v>3749.9999999999991</v>
      </c>
    </row>
    <row r="51" spans="30:46" x14ac:dyDescent="0.3">
      <c r="AD51" s="48">
        <v>0</v>
      </c>
      <c r="AE51" s="49">
        <v>0</v>
      </c>
      <c r="AF51" s="49">
        <v>0</v>
      </c>
      <c r="AG51" s="49">
        <v>-4493333.333333333</v>
      </c>
      <c r="AH51" s="49">
        <v>0</v>
      </c>
      <c r="AI51" s="49">
        <v>6740000</v>
      </c>
      <c r="AJ51" s="49">
        <v>-337500000</v>
      </c>
      <c r="AK51" s="49">
        <v>0</v>
      </c>
      <c r="AL51" s="49">
        <v>0</v>
      </c>
      <c r="AM51" s="49">
        <v>341993333.33333331</v>
      </c>
      <c r="AN51" s="49">
        <v>0</v>
      </c>
      <c r="AO51" s="50">
        <v>6740000</v>
      </c>
      <c r="AQ51" s="45">
        <v>15000</v>
      </c>
      <c r="AR51" s="45">
        <v>0</v>
      </c>
      <c r="AS51" s="45">
        <v>0</v>
      </c>
      <c r="AT51">
        <v>15000</v>
      </c>
    </row>
    <row r="52" spans="30:46" x14ac:dyDescent="0.3">
      <c r="AD52" s="48">
        <v>0</v>
      </c>
      <c r="AE52" s="49">
        <v>0</v>
      </c>
      <c r="AF52" s="49">
        <v>0</v>
      </c>
      <c r="AG52" s="49">
        <v>0</v>
      </c>
      <c r="AH52" s="49">
        <v>-450000000</v>
      </c>
      <c r="AI52" s="49">
        <v>0</v>
      </c>
      <c r="AJ52" s="49">
        <v>0</v>
      </c>
      <c r="AK52" s="49">
        <v>-2999999.8125</v>
      </c>
      <c r="AL52" s="49">
        <v>-5999999.625</v>
      </c>
      <c r="AM52" s="49">
        <v>0</v>
      </c>
      <c r="AN52" s="49">
        <v>452999999.8125</v>
      </c>
      <c r="AO52" s="50">
        <v>-5999999.625</v>
      </c>
      <c r="AQ52" s="45">
        <v>20000</v>
      </c>
      <c r="AR52" s="45">
        <v>0</v>
      </c>
      <c r="AS52" s="45">
        <v>10000</v>
      </c>
      <c r="AT52">
        <v>10000</v>
      </c>
    </row>
    <row r="53" spans="30:46" ht="15" thickBot="1" x14ac:dyDescent="0.35">
      <c r="AD53" s="51">
        <v>0</v>
      </c>
      <c r="AE53" s="52">
        <v>0</v>
      </c>
      <c r="AF53" s="52">
        <v>0</v>
      </c>
      <c r="AG53" s="52">
        <v>-6740000</v>
      </c>
      <c r="AH53" s="52">
        <v>0</v>
      </c>
      <c r="AI53" s="52">
        <v>6740000</v>
      </c>
      <c r="AJ53" s="52">
        <v>0</v>
      </c>
      <c r="AK53" s="52">
        <v>5999999.625</v>
      </c>
      <c r="AL53" s="52">
        <v>7999999.5</v>
      </c>
      <c r="AM53" s="52">
        <v>6740000</v>
      </c>
      <c r="AN53" s="52">
        <v>-5999999.625</v>
      </c>
      <c r="AO53" s="53">
        <v>29479999</v>
      </c>
      <c r="AQ53" s="54">
        <v>30000</v>
      </c>
      <c r="AR53" s="54">
        <v>0</v>
      </c>
      <c r="AS53" s="54">
        <v>-6666.666666666667</v>
      </c>
      <c r="AT53">
        <v>36666.666666666664</v>
      </c>
    </row>
    <row r="54" spans="30:46" x14ac:dyDescent="0.3"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Q54" s="54"/>
      <c r="AR54" s="54"/>
      <c r="AS54" s="54"/>
    </row>
    <row r="55" spans="30:46" ht="15" thickBot="1" x14ac:dyDescent="0.35">
      <c r="AQ55" s="43" t="s">
        <v>19</v>
      </c>
      <c r="AR55" s="43" t="s">
        <v>20</v>
      </c>
    </row>
    <row r="56" spans="30:46" x14ac:dyDescent="0.3">
      <c r="AD56" s="41">
        <v>1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  <c r="AJ56" s="46">
        <v>0</v>
      </c>
      <c r="AK56" s="46">
        <v>0</v>
      </c>
      <c r="AL56" s="46">
        <v>0</v>
      </c>
      <c r="AM56" s="46">
        <v>0</v>
      </c>
      <c r="AN56" s="46">
        <v>0</v>
      </c>
      <c r="AO56" s="47">
        <v>0</v>
      </c>
      <c r="AQ56" s="44">
        <v>0</v>
      </c>
      <c r="AR56" s="45">
        <f t="array" ref="AR56:AR67">MMULT(MINVERSE(AD56:AO67),AQ56:AQ67)</f>
        <v>0</v>
      </c>
    </row>
    <row r="57" spans="30:46" x14ac:dyDescent="0.3">
      <c r="AD57" s="48">
        <v>0</v>
      </c>
      <c r="AE57" s="49">
        <v>1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50">
        <v>0</v>
      </c>
      <c r="AQ57" s="44">
        <v>0</v>
      </c>
      <c r="AR57" s="45">
        <v>0</v>
      </c>
    </row>
    <row r="58" spans="30:46" x14ac:dyDescent="0.3">
      <c r="AD58" s="48">
        <v>0</v>
      </c>
      <c r="AE58" s="49">
        <v>0</v>
      </c>
      <c r="AF58" s="49">
        <v>1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</v>
      </c>
      <c r="AM58" s="49">
        <v>0</v>
      </c>
      <c r="AN58" s="49">
        <v>0</v>
      </c>
      <c r="AO58" s="50">
        <v>0</v>
      </c>
      <c r="AQ58" s="44">
        <v>0</v>
      </c>
      <c r="AR58" s="45">
        <v>0</v>
      </c>
    </row>
    <row r="59" spans="30:46" x14ac:dyDescent="0.3">
      <c r="AD59" s="48">
        <v>0</v>
      </c>
      <c r="AE59" s="49">
        <v>0</v>
      </c>
      <c r="AF59" s="49">
        <v>0</v>
      </c>
      <c r="AG59" s="49">
        <v>1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50">
        <v>0</v>
      </c>
      <c r="AQ59" s="44">
        <v>0</v>
      </c>
      <c r="AR59" s="45">
        <v>0</v>
      </c>
    </row>
    <row r="60" spans="30:46" x14ac:dyDescent="0.3">
      <c r="AD60" s="48">
        <v>0</v>
      </c>
      <c r="AE60" s="49">
        <v>0</v>
      </c>
      <c r="AF60" s="49">
        <v>0</v>
      </c>
      <c r="AG60" s="49">
        <v>0</v>
      </c>
      <c r="AH60" s="49">
        <v>1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50">
        <v>0</v>
      </c>
      <c r="AQ60" s="44">
        <v>0</v>
      </c>
      <c r="AR60" s="45">
        <v>0</v>
      </c>
    </row>
    <row r="61" spans="30:46" x14ac:dyDescent="0.3">
      <c r="AD61" s="48">
        <v>0</v>
      </c>
      <c r="AE61" s="49">
        <v>0</v>
      </c>
      <c r="AF61" s="49">
        <v>0</v>
      </c>
      <c r="AG61" s="49">
        <v>0</v>
      </c>
      <c r="AH61" s="49">
        <v>0</v>
      </c>
      <c r="AI61" s="49">
        <v>1</v>
      </c>
      <c r="AJ61" s="49">
        <v>0</v>
      </c>
      <c r="AK61" s="49">
        <v>0</v>
      </c>
      <c r="AL61" s="49">
        <v>0</v>
      </c>
      <c r="AM61" s="49">
        <v>0</v>
      </c>
      <c r="AN61" s="49">
        <v>0</v>
      </c>
      <c r="AO61" s="50">
        <v>0</v>
      </c>
      <c r="AQ61" s="44">
        <v>0</v>
      </c>
      <c r="AR61" s="45">
        <v>0</v>
      </c>
    </row>
    <row r="62" spans="30:46" x14ac:dyDescent="0.3">
      <c r="AD62" s="48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415433280</v>
      </c>
      <c r="AK62" s="49">
        <v>86088960</v>
      </c>
      <c r="AL62" s="49">
        <v>972000</v>
      </c>
      <c r="AM62" s="49">
        <v>-300000000</v>
      </c>
      <c r="AN62" s="49">
        <v>0</v>
      </c>
      <c r="AO62" s="50">
        <v>0</v>
      </c>
      <c r="AQ62" s="44">
        <v>17500</v>
      </c>
      <c r="AR62" s="45">
        <v>4.4971333134700446E-3</v>
      </c>
    </row>
    <row r="63" spans="30:46" x14ac:dyDescent="0.3">
      <c r="AD63" s="48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86088960</v>
      </c>
      <c r="AK63" s="49">
        <v>68214719.8125</v>
      </c>
      <c r="AL63" s="49">
        <v>4703999.625</v>
      </c>
      <c r="AM63" s="49">
        <v>0</v>
      </c>
      <c r="AN63" s="49">
        <v>-2999999.8125</v>
      </c>
      <c r="AO63" s="50">
        <v>5999999.625</v>
      </c>
      <c r="AQ63" s="44">
        <v>-20000</v>
      </c>
      <c r="AR63" s="45">
        <v>-6.0869838463326323E-3</v>
      </c>
    </row>
    <row r="64" spans="30:46" x14ac:dyDescent="0.3">
      <c r="AD64" s="48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972000</v>
      </c>
      <c r="AK64" s="49">
        <v>4703999.625</v>
      </c>
      <c r="AL64" s="49">
        <v>21399999</v>
      </c>
      <c r="AM64" s="49">
        <v>0</v>
      </c>
      <c r="AN64" s="49">
        <v>-5999999.625</v>
      </c>
      <c r="AO64" s="50">
        <v>7999999.5</v>
      </c>
      <c r="AQ64" s="44">
        <v>3749.9999999999991</v>
      </c>
      <c r="AR64" s="45">
        <v>1.1409679901495384E-3</v>
      </c>
    </row>
    <row r="65" spans="30:44" x14ac:dyDescent="0.3">
      <c r="AD65" s="48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-300000000</v>
      </c>
      <c r="AK65" s="49">
        <v>0</v>
      </c>
      <c r="AL65" s="49">
        <v>0</v>
      </c>
      <c r="AM65" s="49">
        <v>307111110.66666669</v>
      </c>
      <c r="AN65" s="49">
        <v>0</v>
      </c>
      <c r="AO65" s="50">
        <v>10666666</v>
      </c>
      <c r="AQ65">
        <v>15000</v>
      </c>
      <c r="AR65" s="54">
        <v>4.4261525167699281E-3</v>
      </c>
    </row>
    <row r="66" spans="30:44" x14ac:dyDescent="0.3">
      <c r="AD66" s="48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-2999999.8125</v>
      </c>
      <c r="AL66" s="49">
        <v>-5999999.625</v>
      </c>
      <c r="AM66" s="49">
        <v>0</v>
      </c>
      <c r="AN66" s="49">
        <v>402999999.8125</v>
      </c>
      <c r="AO66" s="50">
        <v>-5999999.625</v>
      </c>
      <c r="AQ66">
        <v>10000</v>
      </c>
      <c r="AR66" s="54">
        <v>3.2152794008731048E-6</v>
      </c>
    </row>
    <row r="67" spans="30:44" ht="15" thickBot="1" x14ac:dyDescent="0.35">
      <c r="AD67" s="51">
        <v>0</v>
      </c>
      <c r="AE67" s="52">
        <v>0</v>
      </c>
      <c r="AF67" s="52">
        <v>0</v>
      </c>
      <c r="AG67" s="52">
        <v>0</v>
      </c>
      <c r="AH67" s="52">
        <v>0</v>
      </c>
      <c r="AI67" s="52">
        <v>0</v>
      </c>
      <c r="AJ67" s="52">
        <v>0</v>
      </c>
      <c r="AK67" s="52">
        <v>5999999.625</v>
      </c>
      <c r="AL67" s="52">
        <v>7999999.5</v>
      </c>
      <c r="AM67" s="52">
        <v>10666666</v>
      </c>
      <c r="AN67" s="52">
        <v>-5999999.625</v>
      </c>
      <c r="AO67" s="53">
        <v>37333331</v>
      </c>
      <c r="AQ67">
        <v>36666.666666666664</v>
      </c>
      <c r="AR67" s="54">
        <v>4.5181677533907936E-4</v>
      </c>
    </row>
  </sheetData>
  <mergeCells count="15">
    <mergeCell ref="A24:A30"/>
    <mergeCell ref="B23:D23"/>
    <mergeCell ref="F23:K23"/>
    <mergeCell ref="T23:Y23"/>
    <mergeCell ref="M23:R23"/>
    <mergeCell ref="A13:A19"/>
    <mergeCell ref="F1:K1"/>
    <mergeCell ref="A2:A8"/>
    <mergeCell ref="B1:D1"/>
    <mergeCell ref="M1:R1"/>
    <mergeCell ref="T1:Y1"/>
    <mergeCell ref="B12:D12"/>
    <mergeCell ref="F12:K12"/>
    <mergeCell ref="M12:R12"/>
    <mergeCell ref="T12:Y12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Lidalton Silvestre de Lima</dc:creator>
  <cp:lastModifiedBy>Lidalton Silvestre de Lima</cp:lastModifiedBy>
  <cp:lastPrinted>2023-11-25T22:10:20Z</cp:lastPrinted>
  <dcterms:created xsi:type="dcterms:W3CDTF">2023-11-25T17:16:56Z</dcterms:created>
  <dcterms:modified xsi:type="dcterms:W3CDTF">2023-11-30T17:53:39Z</dcterms:modified>
</cp:coreProperties>
</file>