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al\Desktop\TCC2\Desenvolvimento_Algorítimo\PorticoPlano\porticos\02\"/>
    </mc:Choice>
  </mc:AlternateContent>
  <xr:revisionPtr revIDLastSave="0" documentId="13_ncr:1_{11304158-CA0A-469E-8D15-1C4023688EFE}" xr6:coauthVersionLast="47" xr6:coauthVersionMax="47" xr10:uidLastSave="{00000000-0000-0000-0000-000000000000}"/>
  <bookViews>
    <workbookView xWindow="-108" yWindow="-108" windowWidth="23256" windowHeight="12576" xr2:uid="{ED116D09-7778-4A28-BF95-725EA29D2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3" i="1" l="1"/>
  <c r="AH42" i="1"/>
  <c r="AG41" i="1"/>
  <c r="AC37" i="1"/>
  <c r="AB36" i="1"/>
  <c r="AA35" i="1"/>
  <c r="AL52" i="1"/>
  <c r="AL51" i="1"/>
  <c r="AO47" i="1" a="1"/>
  <c r="AO49" i="1" s="1"/>
  <c r="AM47" i="1" a="1"/>
  <c r="AM51" i="1" s="1"/>
  <c r="AL39" i="1"/>
  <c r="AL40" i="1"/>
  <c r="AL16" i="1"/>
  <c r="AL15" i="1"/>
  <c r="AM35" i="1" a="1"/>
  <c r="AM35" i="1" s="1"/>
  <c r="C19" i="1"/>
  <c r="C8" i="1"/>
  <c r="AO35" i="1" l="1" a="1"/>
  <c r="AO35" i="1" s="1"/>
  <c r="AO52" i="1"/>
  <c r="AO54" i="1"/>
  <c r="AO50" i="1"/>
  <c r="AO51" i="1"/>
  <c r="AM54" i="1"/>
  <c r="AM55" i="1"/>
  <c r="AM48" i="1"/>
  <c r="AM49" i="1"/>
  <c r="AO47" i="1"/>
  <c r="AO55" i="1"/>
  <c r="AM52" i="1"/>
  <c r="AM53" i="1"/>
  <c r="AM47" i="1"/>
  <c r="AM50" i="1"/>
  <c r="AO48" i="1"/>
  <c r="AO53" i="1"/>
  <c r="AM37" i="1"/>
  <c r="AM39" i="1"/>
  <c r="AM42" i="1"/>
  <c r="AM41" i="1"/>
  <c r="AM40" i="1"/>
  <c r="AM38" i="1"/>
  <c r="AM36" i="1"/>
  <c r="AM43" i="1"/>
  <c r="AO40" i="1" l="1"/>
  <c r="AO43" i="1"/>
  <c r="AO38" i="1"/>
  <c r="AO39" i="1"/>
  <c r="AO36" i="1"/>
  <c r="AO37" i="1"/>
  <c r="AO42" i="1"/>
  <c r="AO41" i="1"/>
  <c r="AG24" i="1"/>
  <c r="AH24" i="1"/>
  <c r="AI24" i="1"/>
  <c r="AG25" i="1"/>
  <c r="AH25" i="1"/>
  <c r="AI25" i="1"/>
  <c r="AG26" i="1"/>
  <c r="AH26" i="1"/>
  <c r="AI26" i="1"/>
  <c r="AB30" i="1"/>
  <c r="AC30" i="1"/>
  <c r="AB31" i="1"/>
  <c r="AC31" i="1"/>
  <c r="AB32" i="1"/>
  <c r="AC32" i="1"/>
  <c r="AA30" i="1"/>
  <c r="AA31" i="1"/>
  <c r="AA32" i="1"/>
  <c r="H18" i="1"/>
  <c r="K15" i="1" s="1"/>
  <c r="G3" i="1"/>
  <c r="J6" i="1" l="1"/>
  <c r="J3" i="1"/>
  <c r="G6" i="1"/>
  <c r="G4" i="1"/>
  <c r="N2" i="1"/>
  <c r="M2" i="1"/>
  <c r="H4" i="1"/>
  <c r="K7" i="1" s="1"/>
  <c r="F2" i="1"/>
  <c r="H7" i="1"/>
  <c r="K4" i="1" s="1"/>
  <c r="G14" i="1"/>
  <c r="F13" i="1"/>
  <c r="M13" i="1"/>
  <c r="N13" i="1"/>
  <c r="G15" i="1"/>
  <c r="H15" i="1"/>
  <c r="K18" i="1" s="1"/>
  <c r="I2" i="1" l="1"/>
  <c r="F5" i="1"/>
  <c r="I5" i="1"/>
  <c r="M3" i="1"/>
  <c r="P6" i="1" s="1"/>
  <c r="Q5" i="1"/>
  <c r="P5" i="1"/>
  <c r="N3" i="1"/>
  <c r="Q6" i="1" s="1"/>
  <c r="H6" i="1"/>
  <c r="H3" i="1"/>
  <c r="K3" i="1" s="1"/>
  <c r="J4" i="1"/>
  <c r="G7" i="1"/>
  <c r="J17" i="1"/>
  <c r="J14" i="1"/>
  <c r="G17" i="1"/>
  <c r="F16" i="1"/>
  <c r="I16" i="1"/>
  <c r="I13" i="1"/>
  <c r="M14" i="1"/>
  <c r="P17" i="1" s="1"/>
  <c r="Q16" i="1"/>
  <c r="J15" i="1"/>
  <c r="G18" i="1"/>
  <c r="H17" i="1"/>
  <c r="H14" i="1"/>
  <c r="K14" i="1" s="1"/>
  <c r="N14" i="1"/>
  <c r="Q17" i="1" s="1"/>
  <c r="P16" i="1"/>
  <c r="T13" i="1" l="1" a="1"/>
  <c r="K6" i="1"/>
  <c r="T2" i="1" s="1" a="1"/>
  <c r="J7" i="1"/>
  <c r="J18" i="1"/>
  <c r="K17" i="1"/>
  <c r="X4" i="1" l="1"/>
  <c r="AE4" i="1" s="1"/>
  <c r="AE26" i="1" s="1"/>
  <c r="V7" i="1"/>
  <c r="AC7" i="1" s="1"/>
  <c r="AC29" i="1" s="1"/>
  <c r="X5" i="1"/>
  <c r="AE5" i="1" s="1"/>
  <c r="W7" i="1"/>
  <c r="AD7" i="1" s="1"/>
  <c r="V6" i="1"/>
  <c r="AC6" i="1" s="1"/>
  <c r="AC28" i="1" s="1"/>
  <c r="X7" i="1"/>
  <c r="AE7" i="1" s="1"/>
  <c r="Y7" i="1"/>
  <c r="AF7" i="1" s="1"/>
  <c r="T5" i="1"/>
  <c r="AA5" i="1" s="1"/>
  <c r="AA27" i="1" s="1"/>
  <c r="X6" i="1"/>
  <c r="AE6" i="1" s="1"/>
  <c r="Y5" i="1"/>
  <c r="AF5" i="1" s="1"/>
  <c r="U7" i="1"/>
  <c r="AB7" i="1" s="1"/>
  <c r="AB29" i="1" s="1"/>
  <c r="V5" i="1"/>
  <c r="AC5" i="1" s="1"/>
  <c r="AC27" i="1" s="1"/>
  <c r="U2" i="1"/>
  <c r="AB2" i="1" s="1"/>
  <c r="AB24" i="1" s="1"/>
  <c r="T2" i="1"/>
  <c r="W2" i="1"/>
  <c r="AD2" i="1" s="1"/>
  <c r="AD24" i="1" s="1"/>
  <c r="V2" i="1"/>
  <c r="AC2" i="1" s="1"/>
  <c r="AC24" i="1" s="1"/>
  <c r="Y6" i="1"/>
  <c r="AF6" i="1" s="1"/>
  <c r="U6" i="1"/>
  <c r="AB6" i="1" s="1"/>
  <c r="AB28" i="1" s="1"/>
  <c r="U3" i="1"/>
  <c r="AB3" i="1" s="1"/>
  <c r="AB25" i="1" s="1"/>
  <c r="T4" i="1"/>
  <c r="AA4" i="1" s="1"/>
  <c r="AA26" i="1" s="1"/>
  <c r="V4" i="1"/>
  <c r="AC4" i="1" s="1"/>
  <c r="AC26" i="1" s="1"/>
  <c r="W5" i="1"/>
  <c r="AD5" i="1" s="1"/>
  <c r="Y3" i="1"/>
  <c r="AF3" i="1" s="1"/>
  <c r="AF25" i="1" s="1"/>
  <c r="W6" i="1"/>
  <c r="AD6" i="1" s="1"/>
  <c r="T7" i="1"/>
  <c r="AA7" i="1" s="1"/>
  <c r="AA29" i="1" s="1"/>
  <c r="T3" i="1"/>
  <c r="AA3" i="1" s="1"/>
  <c r="AA25" i="1" s="1"/>
  <c r="Y4" i="1"/>
  <c r="AF4" i="1" s="1"/>
  <c r="AF26" i="1" s="1"/>
  <c r="U4" i="1"/>
  <c r="AB4" i="1" s="1"/>
  <c r="AB26" i="1" s="1"/>
  <c r="X2" i="1"/>
  <c r="AE2" i="1" s="1"/>
  <c r="AE24" i="1" s="1"/>
  <c r="V3" i="1"/>
  <c r="AC3" i="1" s="1"/>
  <c r="AC25" i="1" s="1"/>
  <c r="X3" i="1"/>
  <c r="AE3" i="1" s="1"/>
  <c r="AE25" i="1" s="1"/>
  <c r="W3" i="1"/>
  <c r="AD3" i="1" s="1"/>
  <c r="AD25" i="1" s="1"/>
  <c r="T6" i="1"/>
  <c r="AA6" i="1" s="1"/>
  <c r="AA28" i="1" s="1"/>
  <c r="U5" i="1"/>
  <c r="AB5" i="1" s="1"/>
  <c r="AB27" i="1" s="1"/>
  <c r="Y2" i="1"/>
  <c r="AF2" i="1" s="1"/>
  <c r="AF24" i="1" s="1"/>
  <c r="W4" i="1"/>
  <c r="AD4" i="1" s="1"/>
  <c r="AD26" i="1" s="1"/>
  <c r="X18" i="1"/>
  <c r="Y18" i="1"/>
  <c r="AI21" i="1" s="1"/>
  <c r="AI32" i="1" s="1"/>
  <c r="T14" i="1"/>
  <c r="AD17" i="1" s="1"/>
  <c r="V14" i="1"/>
  <c r="AF17" i="1" s="1"/>
  <c r="U17" i="1"/>
  <c r="AE20" i="1" s="1"/>
  <c r="AE31" i="1" s="1"/>
  <c r="T16" i="1"/>
  <c r="AD19" i="1" s="1"/>
  <c r="AD30" i="1" s="1"/>
  <c r="Y13" i="1"/>
  <c r="AI16" i="1" s="1"/>
  <c r="AI27" i="1" s="1"/>
  <c r="V15" i="1"/>
  <c r="AF18" i="1" s="1"/>
  <c r="X15" i="1"/>
  <c r="AH18" i="1" s="1"/>
  <c r="AH29" i="1" s="1"/>
  <c r="W18" i="1"/>
  <c r="AG21" i="1" s="1"/>
  <c r="AG32" i="1" s="1"/>
  <c r="V17" i="1"/>
  <c r="AF20" i="1" s="1"/>
  <c r="AF31" i="1" s="1"/>
  <c r="Y14" i="1"/>
  <c r="AI17" i="1" s="1"/>
  <c r="AI28" i="1" s="1"/>
  <c r="X16" i="1"/>
  <c r="AH19" i="1" s="1"/>
  <c r="AH30" i="1" s="1"/>
  <c r="T17" i="1"/>
  <c r="AD20" i="1" s="1"/>
  <c r="AD31" i="1" s="1"/>
  <c r="U16" i="1"/>
  <c r="AE19" i="1" s="1"/>
  <c r="AE30" i="1" s="1"/>
  <c r="X13" i="1"/>
  <c r="AH16" i="1" s="1"/>
  <c r="AH27" i="1" s="1"/>
  <c r="T18" i="1"/>
  <c r="AD21" i="1" s="1"/>
  <c r="AD32" i="1" s="1"/>
  <c r="V18" i="1"/>
  <c r="AF21" i="1" s="1"/>
  <c r="AF32" i="1" s="1"/>
  <c r="V16" i="1"/>
  <c r="AF19" i="1" s="1"/>
  <c r="AF30" i="1" s="1"/>
  <c r="X17" i="1"/>
  <c r="AH20" i="1" s="1"/>
  <c r="AH31" i="1" s="1"/>
  <c r="Y16" i="1"/>
  <c r="AI19" i="1" s="1"/>
  <c r="AI30" i="1" s="1"/>
  <c r="U14" i="1"/>
  <c r="AE17" i="1" s="1"/>
  <c r="U15" i="1"/>
  <c r="AE18" i="1" s="1"/>
  <c r="U13" i="1"/>
  <c r="AE16" i="1" s="1"/>
  <c r="W15" i="1"/>
  <c r="AG18" i="1" s="1"/>
  <c r="AG29" i="1" s="1"/>
  <c r="W16" i="1"/>
  <c r="AG19" i="1" s="1"/>
  <c r="AG30" i="1" s="1"/>
  <c r="U18" i="1"/>
  <c r="AE21" i="1" s="1"/>
  <c r="AE32" i="1" s="1"/>
  <c r="W17" i="1"/>
  <c r="AG20" i="1" s="1"/>
  <c r="AG31" i="1" s="1"/>
  <c r="V13" i="1"/>
  <c r="AF16" i="1" s="1"/>
  <c r="W13" i="1"/>
  <c r="AG16" i="1" s="1"/>
  <c r="AG27" i="1" s="1"/>
  <c r="T15" i="1"/>
  <c r="AD18" i="1" s="1"/>
  <c r="W14" i="1"/>
  <c r="AG17" i="1" s="1"/>
  <c r="AG28" i="1" s="1"/>
  <c r="Y17" i="1"/>
  <c r="AI20" i="1" s="1"/>
  <c r="AI31" i="1" s="1"/>
  <c r="T13" i="1"/>
  <c r="Y15" i="1"/>
  <c r="AI18" i="1" s="1"/>
  <c r="AI29" i="1" s="1"/>
  <c r="X14" i="1"/>
  <c r="AH17" i="1" s="1"/>
  <c r="AH28" i="1" s="1"/>
  <c r="AH21" i="1"/>
  <c r="AH32" i="1" s="1"/>
  <c r="AD16" i="1" l="1"/>
  <c r="AK14" i="1" a="1"/>
  <c r="AA2" i="1"/>
  <c r="AA24" i="1" s="1"/>
  <c r="AK3" i="1" a="1"/>
  <c r="AE28" i="1"/>
  <c r="AF28" i="1"/>
  <c r="AE29" i="1"/>
  <c r="AF29" i="1"/>
  <c r="AF27" i="1"/>
  <c r="AD29" i="1"/>
  <c r="AD27" i="1"/>
  <c r="AE27" i="1"/>
  <c r="AD28" i="1"/>
  <c r="AK24" i="1" l="1" a="1"/>
  <c r="AK16" i="1"/>
  <c r="AK18" i="1"/>
  <c r="AK17" i="1"/>
  <c r="AK15" i="1"/>
  <c r="AK19" i="1"/>
  <c r="AK14" i="1"/>
  <c r="AM14" i="1" s="1" a="1"/>
  <c r="AK5" i="1"/>
  <c r="AL5" i="1" s="1"/>
  <c r="AK4" i="1"/>
  <c r="AL4" i="1" s="1"/>
  <c r="AK3" i="1"/>
  <c r="AL3" i="1" s="1"/>
  <c r="AK8" i="1"/>
  <c r="AL8" i="1" s="1"/>
  <c r="AK6" i="1"/>
  <c r="AL6" i="1" s="1"/>
  <c r="AK7" i="1"/>
  <c r="AL7" i="1" s="1"/>
  <c r="AM15" i="1" l="1"/>
  <c r="AN15" i="1" s="1"/>
  <c r="AM19" i="1"/>
  <c r="AN19" i="1" s="1"/>
  <c r="AM17" i="1"/>
  <c r="AN17" i="1" s="1"/>
  <c r="AM16" i="1"/>
  <c r="AN16" i="1" s="1"/>
  <c r="AM14" i="1"/>
  <c r="AN14" i="1" s="1"/>
  <c r="AM18" i="1"/>
  <c r="AN18" i="1" s="1"/>
  <c r="AK24" i="1"/>
  <c r="AK31" i="1"/>
  <c r="AK28" i="1"/>
  <c r="AK29" i="1"/>
  <c r="AK32" i="1"/>
  <c r="AK30" i="1"/>
  <c r="AK25" i="1"/>
  <c r="AK26" i="1"/>
  <c r="AK27" i="1"/>
</calcChain>
</file>

<file path=xl/sharedStrings.xml><?xml version="1.0" encoding="utf-8"?>
<sst xmlns="http://schemas.openxmlformats.org/spreadsheetml/2006/main" count="79" uniqueCount="36">
  <si>
    <t>Barra 01</t>
  </si>
  <si>
    <t>Nó Inicial</t>
  </si>
  <si>
    <t>Nó Final</t>
  </si>
  <si>
    <t>E</t>
  </si>
  <si>
    <t>A</t>
  </si>
  <si>
    <t>Iz</t>
  </si>
  <si>
    <t>x (m)</t>
  </si>
  <si>
    <t>y (m)</t>
  </si>
  <si>
    <t>N/m²</t>
  </si>
  <si>
    <t>m²</t>
  </si>
  <si>
    <r>
      <t>m</t>
    </r>
    <r>
      <rPr>
        <vertAlign val="superscript"/>
        <sz val="11"/>
        <color theme="1"/>
        <rFont val="Calibri"/>
        <family val="2"/>
        <scheme val="minor"/>
      </rPr>
      <t>4</t>
    </r>
  </si>
  <si>
    <t>Matriz de Rigidez Local (Kl)</t>
  </si>
  <si>
    <t>L</t>
  </si>
  <si>
    <t>m</t>
  </si>
  <si>
    <t>Parâmetros</t>
  </si>
  <si>
    <t>Matriz de Rotação</t>
  </si>
  <si>
    <t>Matriz de Rigidez nas Coordenas Globais</t>
  </si>
  <si>
    <t>Incerção na Matriz de Rigidez Global</t>
  </si>
  <si>
    <t>Barra 02</t>
  </si>
  <si>
    <t>Matriz de Rigidez Global</t>
  </si>
  <si>
    <t>Matriz de Rigidez Global com as Condições de Contorno</t>
  </si>
  <si>
    <t>Term.Carga</t>
  </si>
  <si>
    <t>Deslocamentos</t>
  </si>
  <si>
    <t>Equações</t>
  </si>
  <si>
    <t>Reções de Apoio</t>
  </si>
  <si>
    <t>Cargas-Nós (f)</t>
  </si>
  <si>
    <r>
      <t>Carga-Barras (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)</t>
    </r>
  </si>
  <si>
    <t>f-β</t>
  </si>
  <si>
    <t>k*D-(f-β)</t>
  </si>
  <si>
    <t>Esforços</t>
  </si>
  <si>
    <t>Esforços-Nós</t>
  </si>
  <si>
    <t>Total</t>
  </si>
  <si>
    <t>Diagrama</t>
  </si>
  <si>
    <t>kN</t>
  </si>
  <si>
    <t>kN.m</t>
  </si>
  <si>
    <t>Esforços-Barra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</si>
</sst>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vertical="center" textRotation="90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225287</xdr:colOff>
      <xdr:row>20</xdr:row>
      <xdr:rowOff>21706</xdr:rowOff>
    </xdr:from>
    <xdr:to>
      <xdr:col>23</xdr:col>
      <xdr:colOff>523461</xdr:colOff>
      <xdr:row>22</xdr:row>
      <xdr:rowOff>180323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E565C9-59CA-D19D-854E-F3A93963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7287" y="3805202"/>
          <a:ext cx="2544417" cy="536304"/>
        </a:xfrm>
        <a:prstGeom prst="rect">
          <a:avLst/>
        </a:prstGeom>
      </xdr:spPr>
    </xdr:pic>
    <xdr:clientData/>
  </xdr:twoCellAnchor>
  <xdr:twoCellAnchor editAs="oneCell">
    <xdr:from>
      <xdr:col>12</xdr:col>
      <xdr:colOff>39757</xdr:colOff>
      <xdr:row>20</xdr:row>
      <xdr:rowOff>46382</xdr:rowOff>
    </xdr:from>
    <xdr:to>
      <xdr:col>17</xdr:col>
      <xdr:colOff>596917</xdr:colOff>
      <xdr:row>25</xdr:row>
      <xdr:rowOff>76863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1AB8A0-9F1E-6A50-0A79-81E2C691D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9792" y="3829878"/>
          <a:ext cx="3605160" cy="971385"/>
        </a:xfrm>
        <a:prstGeom prst="rect">
          <a:avLst/>
        </a:prstGeom>
      </xdr:spPr>
    </xdr:pic>
    <xdr:clientData/>
  </xdr:twoCellAnchor>
  <xdr:twoCellAnchor editAs="oneCell">
    <xdr:from>
      <xdr:col>4</xdr:col>
      <xdr:colOff>583095</xdr:colOff>
      <xdr:row>20</xdr:row>
      <xdr:rowOff>13251</xdr:rowOff>
    </xdr:from>
    <xdr:to>
      <xdr:col>11</xdr:col>
      <xdr:colOff>68337</xdr:colOff>
      <xdr:row>27</xdr:row>
      <xdr:rowOff>119270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1A1C489-E633-1559-F936-6964F214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7060" y="3796747"/>
          <a:ext cx="3871712" cy="1417984"/>
        </a:xfrm>
        <a:prstGeom prst="rect">
          <a:avLst/>
        </a:prstGeom>
      </xdr:spPr>
    </xdr:pic>
    <xdr:clientData/>
  </xdr:twoCellAnchor>
  <xdr:twoCellAnchor editAs="oneCell">
    <xdr:from>
      <xdr:col>18</xdr:col>
      <xdr:colOff>531644</xdr:colOff>
      <xdr:row>24</xdr:row>
      <xdr:rowOff>56904</xdr:rowOff>
    </xdr:from>
    <xdr:to>
      <xdr:col>25</xdr:col>
      <xdr:colOff>66260</xdr:colOff>
      <xdr:row>40</xdr:row>
      <xdr:rowOff>116808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8998188-DBA6-EF3C-DBBD-9A9E694561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21" t="3766" r="36218" b="23366"/>
        <a:stretch/>
      </xdr:blipFill>
      <xdr:spPr bwMode="auto">
        <a:xfrm>
          <a:off x="11259279" y="4595774"/>
          <a:ext cx="4636703" cy="3041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13251</xdr:colOff>
      <xdr:row>1</xdr:row>
      <xdr:rowOff>6626</xdr:rowOff>
    </xdr:from>
    <xdr:to>
      <xdr:col>40</xdr:col>
      <xdr:colOff>271669</xdr:colOff>
      <xdr:row>2</xdr:row>
      <xdr:rowOff>82363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B7A4999-2900-9A0D-8B92-9F30E2F3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67025" y="198783"/>
          <a:ext cx="987287" cy="261267"/>
        </a:xfrm>
        <a:prstGeom prst="rect">
          <a:avLst/>
        </a:prstGeom>
      </xdr:spPr>
    </xdr:pic>
    <xdr:clientData/>
  </xdr:twoCellAnchor>
  <xdr:twoCellAnchor editAs="oneCell">
    <xdr:from>
      <xdr:col>39</xdr:col>
      <xdr:colOff>19879</xdr:colOff>
      <xdr:row>2</xdr:row>
      <xdr:rowOff>119270</xdr:rowOff>
    </xdr:from>
    <xdr:to>
      <xdr:col>40</xdr:col>
      <xdr:colOff>411207</xdr:colOff>
      <xdr:row>3</xdr:row>
      <xdr:rowOff>172279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8D8641D-8B2C-7F24-A749-91701AE9C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073653" y="496957"/>
          <a:ext cx="1120197" cy="238539"/>
        </a:xfrm>
        <a:prstGeom prst="rect">
          <a:avLst/>
        </a:prstGeom>
      </xdr:spPr>
    </xdr:pic>
    <xdr:clientData/>
  </xdr:twoCellAnchor>
  <xdr:twoCellAnchor editAs="oneCell">
    <xdr:from>
      <xdr:col>40</xdr:col>
      <xdr:colOff>516835</xdr:colOff>
      <xdr:row>0</xdr:row>
      <xdr:rowOff>145775</xdr:rowOff>
    </xdr:from>
    <xdr:to>
      <xdr:col>41</xdr:col>
      <xdr:colOff>352711</xdr:colOff>
      <xdr:row>8</xdr:row>
      <xdr:rowOff>19879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99D179C-8758-8C16-7000-5702CBF91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99478" y="145775"/>
          <a:ext cx="790033" cy="1391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072B-E992-410C-9047-2160BD6F3B76}">
  <dimension ref="A1:AP55"/>
  <sheetViews>
    <sheetView tabSelected="1" topLeftCell="X31" zoomScaleNormal="100" workbookViewId="0">
      <selection activeCell="AP48" sqref="AP48"/>
    </sheetView>
  </sheetViews>
  <sheetFormatPr defaultRowHeight="14.4" x14ac:dyDescent="0.3"/>
  <cols>
    <col min="1" max="1" width="3.5546875" bestFit="1" customWidth="1"/>
    <col min="6" max="11" width="9.21875" bestFit="1" customWidth="1"/>
    <col min="20" max="20" width="12.44140625" bestFit="1" customWidth="1"/>
    <col min="21" max="21" width="9" bestFit="1" customWidth="1"/>
    <col min="22" max="22" width="11.33203125" bestFit="1" customWidth="1"/>
    <col min="23" max="23" width="12.44140625" bestFit="1" customWidth="1"/>
    <col min="24" max="24" width="9" bestFit="1" customWidth="1"/>
    <col min="25" max="25" width="11.33203125" bestFit="1" customWidth="1"/>
    <col min="27" max="29" width="9" bestFit="1" customWidth="1"/>
    <col min="30" max="30" width="12.44140625" bestFit="1" customWidth="1"/>
    <col min="31" max="31" width="9" bestFit="1" customWidth="1"/>
    <col min="32" max="32" width="11.33203125" bestFit="1" customWidth="1"/>
    <col min="33" max="33" width="12.44140625" bestFit="1" customWidth="1"/>
    <col min="34" max="34" width="9" bestFit="1" customWidth="1"/>
    <col min="35" max="35" width="11.33203125" bestFit="1" customWidth="1"/>
    <col min="37" max="37" width="15" bestFit="1" customWidth="1"/>
    <col min="38" max="38" width="14.6640625" bestFit="1" customWidth="1"/>
    <col min="39" max="39" width="9.21875" bestFit="1" customWidth="1"/>
    <col min="40" max="40" width="10.6640625" bestFit="1" customWidth="1"/>
    <col min="41" max="41" width="13.88671875" bestFit="1" customWidth="1"/>
  </cols>
  <sheetData>
    <row r="1" spans="1:41" ht="15" thickBot="1" x14ac:dyDescent="0.35">
      <c r="B1" s="38" t="s">
        <v>14</v>
      </c>
      <c r="C1" s="38"/>
      <c r="D1" s="38"/>
      <c r="F1" s="38" t="s">
        <v>11</v>
      </c>
      <c r="G1" s="38"/>
      <c r="H1" s="38"/>
      <c r="I1" s="38"/>
      <c r="J1" s="38"/>
      <c r="K1" s="38"/>
      <c r="M1" s="38" t="s">
        <v>15</v>
      </c>
      <c r="N1" s="38"/>
      <c r="O1" s="38"/>
      <c r="P1" s="38"/>
      <c r="Q1" s="38"/>
      <c r="R1" s="38"/>
      <c r="T1" s="38" t="s">
        <v>16</v>
      </c>
      <c r="U1" s="38"/>
      <c r="V1" s="38"/>
      <c r="W1" s="38"/>
      <c r="X1" s="38"/>
      <c r="Y1" s="38"/>
      <c r="AA1" s="37" t="s">
        <v>17</v>
      </c>
      <c r="AB1" s="37"/>
      <c r="AC1" s="37"/>
      <c r="AD1" s="37"/>
      <c r="AE1" s="37"/>
      <c r="AF1" s="37"/>
      <c r="AG1" s="37"/>
      <c r="AH1" s="37"/>
      <c r="AI1" s="37"/>
    </row>
    <row r="2" spans="1:41" x14ac:dyDescent="0.3">
      <c r="A2" s="36" t="s">
        <v>0</v>
      </c>
      <c r="C2" s="1" t="s">
        <v>6</v>
      </c>
      <c r="D2" s="1" t="s">
        <v>7</v>
      </c>
      <c r="F2" s="12">
        <f>(C5*C6)/C8</f>
        <v>228000000</v>
      </c>
      <c r="G2" s="13">
        <v>0</v>
      </c>
      <c r="H2" s="13">
        <v>0</v>
      </c>
      <c r="I2" s="14">
        <f>-F2</f>
        <v>-228000000</v>
      </c>
      <c r="J2" s="13">
        <v>0</v>
      </c>
      <c r="K2" s="15">
        <v>0</v>
      </c>
      <c r="M2" s="26">
        <f>(C4-C3)/C8</f>
        <v>0</v>
      </c>
      <c r="N2" s="13">
        <f>(D4-D3)/C8</f>
        <v>1</v>
      </c>
      <c r="O2" s="13">
        <v>0</v>
      </c>
      <c r="P2" s="13">
        <v>0</v>
      </c>
      <c r="Q2" s="13">
        <v>0</v>
      </c>
      <c r="R2" s="15">
        <v>0</v>
      </c>
      <c r="T2" s="26">
        <f t="array" ref="T2:Y7">MMULT(MMULT(TRANSPOSE(M2:R7),F2:K7),M2:R7)</f>
        <v>550355.5555555555</v>
      </c>
      <c r="U2" s="13">
        <v>0</v>
      </c>
      <c r="V2" s="13">
        <v>-1651066.6666666667</v>
      </c>
      <c r="W2" s="13">
        <v>-550355.5555555555</v>
      </c>
      <c r="X2" s="13">
        <v>0</v>
      </c>
      <c r="Y2" s="15">
        <v>-1651066.6666666667</v>
      </c>
      <c r="AA2" s="4">
        <f>T2</f>
        <v>550355.5555555555</v>
      </c>
      <c r="AB2" s="5">
        <f t="shared" ref="AB2:AF7" si="0">U2</f>
        <v>0</v>
      </c>
      <c r="AC2" s="5">
        <f t="shared" si="0"/>
        <v>-1651066.6666666667</v>
      </c>
      <c r="AD2" s="5">
        <f t="shared" si="0"/>
        <v>-550355.5555555555</v>
      </c>
      <c r="AE2" s="5">
        <f t="shared" si="0"/>
        <v>0</v>
      </c>
      <c r="AF2" s="5">
        <f t="shared" si="0"/>
        <v>-1651066.6666666667</v>
      </c>
      <c r="AG2" s="5"/>
      <c r="AH2" s="5"/>
      <c r="AI2" s="6"/>
      <c r="AK2" s="35" t="s">
        <v>29</v>
      </c>
      <c r="AL2" s="35" t="s">
        <v>32</v>
      </c>
    </row>
    <row r="3" spans="1:41" x14ac:dyDescent="0.3">
      <c r="A3" s="36"/>
      <c r="B3" t="s">
        <v>1</v>
      </c>
      <c r="C3" s="1">
        <v>0</v>
      </c>
      <c r="D3" s="1">
        <v>0</v>
      </c>
      <c r="F3" s="16">
        <v>0</v>
      </c>
      <c r="G3" s="17">
        <f>(12*C5*C7)/C8^3</f>
        <v>550355.5555555555</v>
      </c>
      <c r="H3" s="17">
        <f>G4</f>
        <v>1651066.6666666667</v>
      </c>
      <c r="I3" s="18">
        <v>0</v>
      </c>
      <c r="J3" s="17">
        <f>-G3</f>
        <v>-550355.5555555555</v>
      </c>
      <c r="K3" s="19">
        <f>H3</f>
        <v>1651066.6666666667</v>
      </c>
      <c r="M3" s="16">
        <f>-N2</f>
        <v>-1</v>
      </c>
      <c r="N3" s="18">
        <f>M2</f>
        <v>0</v>
      </c>
      <c r="O3" s="18">
        <v>0</v>
      </c>
      <c r="P3" s="18">
        <v>0</v>
      </c>
      <c r="Q3" s="18">
        <v>0</v>
      </c>
      <c r="R3" s="21">
        <v>0</v>
      </c>
      <c r="T3" s="16">
        <v>0</v>
      </c>
      <c r="U3" s="18">
        <v>228000000</v>
      </c>
      <c r="V3" s="18">
        <v>0</v>
      </c>
      <c r="W3" s="18">
        <v>0</v>
      </c>
      <c r="X3" s="18">
        <v>-228000000</v>
      </c>
      <c r="Y3" s="21">
        <v>0</v>
      </c>
      <c r="AA3" s="7">
        <f t="shared" ref="AA3:AA7" si="1">T3</f>
        <v>0</v>
      </c>
      <c r="AB3">
        <f t="shared" si="0"/>
        <v>228000000</v>
      </c>
      <c r="AC3">
        <f t="shared" si="0"/>
        <v>0</v>
      </c>
      <c r="AD3">
        <f t="shared" si="0"/>
        <v>0</v>
      </c>
      <c r="AE3">
        <f t="shared" si="0"/>
        <v>-228000000</v>
      </c>
      <c r="AF3">
        <f t="shared" si="0"/>
        <v>0</v>
      </c>
      <c r="AI3" s="8"/>
      <c r="AK3" s="28">
        <f t="array" ref="AK3:AK8">MMULT(M2:R7,MMULT(T2:Y7,AO35:AO40))</f>
        <v>151825.48623525191</v>
      </c>
      <c r="AL3" s="28">
        <f>-AK3</f>
        <v>-151825.48623525191</v>
      </c>
      <c r="AM3" t="s">
        <v>33</v>
      </c>
    </row>
    <row r="4" spans="1:41" x14ac:dyDescent="0.3">
      <c r="A4" s="36"/>
      <c r="B4" t="s">
        <v>2</v>
      </c>
      <c r="C4" s="1">
        <v>0</v>
      </c>
      <c r="D4" s="1">
        <v>6</v>
      </c>
      <c r="F4" s="16">
        <v>0</v>
      </c>
      <c r="G4" s="17">
        <f>(6*C5*C7)/C8^2</f>
        <v>1651066.6666666667</v>
      </c>
      <c r="H4" s="17">
        <f>(4*C5*C7)/C8</f>
        <v>6604266.666666667</v>
      </c>
      <c r="I4" s="18">
        <v>0</v>
      </c>
      <c r="J4" s="17">
        <f>-G4</f>
        <v>-1651066.6666666667</v>
      </c>
      <c r="K4" s="19">
        <f>H7</f>
        <v>3302133.3333333335</v>
      </c>
      <c r="M4" s="16">
        <v>0</v>
      </c>
      <c r="N4" s="18">
        <v>0</v>
      </c>
      <c r="O4" s="18">
        <v>1</v>
      </c>
      <c r="P4" s="18">
        <v>0</v>
      </c>
      <c r="Q4" s="18">
        <v>0</v>
      </c>
      <c r="R4" s="21">
        <v>0</v>
      </c>
      <c r="T4" s="16">
        <v>-1651066.6666666667</v>
      </c>
      <c r="U4" s="18">
        <v>0</v>
      </c>
      <c r="V4" s="18">
        <v>6604266.666666667</v>
      </c>
      <c r="W4" s="18">
        <v>1651066.6666666667</v>
      </c>
      <c r="X4" s="18">
        <v>0</v>
      </c>
      <c r="Y4" s="21">
        <v>3302133.3333333335</v>
      </c>
      <c r="AA4" s="7">
        <f t="shared" si="1"/>
        <v>-1651066.6666666667</v>
      </c>
      <c r="AB4">
        <f t="shared" si="0"/>
        <v>0</v>
      </c>
      <c r="AC4">
        <f t="shared" si="0"/>
        <v>6604266.666666667</v>
      </c>
      <c r="AD4">
        <f t="shared" si="0"/>
        <v>1651066.6666666667</v>
      </c>
      <c r="AE4">
        <f t="shared" si="0"/>
        <v>0</v>
      </c>
      <c r="AF4">
        <f t="shared" si="0"/>
        <v>3302133.3333333335</v>
      </c>
      <c r="AI4" s="8"/>
      <c r="AK4" s="28">
        <v>-25223.705370426062</v>
      </c>
      <c r="AL4" s="28">
        <f>AK4</f>
        <v>-25223.705370426062</v>
      </c>
      <c r="AM4" t="s">
        <v>33</v>
      </c>
    </row>
    <row r="5" spans="1:41" x14ac:dyDescent="0.3">
      <c r="A5" s="36"/>
      <c r="B5" t="s">
        <v>3</v>
      </c>
      <c r="C5" s="2">
        <v>200000000000</v>
      </c>
      <c r="D5" t="s">
        <v>8</v>
      </c>
      <c r="F5" s="20">
        <f>-F2</f>
        <v>-228000000</v>
      </c>
      <c r="G5" s="18">
        <v>0</v>
      </c>
      <c r="H5" s="18">
        <v>0</v>
      </c>
      <c r="I5" s="17">
        <f>F2</f>
        <v>228000000</v>
      </c>
      <c r="J5" s="18">
        <v>0</v>
      </c>
      <c r="K5" s="21">
        <v>0</v>
      </c>
      <c r="M5" s="16">
        <v>0</v>
      </c>
      <c r="N5" s="18">
        <v>0</v>
      </c>
      <c r="O5" s="18">
        <v>0</v>
      </c>
      <c r="P5" s="18">
        <f>M2</f>
        <v>0</v>
      </c>
      <c r="Q5" s="18">
        <f>N2</f>
        <v>1</v>
      </c>
      <c r="R5" s="21">
        <v>0</v>
      </c>
      <c r="T5" s="16">
        <v>-550355.5555555555</v>
      </c>
      <c r="U5" s="18">
        <v>0</v>
      </c>
      <c r="V5" s="18">
        <v>1651066.6666666667</v>
      </c>
      <c r="W5" s="18">
        <v>550355.5555555555</v>
      </c>
      <c r="X5" s="18">
        <v>0</v>
      </c>
      <c r="Y5" s="21">
        <v>1651066.6666666667</v>
      </c>
      <c r="AA5" s="7">
        <f t="shared" si="1"/>
        <v>-550355.5555555555</v>
      </c>
      <c r="AB5">
        <f t="shared" si="0"/>
        <v>0</v>
      </c>
      <c r="AC5">
        <f t="shared" si="0"/>
        <v>1651066.6666666667</v>
      </c>
      <c r="AD5">
        <f t="shared" si="0"/>
        <v>550355.5555555555</v>
      </c>
      <c r="AE5">
        <f t="shared" si="0"/>
        <v>0</v>
      </c>
      <c r="AF5">
        <f t="shared" si="0"/>
        <v>1651066.6666666667</v>
      </c>
      <c r="AI5" s="8"/>
      <c r="AK5" s="28">
        <v>-49991.023650273492</v>
      </c>
      <c r="AL5" s="28">
        <f>-AK5</f>
        <v>49991.023650273492</v>
      </c>
      <c r="AM5" t="s">
        <v>34</v>
      </c>
    </row>
    <row r="6" spans="1:41" x14ac:dyDescent="0.3">
      <c r="A6" s="36"/>
      <c r="B6" t="s">
        <v>4</v>
      </c>
      <c r="C6" s="2">
        <v>6.8399999999999997E-3</v>
      </c>
      <c r="D6" t="s">
        <v>9</v>
      </c>
      <c r="F6" s="16">
        <v>0</v>
      </c>
      <c r="G6" s="17">
        <f>-G3</f>
        <v>-550355.5555555555</v>
      </c>
      <c r="H6" s="17">
        <f>-G4</f>
        <v>-1651066.6666666667</v>
      </c>
      <c r="I6" s="18">
        <v>0</v>
      </c>
      <c r="J6" s="17">
        <f>G3</f>
        <v>550355.5555555555</v>
      </c>
      <c r="K6" s="19">
        <f>H6</f>
        <v>-1651066.6666666667</v>
      </c>
      <c r="M6" s="16">
        <v>0</v>
      </c>
      <c r="N6" s="18">
        <v>0</v>
      </c>
      <c r="O6" s="18">
        <v>0</v>
      </c>
      <c r="P6" s="18">
        <f>M3</f>
        <v>-1</v>
      </c>
      <c r="Q6" s="18">
        <f>N3</f>
        <v>0</v>
      </c>
      <c r="R6" s="21">
        <v>0</v>
      </c>
      <c r="T6" s="16">
        <v>0</v>
      </c>
      <c r="U6" s="18">
        <v>-228000000</v>
      </c>
      <c r="V6" s="18">
        <v>0</v>
      </c>
      <c r="W6" s="18">
        <v>0</v>
      </c>
      <c r="X6" s="18">
        <v>228000000</v>
      </c>
      <c r="Y6" s="21">
        <v>0</v>
      </c>
      <c r="AA6" s="7">
        <f t="shared" si="1"/>
        <v>0</v>
      </c>
      <c r="AB6">
        <f t="shared" si="0"/>
        <v>-228000000</v>
      </c>
      <c r="AC6">
        <f t="shared" si="0"/>
        <v>0</v>
      </c>
      <c r="AD6">
        <f t="shared" si="0"/>
        <v>0</v>
      </c>
      <c r="AE6">
        <f t="shared" si="0"/>
        <v>228000000</v>
      </c>
      <c r="AF6">
        <f t="shared" si="0"/>
        <v>0</v>
      </c>
      <c r="AI6" s="8"/>
      <c r="AK6" s="28">
        <v>-151825.48623525191</v>
      </c>
      <c r="AL6" s="28">
        <f>AK6</f>
        <v>-151825.48623525191</v>
      </c>
      <c r="AM6" t="s">
        <v>33</v>
      </c>
    </row>
    <row r="7" spans="1:41" ht="16.8" thickBot="1" x14ac:dyDescent="0.35">
      <c r="A7" s="36"/>
      <c r="B7" t="s">
        <v>5</v>
      </c>
      <c r="C7" s="2">
        <v>4.9531999999999999E-5</v>
      </c>
      <c r="D7" s="3" t="s">
        <v>10</v>
      </c>
      <c r="F7" s="22">
        <v>0</v>
      </c>
      <c r="G7" s="23">
        <f>G4</f>
        <v>1651066.6666666667</v>
      </c>
      <c r="H7" s="23">
        <f>(2*C5*C7)/C8</f>
        <v>3302133.3333333335</v>
      </c>
      <c r="I7" s="24">
        <v>0</v>
      </c>
      <c r="J7" s="23">
        <f>H6</f>
        <v>-1651066.6666666667</v>
      </c>
      <c r="K7" s="25">
        <f>H4</f>
        <v>6604266.666666667</v>
      </c>
      <c r="M7" s="22">
        <v>0</v>
      </c>
      <c r="N7" s="24">
        <v>0</v>
      </c>
      <c r="O7" s="24">
        <v>0</v>
      </c>
      <c r="P7" s="24">
        <v>0</v>
      </c>
      <c r="Q7" s="24">
        <v>0</v>
      </c>
      <c r="R7" s="27">
        <v>1</v>
      </c>
      <c r="T7" s="22">
        <v>-1651066.6666666667</v>
      </c>
      <c r="U7" s="24">
        <v>0</v>
      </c>
      <c r="V7" s="24">
        <v>3302133.3333333335</v>
      </c>
      <c r="W7" s="24">
        <v>1651066.6666666667</v>
      </c>
      <c r="X7" s="24">
        <v>0</v>
      </c>
      <c r="Y7" s="27">
        <v>6604266.666666667</v>
      </c>
      <c r="AA7" s="7">
        <f t="shared" si="1"/>
        <v>-1651066.6666666667</v>
      </c>
      <c r="AB7">
        <f t="shared" si="0"/>
        <v>0</v>
      </c>
      <c r="AC7">
        <f t="shared" si="0"/>
        <v>3302133.3333333335</v>
      </c>
      <c r="AD7">
        <f t="shared" si="0"/>
        <v>1651066.6666666667</v>
      </c>
      <c r="AE7">
        <f t="shared" si="0"/>
        <v>0</v>
      </c>
      <c r="AF7">
        <f t="shared" si="0"/>
        <v>6604266.666666667</v>
      </c>
      <c r="AI7" s="8"/>
      <c r="AK7" s="28">
        <v>25223.705370426062</v>
      </c>
      <c r="AL7" s="28">
        <f>-AK7</f>
        <v>-25223.705370426062</v>
      </c>
      <c r="AM7" t="s">
        <v>33</v>
      </c>
    </row>
    <row r="8" spans="1:41" x14ac:dyDescent="0.3">
      <c r="A8" s="36"/>
      <c r="B8" t="s">
        <v>12</v>
      </c>
      <c r="C8">
        <f>SQRT((C4-C3)^2+(D4-D3)^2)</f>
        <v>6</v>
      </c>
      <c r="D8" t="s">
        <v>13</v>
      </c>
      <c r="AA8" s="7"/>
      <c r="AI8" s="8"/>
      <c r="AK8" s="29">
        <v>-101351.20857228288</v>
      </c>
      <c r="AL8" s="29">
        <f>AK8</f>
        <v>-101351.20857228288</v>
      </c>
      <c r="AM8" t="s">
        <v>34</v>
      </c>
    </row>
    <row r="9" spans="1:41" x14ac:dyDescent="0.3">
      <c r="AA9" s="7"/>
      <c r="AI9" s="8"/>
    </row>
    <row r="10" spans="1:41" ht="15" thickBot="1" x14ac:dyDescent="0.35">
      <c r="AA10" s="9"/>
      <c r="AB10" s="10"/>
      <c r="AC10" s="10"/>
      <c r="AD10" s="10"/>
      <c r="AE10" s="10"/>
      <c r="AF10" s="10"/>
      <c r="AG10" s="10"/>
      <c r="AH10" s="10"/>
      <c r="AI10" s="11"/>
    </row>
    <row r="12" spans="1:41" ht="15" thickBot="1" x14ac:dyDescent="0.35">
      <c r="B12" s="38" t="s">
        <v>14</v>
      </c>
      <c r="C12" s="38"/>
      <c r="D12" s="38"/>
      <c r="F12" s="38" t="s">
        <v>11</v>
      </c>
      <c r="G12" s="38"/>
      <c r="H12" s="38"/>
      <c r="I12" s="38"/>
      <c r="J12" s="38"/>
      <c r="K12" s="38"/>
      <c r="M12" s="38" t="s">
        <v>15</v>
      </c>
      <c r="N12" s="38"/>
      <c r="O12" s="38"/>
      <c r="P12" s="38"/>
      <c r="Q12" s="38"/>
      <c r="R12" s="38"/>
      <c r="T12" s="38" t="s">
        <v>16</v>
      </c>
      <c r="U12" s="38"/>
      <c r="V12" s="38"/>
      <c r="W12" s="38"/>
      <c r="X12" s="38"/>
      <c r="Y12" s="38"/>
      <c r="AA12" s="37" t="s">
        <v>17</v>
      </c>
      <c r="AB12" s="37"/>
      <c r="AC12" s="37"/>
      <c r="AD12" s="37"/>
      <c r="AE12" s="37"/>
      <c r="AF12" s="37"/>
      <c r="AG12" s="37"/>
      <c r="AH12" s="37"/>
      <c r="AI12" s="37"/>
    </row>
    <row r="13" spans="1:41" x14ac:dyDescent="0.3">
      <c r="A13" s="36" t="s">
        <v>18</v>
      </c>
      <c r="C13" s="1" t="s">
        <v>6</v>
      </c>
      <c r="D13" s="1" t="s">
        <v>7</v>
      </c>
      <c r="F13" s="12">
        <f>(C16*C17)/C19</f>
        <v>126888888.8888889</v>
      </c>
      <c r="G13" s="13">
        <v>0</v>
      </c>
      <c r="H13" s="13">
        <v>0</v>
      </c>
      <c r="I13" s="14">
        <f>-F13</f>
        <v>-126888888.8888889</v>
      </c>
      <c r="J13" s="13">
        <v>0</v>
      </c>
      <c r="K13" s="15">
        <v>0</v>
      </c>
      <c r="M13" s="26">
        <f>(C15-C14)/C19</f>
        <v>1</v>
      </c>
      <c r="N13" s="13">
        <f>(D15-D14)/C19</f>
        <v>0</v>
      </c>
      <c r="O13" s="13">
        <v>0</v>
      </c>
      <c r="P13" s="13">
        <v>0</v>
      </c>
      <c r="Q13" s="13">
        <v>0</v>
      </c>
      <c r="R13" s="15">
        <v>0</v>
      </c>
      <c r="T13" s="26">
        <f t="array" ref="T13:Y18">MMULT(MMULT(TRANSPOSE(M13:R18),F13:K18),M13:R18)</f>
        <v>126888888.8888889</v>
      </c>
      <c r="U13" s="13">
        <v>0</v>
      </c>
      <c r="V13" s="13">
        <v>0</v>
      </c>
      <c r="W13" s="13">
        <v>-126888888.8888889</v>
      </c>
      <c r="X13" s="13">
        <v>0</v>
      </c>
      <c r="Y13" s="15">
        <v>0</v>
      </c>
      <c r="AA13" s="4"/>
      <c r="AB13" s="5"/>
      <c r="AC13" s="5"/>
      <c r="AD13" s="5"/>
      <c r="AE13" s="5"/>
      <c r="AF13" s="5"/>
      <c r="AG13" s="5"/>
      <c r="AH13" s="5"/>
      <c r="AI13" s="6"/>
      <c r="AK13" s="35" t="s">
        <v>30</v>
      </c>
      <c r="AL13" s="35" t="s">
        <v>35</v>
      </c>
      <c r="AM13" s="35" t="s">
        <v>31</v>
      </c>
      <c r="AN13" s="35" t="s">
        <v>32</v>
      </c>
    </row>
    <row r="14" spans="1:41" x14ac:dyDescent="0.3">
      <c r="A14" s="36"/>
      <c r="B14" t="s">
        <v>1</v>
      </c>
      <c r="C14" s="1">
        <v>0</v>
      </c>
      <c r="D14" s="1">
        <v>6</v>
      </c>
      <c r="F14" s="16">
        <v>0</v>
      </c>
      <c r="G14" s="17">
        <f>(12*C16*C18)/C19^3</f>
        <v>398748.97119341564</v>
      </c>
      <c r="H14" s="17">
        <f>G15</f>
        <v>1794370.3703703703</v>
      </c>
      <c r="I14" s="18">
        <v>0</v>
      </c>
      <c r="J14" s="17">
        <f>-G14</f>
        <v>-398748.97119341564</v>
      </c>
      <c r="K14" s="19">
        <f>H14</f>
        <v>1794370.3703703703</v>
      </c>
      <c r="M14" s="16">
        <f>-N13</f>
        <v>0</v>
      </c>
      <c r="N14" s="18">
        <f>M13</f>
        <v>1</v>
      </c>
      <c r="O14" s="18">
        <v>0</v>
      </c>
      <c r="P14" s="18">
        <v>0</v>
      </c>
      <c r="Q14" s="18">
        <v>0</v>
      </c>
      <c r="R14" s="21">
        <v>0</v>
      </c>
      <c r="T14" s="16">
        <v>0</v>
      </c>
      <c r="U14" s="18">
        <v>398748.97119341564</v>
      </c>
      <c r="V14" s="18">
        <v>1794370.3703703703</v>
      </c>
      <c r="W14" s="18">
        <v>0</v>
      </c>
      <c r="X14" s="18">
        <v>-398748.97119341564</v>
      </c>
      <c r="Y14" s="21">
        <v>1794370.3703703703</v>
      </c>
      <c r="AA14" s="7"/>
      <c r="AI14" s="8"/>
      <c r="AK14" s="28">
        <f t="array" ref="AK14:AK19">MMULT(M13:R18,MMULT(T13:Y18,AO38:AO43))</f>
        <v>105223.70537042609</v>
      </c>
      <c r="AL14" s="31">
        <v>0</v>
      </c>
      <c r="AM14" s="28">
        <f t="array" ref="AM14:AM19">AK14:AK19+AL14:AL19</f>
        <v>105223.70537042609</v>
      </c>
      <c r="AN14" s="28">
        <f>-AM14</f>
        <v>-105223.70537042609</v>
      </c>
      <c r="AO14" t="s">
        <v>33</v>
      </c>
    </row>
    <row r="15" spans="1:41" x14ac:dyDescent="0.3">
      <c r="A15" s="36"/>
      <c r="B15" t="s">
        <v>2</v>
      </c>
      <c r="C15" s="1">
        <v>9</v>
      </c>
      <c r="D15" s="1">
        <v>6</v>
      </c>
      <c r="F15" s="16">
        <v>0</v>
      </c>
      <c r="G15" s="17">
        <f>(6*C16*C18)/C19^2</f>
        <v>1794370.3703703703</v>
      </c>
      <c r="H15" s="17">
        <f>(4*C16*C18)/C19</f>
        <v>10766222.222222222</v>
      </c>
      <c r="I15" s="18">
        <v>0</v>
      </c>
      <c r="J15" s="17">
        <f>-G15</f>
        <v>-1794370.3703703703</v>
      </c>
      <c r="K15" s="19">
        <f>H18</f>
        <v>5383111.111111111</v>
      </c>
      <c r="M15" s="16">
        <v>0</v>
      </c>
      <c r="N15" s="18">
        <v>0</v>
      </c>
      <c r="O15" s="18">
        <v>1</v>
      </c>
      <c r="P15" s="18">
        <v>0</v>
      </c>
      <c r="Q15" s="18">
        <v>0</v>
      </c>
      <c r="R15" s="21">
        <v>0</v>
      </c>
      <c r="T15" s="16">
        <v>0</v>
      </c>
      <c r="U15" s="18">
        <v>1794370.3703703703</v>
      </c>
      <c r="V15" s="18">
        <v>10766222.222222222</v>
      </c>
      <c r="W15" s="18">
        <v>0</v>
      </c>
      <c r="X15" s="18">
        <v>-1794370.3703703703</v>
      </c>
      <c r="Y15" s="21">
        <v>5383111.111111111</v>
      </c>
      <c r="AA15" s="7"/>
      <c r="AI15" s="8"/>
      <c r="AK15" s="28">
        <v>-28174.513764748077</v>
      </c>
      <c r="AL15" s="31">
        <f>-(-40000*9)/2</f>
        <v>180000</v>
      </c>
      <c r="AM15" s="28">
        <v>151825.48623525191</v>
      </c>
      <c r="AN15" s="28">
        <f>AM15</f>
        <v>151825.48623525191</v>
      </c>
      <c r="AO15" t="s">
        <v>33</v>
      </c>
    </row>
    <row r="16" spans="1:41" x14ac:dyDescent="0.3">
      <c r="A16" s="36"/>
      <c r="B16" t="s">
        <v>3</v>
      </c>
      <c r="C16" s="2">
        <v>200000000000</v>
      </c>
      <c r="D16" t="s">
        <v>8</v>
      </c>
      <c r="F16" s="20">
        <f>-F13</f>
        <v>-126888888.8888889</v>
      </c>
      <c r="G16" s="18">
        <v>0</v>
      </c>
      <c r="H16" s="18">
        <v>0</v>
      </c>
      <c r="I16" s="17">
        <f>F13</f>
        <v>126888888.8888889</v>
      </c>
      <c r="J16" s="18">
        <v>0</v>
      </c>
      <c r="K16" s="21">
        <v>0</v>
      </c>
      <c r="M16" s="16">
        <v>0</v>
      </c>
      <c r="N16" s="18">
        <v>0</v>
      </c>
      <c r="O16" s="18">
        <v>0</v>
      </c>
      <c r="P16" s="18">
        <f>M13</f>
        <v>1</v>
      </c>
      <c r="Q16" s="18">
        <f>N13</f>
        <v>0</v>
      </c>
      <c r="R16" s="21">
        <v>0</v>
      </c>
      <c r="T16" s="16">
        <v>-126888888.8888889</v>
      </c>
      <c r="U16" s="18">
        <v>0</v>
      </c>
      <c r="V16" s="18">
        <v>0</v>
      </c>
      <c r="W16" s="18">
        <v>126888888.8888889</v>
      </c>
      <c r="X16" s="18">
        <v>0</v>
      </c>
      <c r="Y16" s="21">
        <v>0</v>
      </c>
      <c r="AA16" s="7"/>
      <c r="AD16">
        <f t="shared" ref="AD16:AI21" si="2">T13</f>
        <v>126888888.8888889</v>
      </c>
      <c r="AE16">
        <f t="shared" si="2"/>
        <v>0</v>
      </c>
      <c r="AF16">
        <f t="shared" si="2"/>
        <v>0</v>
      </c>
      <c r="AG16">
        <f t="shared" si="2"/>
        <v>-126888888.8888889</v>
      </c>
      <c r="AH16">
        <f t="shared" si="2"/>
        <v>0</v>
      </c>
      <c r="AI16" s="8">
        <f t="shared" si="2"/>
        <v>0</v>
      </c>
      <c r="AK16" s="28">
        <v>-168648.79142771711</v>
      </c>
      <c r="AL16" s="32">
        <f>-(-40000*9^2)/12</f>
        <v>270000</v>
      </c>
      <c r="AM16" s="28">
        <v>101351.20857228289</v>
      </c>
      <c r="AN16" s="28">
        <f>-AM16</f>
        <v>-101351.20857228289</v>
      </c>
      <c r="AO16" t="s">
        <v>34</v>
      </c>
    </row>
    <row r="17" spans="1:41" x14ac:dyDescent="0.3">
      <c r="A17" s="36"/>
      <c r="B17" t="s">
        <v>4</v>
      </c>
      <c r="C17" s="2">
        <v>5.7099999999999998E-3</v>
      </c>
      <c r="D17" t="s">
        <v>9</v>
      </c>
      <c r="F17" s="16">
        <v>0</v>
      </c>
      <c r="G17" s="17">
        <f>-G14</f>
        <v>-398748.97119341564</v>
      </c>
      <c r="H17" s="17">
        <f>-G15</f>
        <v>-1794370.3703703703</v>
      </c>
      <c r="I17" s="18">
        <v>0</v>
      </c>
      <c r="J17" s="17">
        <f>G14</f>
        <v>398748.97119341564</v>
      </c>
      <c r="K17" s="19">
        <f>H17</f>
        <v>-1794370.3703703703</v>
      </c>
      <c r="M17" s="16">
        <v>0</v>
      </c>
      <c r="N17" s="18">
        <v>0</v>
      </c>
      <c r="O17" s="18">
        <v>0</v>
      </c>
      <c r="P17" s="18">
        <f>M14</f>
        <v>0</v>
      </c>
      <c r="Q17" s="18">
        <f>N14</f>
        <v>1</v>
      </c>
      <c r="R17" s="21">
        <v>0</v>
      </c>
      <c r="T17" s="16">
        <v>0</v>
      </c>
      <c r="U17" s="18">
        <v>-398748.97119341564</v>
      </c>
      <c r="V17" s="18">
        <v>-1794370.3703703703</v>
      </c>
      <c r="W17" s="18">
        <v>0</v>
      </c>
      <c r="X17" s="18">
        <v>398748.97119341564</v>
      </c>
      <c r="Y17" s="21">
        <v>-1794370.3703703703</v>
      </c>
      <c r="AA17" s="7"/>
      <c r="AD17">
        <f t="shared" si="2"/>
        <v>0</v>
      </c>
      <c r="AE17">
        <f t="shared" si="2"/>
        <v>398748.97119341564</v>
      </c>
      <c r="AF17">
        <f t="shared" si="2"/>
        <v>1794370.3703703703</v>
      </c>
      <c r="AG17">
        <f t="shared" si="2"/>
        <v>0</v>
      </c>
      <c r="AH17">
        <f t="shared" si="2"/>
        <v>-398748.97119341564</v>
      </c>
      <c r="AI17" s="8">
        <f t="shared" si="2"/>
        <v>1794370.3703703703</v>
      </c>
      <c r="AK17" s="28">
        <v>-105223.70537042609</v>
      </c>
      <c r="AL17" s="31">
        <v>0</v>
      </c>
      <c r="AM17" s="28">
        <v>-105223.70537042609</v>
      </c>
      <c r="AN17" s="28">
        <f>AM17</f>
        <v>-105223.70537042609</v>
      </c>
      <c r="AO17" t="s">
        <v>33</v>
      </c>
    </row>
    <row r="18" spans="1:41" ht="16.8" thickBot="1" x14ac:dyDescent="0.35">
      <c r="A18" s="36"/>
      <c r="B18" t="s">
        <v>5</v>
      </c>
      <c r="C18" s="2">
        <v>1.2112000000000001E-4</v>
      </c>
      <c r="D18" s="3" t="s">
        <v>10</v>
      </c>
      <c r="F18" s="22">
        <v>0</v>
      </c>
      <c r="G18" s="23">
        <f>G15</f>
        <v>1794370.3703703703</v>
      </c>
      <c r="H18" s="23">
        <f>(2*C16*C18)/C19</f>
        <v>5383111.111111111</v>
      </c>
      <c r="I18" s="24">
        <v>0</v>
      </c>
      <c r="J18" s="23">
        <f>H17</f>
        <v>-1794370.3703703703</v>
      </c>
      <c r="K18" s="25">
        <f>H15</f>
        <v>10766222.222222222</v>
      </c>
      <c r="M18" s="22">
        <v>0</v>
      </c>
      <c r="N18" s="24">
        <v>0</v>
      </c>
      <c r="O18" s="24">
        <v>0</v>
      </c>
      <c r="P18" s="24">
        <v>0</v>
      </c>
      <c r="Q18" s="24">
        <v>0</v>
      </c>
      <c r="R18" s="27">
        <v>1</v>
      </c>
      <c r="T18" s="22">
        <v>0</v>
      </c>
      <c r="U18" s="24">
        <v>1794370.3703703703</v>
      </c>
      <c r="V18" s="24">
        <v>5383111.111111111</v>
      </c>
      <c r="W18" s="24">
        <v>0</v>
      </c>
      <c r="X18" s="24">
        <v>-1794370.3703703703</v>
      </c>
      <c r="Y18" s="27">
        <v>10766222.222222222</v>
      </c>
      <c r="AA18" s="7"/>
      <c r="AD18">
        <f t="shared" si="2"/>
        <v>0</v>
      </c>
      <c r="AE18">
        <f t="shared" si="2"/>
        <v>1794370.3703703703</v>
      </c>
      <c r="AF18">
        <f t="shared" si="2"/>
        <v>10766222.222222222</v>
      </c>
      <c r="AG18">
        <f t="shared" si="2"/>
        <v>0</v>
      </c>
      <c r="AH18">
        <f t="shared" si="2"/>
        <v>-1794370.3703703703</v>
      </c>
      <c r="AI18" s="8">
        <f t="shared" si="2"/>
        <v>5383111.111111111</v>
      </c>
      <c r="AK18" s="28">
        <v>28174.513764748077</v>
      </c>
      <c r="AL18" s="31">
        <v>180000</v>
      </c>
      <c r="AM18" s="28">
        <v>208174.51376474809</v>
      </c>
      <c r="AN18" s="28">
        <f>-AM18</f>
        <v>-208174.51376474809</v>
      </c>
      <c r="AO18" t="s">
        <v>33</v>
      </c>
    </row>
    <row r="19" spans="1:41" x14ac:dyDescent="0.3">
      <c r="A19" s="36"/>
      <c r="B19" t="s">
        <v>12</v>
      </c>
      <c r="C19">
        <f>SQRT((C15-C14)^2+(D15-D14)^2)</f>
        <v>9</v>
      </c>
      <c r="D19" t="s">
        <v>13</v>
      </c>
      <c r="AA19" s="7"/>
      <c r="AD19">
        <f t="shared" si="2"/>
        <v>-126888888.8888889</v>
      </c>
      <c r="AE19">
        <f t="shared" si="2"/>
        <v>0</v>
      </c>
      <c r="AF19">
        <f t="shared" si="2"/>
        <v>0</v>
      </c>
      <c r="AG19">
        <f t="shared" si="2"/>
        <v>126888888.8888889</v>
      </c>
      <c r="AH19">
        <f t="shared" si="2"/>
        <v>0</v>
      </c>
      <c r="AI19" s="8">
        <f t="shared" si="2"/>
        <v>0</v>
      </c>
      <c r="AK19" s="29">
        <v>-84921.832455015581</v>
      </c>
      <c r="AL19" s="34">
        <v>-270000</v>
      </c>
      <c r="AM19" s="29">
        <v>-354921.83245501557</v>
      </c>
      <c r="AN19" s="29">
        <f>AM19</f>
        <v>-354921.83245501557</v>
      </c>
      <c r="AO19" t="s">
        <v>34</v>
      </c>
    </row>
    <row r="20" spans="1:41" x14ac:dyDescent="0.3">
      <c r="AA20" s="7"/>
      <c r="AD20">
        <f t="shared" si="2"/>
        <v>0</v>
      </c>
      <c r="AE20">
        <f t="shared" si="2"/>
        <v>-398748.97119341564</v>
      </c>
      <c r="AF20">
        <f t="shared" si="2"/>
        <v>-1794370.3703703703</v>
      </c>
      <c r="AG20">
        <f t="shared" si="2"/>
        <v>0</v>
      </c>
      <c r="AH20">
        <f t="shared" si="2"/>
        <v>398748.97119341564</v>
      </c>
      <c r="AI20" s="8">
        <f t="shared" si="2"/>
        <v>-1794370.3703703703</v>
      </c>
    </row>
    <row r="21" spans="1:41" ht="15" thickBot="1" x14ac:dyDescent="0.35">
      <c r="A21" s="39" t="s">
        <v>23</v>
      </c>
      <c r="AA21" s="9"/>
      <c r="AB21" s="10"/>
      <c r="AC21" s="10"/>
      <c r="AD21" s="10">
        <f t="shared" si="2"/>
        <v>0</v>
      </c>
      <c r="AE21" s="10">
        <f t="shared" si="2"/>
        <v>1794370.3703703703</v>
      </c>
      <c r="AF21" s="10">
        <f t="shared" si="2"/>
        <v>5383111.111111111</v>
      </c>
      <c r="AG21" s="10">
        <f t="shared" si="2"/>
        <v>0</v>
      </c>
      <c r="AH21" s="10">
        <f t="shared" si="2"/>
        <v>-1794370.3703703703</v>
      </c>
      <c r="AI21" s="11">
        <f t="shared" si="2"/>
        <v>10766222.222222222</v>
      </c>
    </row>
    <row r="22" spans="1:41" x14ac:dyDescent="0.3">
      <c r="A22" s="39"/>
      <c r="C22" s="1"/>
      <c r="D22" s="1"/>
    </row>
    <row r="23" spans="1:41" ht="15" thickBot="1" x14ac:dyDescent="0.35">
      <c r="A23" s="39"/>
      <c r="C23" s="1"/>
      <c r="D23" s="1"/>
      <c r="AA23" s="38" t="s">
        <v>19</v>
      </c>
      <c r="AB23" s="38"/>
      <c r="AC23" s="38"/>
      <c r="AD23" s="38"/>
      <c r="AE23" s="38"/>
      <c r="AF23" s="38"/>
      <c r="AG23" s="38"/>
      <c r="AH23" s="38"/>
      <c r="AI23" s="38"/>
      <c r="AK23" s="30" t="s">
        <v>24</v>
      </c>
      <c r="AL23" t="s">
        <v>28</v>
      </c>
    </row>
    <row r="24" spans="1:41" x14ac:dyDescent="0.3">
      <c r="A24" s="39"/>
      <c r="C24" s="2"/>
      <c r="AA24" s="4">
        <f>SUM(AA2,AA13)</f>
        <v>550355.5555555555</v>
      </c>
      <c r="AB24" s="5">
        <f t="shared" ref="AB24:AI24" si="3">SUM(AB2,AB13)</f>
        <v>0</v>
      </c>
      <c r="AC24" s="5">
        <f t="shared" si="3"/>
        <v>-1651066.6666666667</v>
      </c>
      <c r="AD24" s="5">
        <f t="shared" si="3"/>
        <v>-550355.5555555555</v>
      </c>
      <c r="AE24" s="5">
        <f t="shared" si="3"/>
        <v>0</v>
      </c>
      <c r="AF24" s="5">
        <f t="shared" si="3"/>
        <v>-1651066.6666666667</v>
      </c>
      <c r="AG24" s="5">
        <f t="shared" si="3"/>
        <v>0</v>
      </c>
      <c r="AH24" s="5">
        <f t="shared" si="3"/>
        <v>0</v>
      </c>
      <c r="AI24" s="6">
        <f t="shared" si="3"/>
        <v>0</v>
      </c>
      <c r="AK24" s="31">
        <f t="array" ref="AK24:AK32">MMULT(AA24:AI32,AO35:AO43)-AM35:AM43</f>
        <v>25223.705370426062</v>
      </c>
      <c r="AL24" t="s">
        <v>33</v>
      </c>
    </row>
    <row r="25" spans="1:41" x14ac:dyDescent="0.3">
      <c r="A25" s="39"/>
      <c r="C25" s="2"/>
      <c r="AA25" s="7">
        <f t="shared" ref="AA25:AI32" si="4">SUM(AA3,AA14)</f>
        <v>0</v>
      </c>
      <c r="AB25">
        <f t="shared" si="4"/>
        <v>228000000</v>
      </c>
      <c r="AC25">
        <f t="shared" si="4"/>
        <v>0</v>
      </c>
      <c r="AD25">
        <f t="shared" si="4"/>
        <v>0</v>
      </c>
      <c r="AE25">
        <f t="shared" si="4"/>
        <v>-228000000</v>
      </c>
      <c r="AF25">
        <f t="shared" si="4"/>
        <v>0</v>
      </c>
      <c r="AG25">
        <f t="shared" si="4"/>
        <v>0</v>
      </c>
      <c r="AH25">
        <f t="shared" si="4"/>
        <v>0</v>
      </c>
      <c r="AI25" s="8">
        <f t="shared" si="4"/>
        <v>0</v>
      </c>
      <c r="AK25" s="31">
        <v>151825.48623525191</v>
      </c>
      <c r="AL25" t="s">
        <v>33</v>
      </c>
    </row>
    <row r="26" spans="1:41" x14ac:dyDescent="0.3">
      <c r="A26" s="39"/>
      <c r="C26" s="2"/>
      <c r="D26" s="3"/>
      <c r="AA26" s="7">
        <f t="shared" si="4"/>
        <v>-1651066.6666666667</v>
      </c>
      <c r="AB26">
        <f t="shared" si="4"/>
        <v>0</v>
      </c>
      <c r="AC26">
        <f t="shared" si="4"/>
        <v>6604266.666666667</v>
      </c>
      <c r="AD26">
        <f t="shared" si="4"/>
        <v>1651066.6666666667</v>
      </c>
      <c r="AE26">
        <f t="shared" si="4"/>
        <v>0</v>
      </c>
      <c r="AF26">
        <f t="shared" si="4"/>
        <v>3302133.3333333335</v>
      </c>
      <c r="AG26">
        <f t="shared" si="4"/>
        <v>0</v>
      </c>
      <c r="AH26">
        <f t="shared" si="4"/>
        <v>0</v>
      </c>
      <c r="AI26" s="8">
        <f t="shared" si="4"/>
        <v>0</v>
      </c>
      <c r="AK26" s="31">
        <v>-49991.023650273492</v>
      </c>
      <c r="AL26" t="s">
        <v>34</v>
      </c>
    </row>
    <row r="27" spans="1:41" x14ac:dyDescent="0.3">
      <c r="A27" s="39"/>
      <c r="AA27" s="7">
        <f t="shared" si="4"/>
        <v>-550355.5555555555</v>
      </c>
      <c r="AB27">
        <f t="shared" si="4"/>
        <v>0</v>
      </c>
      <c r="AC27">
        <f t="shared" si="4"/>
        <v>1651066.6666666667</v>
      </c>
      <c r="AD27">
        <f t="shared" si="4"/>
        <v>127439244.44444445</v>
      </c>
      <c r="AE27">
        <f t="shared" si="4"/>
        <v>0</v>
      </c>
      <c r="AF27">
        <f t="shared" si="4"/>
        <v>1651066.6666666667</v>
      </c>
      <c r="AG27">
        <f t="shared" si="4"/>
        <v>-126888888.8888889</v>
      </c>
      <c r="AH27">
        <f t="shared" si="4"/>
        <v>0</v>
      </c>
      <c r="AI27" s="8">
        <f t="shared" si="4"/>
        <v>0</v>
      </c>
      <c r="AK27" s="31">
        <v>0</v>
      </c>
      <c r="AL27" t="s">
        <v>33</v>
      </c>
    </row>
    <row r="28" spans="1:41" x14ac:dyDescent="0.3">
      <c r="A28" s="39"/>
      <c r="AA28" s="7">
        <f t="shared" si="4"/>
        <v>0</v>
      </c>
      <c r="AB28">
        <f t="shared" si="4"/>
        <v>-228000000</v>
      </c>
      <c r="AC28">
        <f t="shared" si="4"/>
        <v>0</v>
      </c>
      <c r="AD28">
        <f t="shared" si="4"/>
        <v>0</v>
      </c>
      <c r="AE28">
        <f t="shared" si="4"/>
        <v>228398748.9711934</v>
      </c>
      <c r="AF28">
        <f t="shared" si="4"/>
        <v>1794370.3703703703</v>
      </c>
      <c r="AG28">
        <f t="shared" si="4"/>
        <v>0</v>
      </c>
      <c r="AH28">
        <f t="shared" si="4"/>
        <v>-398748.97119341564</v>
      </c>
      <c r="AI28" s="8">
        <f t="shared" si="4"/>
        <v>1794370.3703703703</v>
      </c>
      <c r="AK28" s="31">
        <v>0</v>
      </c>
      <c r="AL28" t="s">
        <v>33</v>
      </c>
    </row>
    <row r="29" spans="1:41" x14ac:dyDescent="0.3">
      <c r="AA29" s="7">
        <f t="shared" si="4"/>
        <v>-1651066.6666666667</v>
      </c>
      <c r="AB29">
        <f t="shared" si="4"/>
        <v>0</v>
      </c>
      <c r="AC29">
        <f t="shared" si="4"/>
        <v>3302133.3333333335</v>
      </c>
      <c r="AD29">
        <f t="shared" si="4"/>
        <v>1651066.6666666667</v>
      </c>
      <c r="AE29">
        <f t="shared" si="4"/>
        <v>1794370.3703703703</v>
      </c>
      <c r="AF29">
        <f t="shared" si="4"/>
        <v>17370488.888888888</v>
      </c>
      <c r="AG29">
        <f t="shared" si="4"/>
        <v>0</v>
      </c>
      <c r="AH29">
        <f t="shared" si="4"/>
        <v>-1794370.3703703703</v>
      </c>
      <c r="AI29" s="8">
        <f t="shared" si="4"/>
        <v>5383111.111111111</v>
      </c>
      <c r="AK29" s="31">
        <v>0</v>
      </c>
      <c r="AL29" t="s">
        <v>34</v>
      </c>
    </row>
    <row r="30" spans="1:41" x14ac:dyDescent="0.3">
      <c r="AA30" s="7">
        <f t="shared" si="4"/>
        <v>0</v>
      </c>
      <c r="AB30">
        <f t="shared" si="4"/>
        <v>0</v>
      </c>
      <c r="AC30">
        <f t="shared" si="4"/>
        <v>0</v>
      </c>
      <c r="AD30">
        <f t="shared" si="4"/>
        <v>-126888888.8888889</v>
      </c>
      <c r="AE30">
        <f t="shared" si="4"/>
        <v>0</v>
      </c>
      <c r="AF30">
        <f t="shared" si="4"/>
        <v>0</v>
      </c>
      <c r="AG30">
        <f t="shared" si="4"/>
        <v>126888888.8888889</v>
      </c>
      <c r="AH30">
        <f t="shared" si="4"/>
        <v>0</v>
      </c>
      <c r="AI30" s="8">
        <f t="shared" si="4"/>
        <v>0</v>
      </c>
      <c r="AK30" s="31">
        <v>-105223.70537042609</v>
      </c>
      <c r="AL30" t="s">
        <v>33</v>
      </c>
      <c r="AO30" s="40"/>
    </row>
    <row r="31" spans="1:41" x14ac:dyDescent="0.3">
      <c r="AA31" s="7">
        <f t="shared" si="4"/>
        <v>0</v>
      </c>
      <c r="AB31">
        <f t="shared" si="4"/>
        <v>0</v>
      </c>
      <c r="AC31">
        <f t="shared" si="4"/>
        <v>0</v>
      </c>
      <c r="AD31">
        <f t="shared" si="4"/>
        <v>0</v>
      </c>
      <c r="AE31">
        <f t="shared" si="4"/>
        <v>-398748.97119341564</v>
      </c>
      <c r="AF31">
        <f t="shared" si="4"/>
        <v>-1794370.3703703703</v>
      </c>
      <c r="AG31">
        <f t="shared" si="4"/>
        <v>0</v>
      </c>
      <c r="AH31">
        <f t="shared" si="4"/>
        <v>398748.97119341564</v>
      </c>
      <c r="AI31" s="8">
        <f t="shared" si="4"/>
        <v>-1794370.3703703703</v>
      </c>
      <c r="AK31" s="31">
        <v>208174.51376474809</v>
      </c>
      <c r="AL31" t="s">
        <v>33</v>
      </c>
    </row>
    <row r="32" spans="1:41" ht="15" thickBot="1" x14ac:dyDescent="0.35">
      <c r="AA32" s="9">
        <f t="shared" si="4"/>
        <v>0</v>
      </c>
      <c r="AB32" s="10">
        <f t="shared" si="4"/>
        <v>0</v>
      </c>
      <c r="AC32" s="10">
        <f t="shared" si="4"/>
        <v>0</v>
      </c>
      <c r="AD32" s="10">
        <f t="shared" si="4"/>
        <v>0</v>
      </c>
      <c r="AE32" s="10">
        <f t="shared" si="4"/>
        <v>1794370.3703703703</v>
      </c>
      <c r="AF32" s="10">
        <f t="shared" si="4"/>
        <v>5383111.111111111</v>
      </c>
      <c r="AG32" s="10">
        <f t="shared" si="4"/>
        <v>0</v>
      </c>
      <c r="AH32" s="10">
        <f t="shared" si="4"/>
        <v>-1794370.3703703703</v>
      </c>
      <c r="AI32" s="11">
        <f t="shared" si="4"/>
        <v>10766222.222222222</v>
      </c>
      <c r="AK32" s="33">
        <v>-354921.83245501557</v>
      </c>
      <c r="AL32" t="s">
        <v>34</v>
      </c>
    </row>
    <row r="34" spans="27:42" ht="15" thickBot="1" x14ac:dyDescent="0.35">
      <c r="AA34" s="38" t="s">
        <v>20</v>
      </c>
      <c r="AB34" s="38"/>
      <c r="AC34" s="38"/>
      <c r="AD34" s="38"/>
      <c r="AE34" s="38"/>
      <c r="AF34" s="38"/>
      <c r="AG34" s="38"/>
      <c r="AH34" s="38"/>
      <c r="AI34" s="38"/>
      <c r="AK34" s="35" t="s">
        <v>25</v>
      </c>
      <c r="AL34" s="35" t="s">
        <v>26</v>
      </c>
      <c r="AM34" s="35" t="s">
        <v>27</v>
      </c>
      <c r="AN34" s="30" t="s">
        <v>21</v>
      </c>
      <c r="AO34" s="30" t="s">
        <v>22</v>
      </c>
    </row>
    <row r="35" spans="27:42" x14ac:dyDescent="0.3">
      <c r="AA35" s="4">
        <f>10^23</f>
        <v>9.9999999999999992E+22</v>
      </c>
      <c r="AB35" s="5">
        <v>0</v>
      </c>
      <c r="AC35" s="5">
        <v>-1651066.6666666667</v>
      </c>
      <c r="AD35" s="5">
        <v>-550355.5555555555</v>
      </c>
      <c r="AE35" s="5">
        <v>0</v>
      </c>
      <c r="AF35" s="5">
        <v>-1651066.6666666667</v>
      </c>
      <c r="AG35" s="5">
        <v>0</v>
      </c>
      <c r="AH35" s="5">
        <v>0</v>
      </c>
      <c r="AI35" s="6">
        <v>0</v>
      </c>
      <c r="AK35" s="31">
        <v>0</v>
      </c>
      <c r="AL35" s="31">
        <v>0</v>
      </c>
      <c r="AM35" s="31">
        <f t="array" ref="AM35:AM43">AK35:AK43-AL35:AL43</f>
        <v>0</v>
      </c>
      <c r="AN35" s="31">
        <v>0</v>
      </c>
      <c r="AO35" s="32">
        <f t="array" ref="AO35:AO43">MMULT(MINVERSE(AA35:AI43),AN35:AN43)</f>
        <v>-2.5223705370426071E-19</v>
      </c>
    </row>
    <row r="36" spans="27:42" x14ac:dyDescent="0.3">
      <c r="AA36" s="7">
        <v>0</v>
      </c>
      <c r="AB36">
        <f>10^23</f>
        <v>9.9999999999999992E+22</v>
      </c>
      <c r="AC36">
        <v>0</v>
      </c>
      <c r="AD36">
        <v>0</v>
      </c>
      <c r="AE36">
        <v>-228000000</v>
      </c>
      <c r="AF36">
        <v>0</v>
      </c>
      <c r="AG36">
        <v>0</v>
      </c>
      <c r="AH36">
        <v>0</v>
      </c>
      <c r="AI36" s="8">
        <v>0</v>
      </c>
      <c r="AK36" s="31">
        <v>0</v>
      </c>
      <c r="AL36" s="31">
        <v>0</v>
      </c>
      <c r="AM36" s="31">
        <v>0</v>
      </c>
      <c r="AN36" s="31">
        <v>0</v>
      </c>
      <c r="AO36" s="32">
        <v>-1.5182548623525227E-18</v>
      </c>
    </row>
    <row r="37" spans="27:42" x14ac:dyDescent="0.3">
      <c r="AA37" s="7">
        <v>-1651066.6666666667</v>
      </c>
      <c r="AB37">
        <v>0</v>
      </c>
      <c r="AC37">
        <f>10^23</f>
        <v>9.9999999999999992E+22</v>
      </c>
      <c r="AD37">
        <v>1651066.6666666667</v>
      </c>
      <c r="AE37">
        <v>0</v>
      </c>
      <c r="AF37">
        <v>3302133.3333333335</v>
      </c>
      <c r="AG37">
        <v>0</v>
      </c>
      <c r="AH37">
        <v>0</v>
      </c>
      <c r="AI37" s="8">
        <v>0</v>
      </c>
      <c r="AK37" s="31">
        <v>0</v>
      </c>
      <c r="AL37" s="31">
        <v>0</v>
      </c>
      <c r="AM37" s="31">
        <v>0</v>
      </c>
      <c r="AN37" s="31">
        <v>0</v>
      </c>
      <c r="AO37" s="32">
        <v>4.9991023650273516E-19</v>
      </c>
    </row>
    <row r="38" spans="27:42" x14ac:dyDescent="0.3">
      <c r="AA38" s="7">
        <v>-550355.5555555555</v>
      </c>
      <c r="AB38">
        <v>0</v>
      </c>
      <c r="AC38">
        <v>1651066.6666666667</v>
      </c>
      <c r="AD38">
        <v>127439244.44444445</v>
      </c>
      <c r="AE38">
        <v>0</v>
      </c>
      <c r="AF38">
        <v>1651066.6666666667</v>
      </c>
      <c r="AG38">
        <v>-126888888.8888889</v>
      </c>
      <c r="AH38">
        <v>0</v>
      </c>
      <c r="AI38" s="8">
        <v>0</v>
      </c>
      <c r="AK38" s="31">
        <v>80000</v>
      </c>
      <c r="AL38" s="31">
        <v>0</v>
      </c>
      <c r="AM38" s="31">
        <v>80000</v>
      </c>
      <c r="AN38" s="32">
        <v>80000</v>
      </c>
      <c r="AO38" s="32">
        <v>8.2925862375992634E-4</v>
      </c>
    </row>
    <row r="39" spans="27:42" x14ac:dyDescent="0.3">
      <c r="AA39" s="7">
        <v>0</v>
      </c>
      <c r="AB39">
        <v>-228000000</v>
      </c>
      <c r="AC39">
        <v>0</v>
      </c>
      <c r="AD39">
        <v>0</v>
      </c>
      <c r="AE39">
        <v>228398748.9711934</v>
      </c>
      <c r="AF39">
        <v>1794370.3703703703</v>
      </c>
      <c r="AG39">
        <v>0</v>
      </c>
      <c r="AH39">
        <v>-398748.97119341564</v>
      </c>
      <c r="AI39" s="8">
        <v>1794370.3703703703</v>
      </c>
      <c r="AK39" s="31">
        <v>0</v>
      </c>
      <c r="AL39" s="31">
        <f>-(-40000*9)/2</f>
        <v>180000</v>
      </c>
      <c r="AM39" s="31">
        <v>-180000</v>
      </c>
      <c r="AN39" s="31">
        <v>-180000</v>
      </c>
      <c r="AO39" s="32">
        <v>-6.6590125541777308E-4</v>
      </c>
    </row>
    <row r="40" spans="27:42" x14ac:dyDescent="0.3">
      <c r="AA40" s="7">
        <v>-1651066.6666666667</v>
      </c>
      <c r="AB40">
        <v>0</v>
      </c>
      <c r="AC40">
        <v>3302133.3333333335</v>
      </c>
      <c r="AD40">
        <v>1651066.6666666667</v>
      </c>
      <c r="AE40">
        <v>1794370.3703703703</v>
      </c>
      <c r="AF40">
        <v>17370488.888888888</v>
      </c>
      <c r="AG40">
        <v>0</v>
      </c>
      <c r="AH40">
        <v>-1794370.3703703703</v>
      </c>
      <c r="AI40" s="8">
        <v>5383111.111111111</v>
      </c>
      <c r="AK40" s="31">
        <v>0</v>
      </c>
      <c r="AL40" s="32">
        <f>-(-40000*9^2)/12</f>
        <v>270000</v>
      </c>
      <c r="AM40" s="32">
        <v>-270000</v>
      </c>
      <c r="AN40" s="32">
        <v>-270000</v>
      </c>
      <c r="AO40" s="32">
        <v>-1.5553637523825825E-2</v>
      </c>
    </row>
    <row r="41" spans="27:42" x14ac:dyDescent="0.3">
      <c r="AA41" s="7">
        <v>0</v>
      </c>
      <c r="AB41">
        <v>0</v>
      </c>
      <c r="AC41">
        <v>0</v>
      </c>
      <c r="AD41">
        <v>-126888888.8888889</v>
      </c>
      <c r="AE41">
        <v>0</v>
      </c>
      <c r="AF41">
        <v>0</v>
      </c>
      <c r="AG41">
        <f>10^23</f>
        <v>9.9999999999999992E+22</v>
      </c>
      <c r="AH41">
        <v>0</v>
      </c>
      <c r="AI41" s="8">
        <v>0</v>
      </c>
      <c r="AK41" s="31">
        <v>0</v>
      </c>
      <c r="AL41" s="31">
        <v>0</v>
      </c>
      <c r="AM41" s="31">
        <v>0</v>
      </c>
      <c r="AN41" s="31">
        <v>0</v>
      </c>
      <c r="AO41" s="32">
        <v>1.0522370537042621E-18</v>
      </c>
    </row>
    <row r="42" spans="27:42" x14ac:dyDescent="0.3">
      <c r="AA42" s="7">
        <v>0</v>
      </c>
      <c r="AB42">
        <v>0</v>
      </c>
      <c r="AC42">
        <v>0</v>
      </c>
      <c r="AD42">
        <v>0</v>
      </c>
      <c r="AE42">
        <v>-398748.97119341564</v>
      </c>
      <c r="AF42">
        <v>-1794370.3703703703</v>
      </c>
      <c r="AG42">
        <v>0</v>
      </c>
      <c r="AH42">
        <f>10^23</f>
        <v>9.9999999999999992E+22</v>
      </c>
      <c r="AI42" s="8">
        <v>-1794370.3703703703</v>
      </c>
      <c r="AK42" s="31">
        <v>0</v>
      </c>
      <c r="AL42" s="31">
        <v>180000</v>
      </c>
      <c r="AM42" s="31">
        <v>-180000</v>
      </c>
      <c r="AN42" s="31">
        <v>0</v>
      </c>
      <c r="AO42" s="32">
        <v>-2.8174513764748082E-19</v>
      </c>
    </row>
    <row r="43" spans="27:42" ht="15" thickBot="1" x14ac:dyDescent="0.35">
      <c r="AA43" s="9">
        <v>0</v>
      </c>
      <c r="AB43" s="10">
        <v>0</v>
      </c>
      <c r="AC43" s="10">
        <v>0</v>
      </c>
      <c r="AD43" s="10">
        <v>0</v>
      </c>
      <c r="AE43" s="10">
        <v>1794370.3703703703</v>
      </c>
      <c r="AF43" s="10">
        <v>5383111.111111111</v>
      </c>
      <c r="AG43" s="10">
        <v>0</v>
      </c>
      <c r="AH43" s="10">
        <v>-1794370.3703703703</v>
      </c>
      <c r="AI43" s="11">
        <f>10^23</f>
        <v>9.9999999999999992E+22</v>
      </c>
      <c r="AK43" s="33">
        <v>0</v>
      </c>
      <c r="AL43" s="34">
        <v>-270000</v>
      </c>
      <c r="AM43" s="33">
        <v>270000</v>
      </c>
      <c r="AN43" s="33">
        <v>0</v>
      </c>
      <c r="AO43" s="34">
        <v>8.4921832455015587E-19</v>
      </c>
    </row>
    <row r="46" spans="27:42" ht="15" thickBot="1" x14ac:dyDescent="0.35">
      <c r="AA46" s="38" t="s">
        <v>20</v>
      </c>
      <c r="AB46" s="38"/>
      <c r="AC46" s="38"/>
      <c r="AD46" s="38"/>
      <c r="AE46" s="38"/>
      <c r="AF46" s="38"/>
      <c r="AG46" s="38"/>
      <c r="AH46" s="38"/>
      <c r="AI46" s="38"/>
      <c r="AK46" s="35" t="s">
        <v>25</v>
      </c>
      <c r="AL46" s="35" t="s">
        <v>26</v>
      </c>
      <c r="AM46" s="35" t="s">
        <v>27</v>
      </c>
      <c r="AN46" s="30" t="s">
        <v>21</v>
      </c>
      <c r="AO46" s="30" t="s">
        <v>22</v>
      </c>
    </row>
    <row r="47" spans="27:42" x14ac:dyDescent="0.3">
      <c r="AA47" s="4">
        <v>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6">
        <v>0</v>
      </c>
      <c r="AK47" s="31">
        <v>0</v>
      </c>
      <c r="AL47" s="31">
        <v>0</v>
      </c>
      <c r="AM47" s="31">
        <f t="array" ref="AM47:AM55">AK47:AK55-AL47:AL55</f>
        <v>0</v>
      </c>
      <c r="AN47" s="31">
        <v>0</v>
      </c>
      <c r="AO47" s="32">
        <f t="array" ref="AO47:AO55">MMULT(MINVERSE(AA47:AI55),AN47:AN55)</f>
        <v>0</v>
      </c>
    </row>
    <row r="48" spans="27:42" x14ac:dyDescent="0.3">
      <c r="AA48" s="7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8">
        <v>0</v>
      </c>
      <c r="AK48" s="31">
        <v>0</v>
      </c>
      <c r="AL48" s="31">
        <v>0</v>
      </c>
      <c r="AM48" s="31">
        <v>0</v>
      </c>
      <c r="AN48" s="31">
        <v>0</v>
      </c>
      <c r="AO48" s="32">
        <v>0</v>
      </c>
      <c r="AP48" s="41"/>
    </row>
    <row r="49" spans="27:41" x14ac:dyDescent="0.3">
      <c r="AA49" s="7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 s="8">
        <v>0</v>
      </c>
      <c r="AK49" s="31">
        <v>0</v>
      </c>
      <c r="AL49" s="31">
        <v>0</v>
      </c>
      <c r="AM49" s="31">
        <v>0</v>
      </c>
      <c r="AN49" s="31">
        <v>0</v>
      </c>
      <c r="AO49" s="32">
        <v>0</v>
      </c>
    </row>
    <row r="50" spans="27:41" x14ac:dyDescent="0.3">
      <c r="AA50" s="7">
        <v>0</v>
      </c>
      <c r="AB50">
        <v>0</v>
      </c>
      <c r="AC50">
        <v>0</v>
      </c>
      <c r="AD50">
        <v>127439244.44444445</v>
      </c>
      <c r="AE50">
        <v>0</v>
      </c>
      <c r="AF50">
        <v>1651066.6666666667</v>
      </c>
      <c r="AG50">
        <v>0</v>
      </c>
      <c r="AH50">
        <v>0</v>
      </c>
      <c r="AI50" s="8">
        <v>0</v>
      </c>
      <c r="AK50" s="31">
        <v>80000</v>
      </c>
      <c r="AL50" s="31">
        <v>0</v>
      </c>
      <c r="AM50" s="31">
        <v>80000</v>
      </c>
      <c r="AN50" s="32">
        <v>80000</v>
      </c>
      <c r="AO50" s="32">
        <v>8.2925862375992526E-4</v>
      </c>
    </row>
    <row r="51" spans="27:41" x14ac:dyDescent="0.3">
      <c r="AA51" s="7">
        <v>0</v>
      </c>
      <c r="AB51">
        <v>0</v>
      </c>
      <c r="AC51">
        <v>0</v>
      </c>
      <c r="AD51">
        <v>0</v>
      </c>
      <c r="AE51">
        <v>228398748.9711934</v>
      </c>
      <c r="AF51">
        <v>1794370.3703703703</v>
      </c>
      <c r="AG51">
        <v>0</v>
      </c>
      <c r="AH51">
        <v>0</v>
      </c>
      <c r="AI51" s="8">
        <v>0</v>
      </c>
      <c r="AK51" s="31">
        <v>0</v>
      </c>
      <c r="AL51" s="31">
        <f>-(-40000*9)/2</f>
        <v>180000</v>
      </c>
      <c r="AM51" s="31">
        <v>-180000</v>
      </c>
      <c r="AN51" s="31">
        <v>-180000</v>
      </c>
      <c r="AO51" s="32">
        <v>-6.6590125541777156E-4</v>
      </c>
    </row>
    <row r="52" spans="27:41" x14ac:dyDescent="0.3">
      <c r="AA52" s="7">
        <v>0</v>
      </c>
      <c r="AB52">
        <v>0</v>
      </c>
      <c r="AC52">
        <v>0</v>
      </c>
      <c r="AD52">
        <v>1651066.6666666667</v>
      </c>
      <c r="AE52">
        <v>1794370.3703703703</v>
      </c>
      <c r="AF52">
        <v>17370488.888888888</v>
      </c>
      <c r="AG52">
        <v>0</v>
      </c>
      <c r="AH52">
        <v>0</v>
      </c>
      <c r="AI52" s="8">
        <v>0</v>
      </c>
      <c r="AK52" s="31">
        <v>0</v>
      </c>
      <c r="AL52" s="32">
        <f>-(-40000*9^2)/12</f>
        <v>270000</v>
      </c>
      <c r="AM52" s="32">
        <v>-270000</v>
      </c>
      <c r="AN52" s="32">
        <v>-270000</v>
      </c>
      <c r="AO52" s="32">
        <v>-1.5553637523825825E-2</v>
      </c>
    </row>
    <row r="53" spans="27:41" x14ac:dyDescent="0.3"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 s="8">
        <v>0</v>
      </c>
      <c r="AK53" s="31">
        <v>0</v>
      </c>
      <c r="AL53" s="31">
        <v>0</v>
      </c>
      <c r="AM53" s="31">
        <v>0</v>
      </c>
      <c r="AN53" s="31">
        <v>0</v>
      </c>
      <c r="AO53" s="32">
        <v>0</v>
      </c>
    </row>
    <row r="54" spans="27:41" x14ac:dyDescent="0.3">
      <c r="AA54" s="7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s="8">
        <v>0</v>
      </c>
      <c r="AK54" s="31">
        <v>0</v>
      </c>
      <c r="AL54" s="31">
        <v>180000</v>
      </c>
      <c r="AM54" s="31">
        <v>-180000</v>
      </c>
      <c r="AN54" s="31">
        <v>0</v>
      </c>
      <c r="AO54" s="32">
        <v>0</v>
      </c>
    </row>
    <row r="55" spans="27:41" ht="15" thickBot="1" x14ac:dyDescent="0.35">
      <c r="AA55" s="9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1">
        <v>1</v>
      </c>
      <c r="AK55" s="33">
        <v>0</v>
      </c>
      <c r="AL55" s="34">
        <v>-270000</v>
      </c>
      <c r="AM55" s="33">
        <v>270000</v>
      </c>
      <c r="AN55" s="33">
        <v>0</v>
      </c>
      <c r="AO55" s="34">
        <v>0</v>
      </c>
    </row>
  </sheetData>
  <mergeCells count="16">
    <mergeCell ref="AA46:AI46"/>
    <mergeCell ref="A13:A19"/>
    <mergeCell ref="AA12:AI12"/>
    <mergeCell ref="AA1:AI1"/>
    <mergeCell ref="AA23:AI23"/>
    <mergeCell ref="AA34:AI34"/>
    <mergeCell ref="F1:K1"/>
    <mergeCell ref="A2:A8"/>
    <mergeCell ref="B1:D1"/>
    <mergeCell ref="M1:R1"/>
    <mergeCell ref="T1:Y1"/>
    <mergeCell ref="B12:D12"/>
    <mergeCell ref="F12:K12"/>
    <mergeCell ref="M12:R12"/>
    <mergeCell ref="T12:Y12"/>
    <mergeCell ref="A21:A28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Lidalton Silvestre de Lima</dc:creator>
  <cp:lastModifiedBy>Lidalton Silvestre de Lima</cp:lastModifiedBy>
  <cp:lastPrinted>2023-11-25T22:10:20Z</cp:lastPrinted>
  <dcterms:created xsi:type="dcterms:W3CDTF">2023-11-25T17:16:56Z</dcterms:created>
  <dcterms:modified xsi:type="dcterms:W3CDTF">2025-03-16T23:54:42Z</dcterms:modified>
</cp:coreProperties>
</file>