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codeName="ThisWorkbook" defaultThemeVersion="124226"/>
  <bookViews>
    <workbookView xWindow="0" yWindow="0" windowWidth="20490" windowHeight="7755" activeTab="1"/>
  </bookViews>
  <sheets>
    <sheet name="Activos" sheetId="2" r:id="rId1"/>
    <sheet name="Costos y Capital de Trabajo" sheetId="1" r:id="rId2"/>
    <sheet name="Calendario" sheetId="3" r:id="rId3"/>
    <sheet name="Flujo Caja" sheetId="4" r:id="rId4"/>
    <sheet name="tabla amortización" sheetId="6" r:id="rId5"/>
  </sheets>
  <calcPr calcId="124519"/>
</workbook>
</file>

<file path=xl/calcChain.xml><?xml version="1.0" encoding="utf-8"?>
<calcChain xmlns="http://schemas.openxmlformats.org/spreadsheetml/2006/main">
  <c r="D47" i="1"/>
  <c r="D42"/>
  <c r="C25" i="4"/>
  <c r="C12"/>
  <c r="C13"/>
  <c r="D16"/>
  <c r="E16"/>
  <c r="F16"/>
  <c r="G16"/>
  <c r="H16"/>
  <c r="I16"/>
  <c r="C16"/>
  <c r="D9"/>
  <c r="E9"/>
  <c r="F9"/>
  <c r="G9"/>
  <c r="H9"/>
  <c r="I9"/>
  <c r="C9"/>
  <c r="D8"/>
  <c r="E8"/>
  <c r="F8"/>
  <c r="G8"/>
  <c r="H8"/>
  <c r="I8"/>
  <c r="C8"/>
  <c r="D4"/>
  <c r="E4"/>
  <c r="F4"/>
  <c r="G4"/>
  <c r="H4"/>
  <c r="I4"/>
  <c r="C4"/>
  <c r="M42" i="3"/>
  <c r="M40"/>
  <c r="B40"/>
  <c r="C40"/>
  <c r="D40"/>
  <c r="E40"/>
  <c r="F40"/>
  <c r="B41"/>
  <c r="C41"/>
  <c r="D41"/>
  <c r="E41"/>
  <c r="F41"/>
  <c r="B42"/>
  <c r="C42"/>
  <c r="D42"/>
  <c r="E42"/>
  <c r="F42"/>
  <c r="A41"/>
  <c r="A42"/>
  <c r="A40"/>
  <c r="M39"/>
  <c r="I15"/>
  <c r="J15"/>
  <c r="K15"/>
  <c r="L15"/>
  <c r="M15"/>
  <c r="M32"/>
  <c r="M33"/>
  <c r="M31"/>
  <c r="H15"/>
  <c r="I13"/>
  <c r="J13"/>
  <c r="K13"/>
  <c r="L13"/>
  <c r="M13"/>
  <c r="H13"/>
  <c r="G5"/>
  <c r="G6"/>
  <c r="G4"/>
  <c r="B31"/>
  <c r="C31"/>
  <c r="D31"/>
  <c r="E31"/>
  <c r="F31"/>
  <c r="B32"/>
  <c r="C32"/>
  <c r="D32"/>
  <c r="E32"/>
  <c r="F32"/>
  <c r="B33"/>
  <c r="C33"/>
  <c r="D33"/>
  <c r="E33"/>
  <c r="F33"/>
  <c r="A32"/>
  <c r="A33"/>
  <c r="B22"/>
  <c r="C22"/>
  <c r="D22"/>
  <c r="E22"/>
  <c r="F22"/>
  <c r="B23"/>
  <c r="C23"/>
  <c r="D23"/>
  <c r="E23"/>
  <c r="F23"/>
  <c r="B24"/>
  <c r="C24"/>
  <c r="D24"/>
  <c r="E24"/>
  <c r="F24"/>
  <c r="A23"/>
  <c r="A24"/>
  <c r="B13"/>
  <c r="C13"/>
  <c r="D13"/>
  <c r="E13"/>
  <c r="F13"/>
  <c r="B14"/>
  <c r="C14"/>
  <c r="D14"/>
  <c r="E14"/>
  <c r="F14"/>
  <c r="B15"/>
  <c r="C15"/>
  <c r="D15"/>
  <c r="E15"/>
  <c r="F15"/>
  <c r="A14"/>
  <c r="A15"/>
  <c r="A31"/>
  <c r="A22"/>
  <c r="A13"/>
  <c r="D4"/>
  <c r="E4"/>
  <c r="F4"/>
  <c r="D5"/>
  <c r="E5"/>
  <c r="F5"/>
  <c r="D6"/>
  <c r="E6"/>
  <c r="F6"/>
  <c r="C5"/>
  <c r="C6"/>
  <c r="C4"/>
  <c r="A5"/>
  <c r="A6"/>
  <c r="A4"/>
  <c r="H30" i="1"/>
  <c r="I30"/>
  <c r="J30" s="1"/>
  <c r="G30"/>
  <c r="M43" i="3" l="1"/>
  <c r="I22" i="4" s="1"/>
  <c r="L43" i="3"/>
  <c r="K43"/>
  <c r="J43"/>
  <c r="H43"/>
  <c r="G43"/>
  <c r="I43"/>
  <c r="G48" i="1"/>
  <c r="I48"/>
  <c r="C55"/>
  <c r="F31"/>
  <c r="D48" s="1"/>
  <c r="C57" s="1"/>
  <c r="G31"/>
  <c r="E48" s="1"/>
  <c r="H31"/>
  <c r="F48" s="1"/>
  <c r="I31"/>
  <c r="J31"/>
  <c r="H48" s="1"/>
  <c r="K31"/>
  <c r="E31"/>
  <c r="G29"/>
  <c r="H29" s="1"/>
  <c r="I29" s="1"/>
  <c r="J29" s="1"/>
  <c r="K29" s="1"/>
  <c r="F29"/>
  <c r="E29"/>
  <c r="C54"/>
  <c r="H28"/>
  <c r="I28" s="1"/>
  <c r="J28" s="1"/>
  <c r="K28" s="1"/>
  <c r="G28"/>
  <c r="F28"/>
  <c r="E28"/>
  <c r="E27"/>
  <c r="G26"/>
  <c r="H26"/>
  <c r="I26"/>
  <c r="J26"/>
  <c r="K26"/>
  <c r="F26"/>
  <c r="D26"/>
  <c r="G25"/>
  <c r="H25"/>
  <c r="I25" s="1"/>
  <c r="J25" s="1"/>
  <c r="K25" s="1"/>
  <c r="F25"/>
  <c r="C53"/>
  <c r="C56"/>
  <c r="E25"/>
  <c r="H24" l="1"/>
  <c r="I24" s="1"/>
  <c r="J24" s="1"/>
  <c r="K24" s="1"/>
  <c r="G24"/>
  <c r="F24"/>
  <c r="E24"/>
  <c r="E23"/>
  <c r="F22"/>
  <c r="G22"/>
  <c r="H22"/>
  <c r="I22"/>
  <c r="J22"/>
  <c r="K22"/>
  <c r="E22"/>
  <c r="C58"/>
  <c r="C21" i="4" s="1"/>
  <c r="C52" i="1"/>
  <c r="H21"/>
  <c r="I21"/>
  <c r="J21" s="1"/>
  <c r="K21" s="1"/>
  <c r="G21"/>
  <c r="F21"/>
  <c r="E21"/>
  <c r="E20"/>
  <c r="H8"/>
  <c r="I8"/>
  <c r="J8" s="1"/>
  <c r="K8" s="1"/>
  <c r="G8"/>
  <c r="F8"/>
  <c r="D10"/>
  <c r="H10" s="1"/>
  <c r="D11"/>
  <c r="G11" s="1"/>
  <c r="G9"/>
  <c r="H9" s="1"/>
  <c r="I9" s="1"/>
  <c r="J9" s="1"/>
  <c r="K9" s="1"/>
  <c r="D36"/>
  <c r="D35"/>
  <c r="D4"/>
  <c r="E36" s="1"/>
  <c r="E40" s="1"/>
  <c r="D3"/>
  <c r="E35" s="1"/>
  <c r="F37"/>
  <c r="G37" s="1"/>
  <c r="H37" s="1"/>
  <c r="H6" i="2"/>
  <c r="E6"/>
  <c r="F11" i="1" l="1"/>
  <c r="H11"/>
  <c r="J11"/>
  <c r="K10"/>
  <c r="I10"/>
  <c r="G10"/>
  <c r="F10"/>
  <c r="K11"/>
  <c r="I11"/>
  <c r="J10"/>
  <c r="E3"/>
  <c r="F35" s="1"/>
  <c r="F3"/>
  <c r="E4"/>
  <c r="F36" s="1"/>
  <c r="F40" s="1"/>
  <c r="C18" i="4"/>
  <c r="F4" i="1" l="1"/>
  <c r="G36" s="1"/>
  <c r="G40" s="1"/>
  <c r="G3"/>
  <c r="G35"/>
  <c r="H4"/>
  <c r="I36" s="1"/>
  <c r="I40" s="1"/>
  <c r="G4"/>
  <c r="H36" s="1"/>
  <c r="H40" s="1"/>
  <c r="C7" i="4"/>
  <c r="E11" i="6"/>
  <c r="E7"/>
  <c r="E6"/>
  <c r="D6"/>
  <c r="I10"/>
  <c r="H10"/>
  <c r="C7"/>
  <c r="C8"/>
  <c r="C9"/>
  <c r="C10"/>
  <c r="C11"/>
  <c r="C6"/>
  <c r="H35" i="1" l="1"/>
  <c r="H3"/>
  <c r="I35" s="1"/>
  <c r="A15" i="4"/>
  <c r="C31"/>
  <c r="I15"/>
  <c r="H15"/>
  <c r="G15"/>
  <c r="F15"/>
  <c r="C15"/>
  <c r="E15"/>
  <c r="D21"/>
  <c r="D34"/>
  <c r="O28"/>
  <c r="D15"/>
  <c r="I16" i="6"/>
  <c r="I15"/>
  <c r="E39" i="1"/>
  <c r="E47" s="1"/>
  <c r="E3" i="4" s="1"/>
  <c r="C6"/>
  <c r="E6"/>
  <c r="F6"/>
  <c r="D6"/>
  <c r="E16" i="1"/>
  <c r="C19" i="4" s="1"/>
  <c r="C14" l="1"/>
  <c r="E12"/>
  <c r="E13" s="1"/>
  <c r="E14" s="1"/>
  <c r="E25" s="1"/>
  <c r="E26" s="1"/>
  <c r="F5" i="6"/>
  <c r="F39" i="1"/>
  <c r="F47" s="1"/>
  <c r="F3" i="4" s="1"/>
  <c r="F12" s="1"/>
  <c r="F13" s="1"/>
  <c r="F14" s="1"/>
  <c r="F25" s="1"/>
  <c r="F26" s="1"/>
  <c r="H16" i="1"/>
  <c r="F42" s="1"/>
  <c r="F5" i="4" s="1"/>
  <c r="F16" i="1"/>
  <c r="D5" i="4" s="1"/>
  <c r="G16" i="1"/>
  <c r="E42" s="1"/>
  <c r="E5" i="4" s="1"/>
  <c r="G39" i="1"/>
  <c r="G47" s="1"/>
  <c r="G3" i="4" s="1"/>
  <c r="I39" i="1"/>
  <c r="I47" s="1"/>
  <c r="I3" i="4" s="1"/>
  <c r="D39" i="1"/>
  <c r="D3" i="4" s="1"/>
  <c r="D12" s="1"/>
  <c r="D13" s="1"/>
  <c r="D14" s="1"/>
  <c r="D25" s="1"/>
  <c r="H39" i="1" l="1"/>
  <c r="H47" s="1"/>
  <c r="H3" i="4" s="1"/>
  <c r="D26"/>
  <c r="C26"/>
  <c r="G6"/>
  <c r="I16" i="1"/>
  <c r="G42" s="1"/>
  <c r="G5" i="4" s="1"/>
  <c r="K16" i="1"/>
  <c r="I42" s="1"/>
  <c r="I5" i="4" s="1"/>
  <c r="L16" i="1"/>
  <c r="J16"/>
  <c r="H42" s="1"/>
  <c r="H5" i="4" s="1"/>
  <c r="G12" l="1"/>
  <c r="G13" s="1"/>
  <c r="G14" s="1"/>
  <c r="G25" s="1"/>
  <c r="G26" s="1"/>
  <c r="H6"/>
  <c r="H12" s="1"/>
  <c r="H13" s="1"/>
  <c r="H14" s="1"/>
  <c r="H25" s="1"/>
  <c r="H26" s="1"/>
  <c r="F6" i="6" l="1"/>
  <c r="C17" i="4"/>
  <c r="I6"/>
  <c r="L31" i="1"/>
  <c r="D7" i="6" l="1"/>
  <c r="D7" i="4"/>
  <c r="D17" l="1"/>
  <c r="F7" i="6"/>
  <c r="E8" s="1"/>
  <c r="D8" l="1"/>
  <c r="E7" i="4"/>
  <c r="E17" l="1"/>
  <c r="F8" i="6"/>
  <c r="E9" s="1"/>
  <c r="D9" l="1"/>
  <c r="F7" i="4"/>
  <c r="F17" l="1"/>
  <c r="F9" i="6"/>
  <c r="E10" s="1"/>
  <c r="D10" l="1"/>
  <c r="G7" i="4"/>
  <c r="G17" l="1"/>
  <c r="F10" i="6"/>
  <c r="D11" l="1"/>
  <c r="H7" i="4"/>
  <c r="F11" i="6" l="1"/>
  <c r="H17" i="4"/>
  <c r="I7" l="1"/>
  <c r="I12" s="1"/>
  <c r="I13" s="1"/>
  <c r="I14" s="1"/>
  <c r="I25" s="1"/>
  <c r="I17" l="1"/>
  <c r="C33" s="1"/>
  <c r="I26" l="1"/>
  <c r="C32" s="1"/>
  <c r="E32"/>
  <c r="T36" i="3" l="1"/>
  <c r="Q35"/>
  <c r="R35"/>
  <c r="Q26"/>
  <c r="R26"/>
  <c r="Q17"/>
  <c r="R17"/>
  <c r="Q8"/>
  <c r="R8"/>
  <c r="G8" l="1"/>
  <c r="T27"/>
  <c r="T18"/>
  <c r="T9"/>
  <c r="G17" l="1"/>
  <c r="H35"/>
  <c r="I35"/>
  <c r="J35"/>
  <c r="K35"/>
  <c r="L35"/>
  <c r="M35"/>
  <c r="N35"/>
  <c r="O35"/>
  <c r="P35"/>
  <c r="S35"/>
  <c r="G35"/>
  <c r="H26"/>
  <c r="I26"/>
  <c r="J26"/>
  <c r="K26"/>
  <c r="L26"/>
  <c r="M26"/>
  <c r="N26"/>
  <c r="O26"/>
  <c r="P26"/>
  <c r="S26"/>
  <c r="G26"/>
  <c r="H17"/>
  <c r="I17"/>
  <c r="J17"/>
  <c r="K17"/>
  <c r="L17"/>
  <c r="M17"/>
  <c r="N17"/>
  <c r="O17"/>
  <c r="P17"/>
  <c r="S17"/>
  <c r="H8"/>
  <c r="I8"/>
  <c r="J8"/>
  <c r="K8"/>
  <c r="L8"/>
  <c r="M8"/>
  <c r="N8"/>
  <c r="O8"/>
  <c r="P8"/>
  <c r="S8"/>
</calcChain>
</file>

<file path=xl/comments1.xml><?xml version="1.0" encoding="utf-8"?>
<comments xmlns="http://schemas.openxmlformats.org/spreadsheetml/2006/main">
  <authors>
    <author>Autor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Netamente del producto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Del arriendo de quipos, pagos, sueldos, bleh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B3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Van &gt; 0 : Inversion producirá ganancias por encima de la rentabilidad -&gt; El proyecto se acepta.
Van &lt; 0 : La inversión producirá pérdidad -&gt; El proyecto se rechaza.
Van = 0: Ni ganancias ni pérdidas -&gt; Se decide en base a otros factores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Van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Tir &gt; Trema : Proyecto será aceptado. 
Tir &lt; Trema: Proyecto rechazado.
Tir = Trema: No Decide</t>
        </r>
      </text>
    </comment>
  </commentList>
</comments>
</file>

<file path=xl/sharedStrings.xml><?xml version="1.0" encoding="utf-8"?>
<sst xmlns="http://schemas.openxmlformats.org/spreadsheetml/2006/main" count="199" uniqueCount="123">
  <si>
    <t>Unidad</t>
  </si>
  <si>
    <t>Año</t>
  </si>
  <si>
    <t>c/u</t>
  </si>
  <si>
    <t>Precio de venta</t>
  </si>
  <si>
    <t>$</t>
  </si>
  <si>
    <t>activo</t>
  </si>
  <si>
    <t>cantidad</t>
  </si>
  <si>
    <t>costo unitario</t>
  </si>
  <si>
    <t>valor de liquidación</t>
  </si>
  <si>
    <t>años</t>
  </si>
  <si>
    <t>Activo</t>
  </si>
  <si>
    <t>Valor Adquisición</t>
  </si>
  <si>
    <t xml:space="preserve">Vida útil depreciación </t>
  </si>
  <si>
    <t>Vida útil real (años)</t>
  </si>
  <si>
    <t>Valor de venta al término de vida útil real</t>
  </si>
  <si>
    <t>Inversiones por año</t>
  </si>
  <si>
    <t>numero</t>
  </si>
  <si>
    <t xml:space="preserve"> ($)</t>
  </si>
  <si>
    <t>(años)</t>
  </si>
  <si>
    <t>(% valor original)</t>
  </si>
  <si>
    <t>Depreciación por año</t>
  </si>
  <si>
    <t>Valor libro por año</t>
  </si>
  <si>
    <t>Venta de activos por año</t>
  </si>
  <si>
    <t>Utilidad</t>
  </si>
  <si>
    <t>Utilidad Neta</t>
  </si>
  <si>
    <t>Flujo de proyecto</t>
  </si>
  <si>
    <t xml:space="preserve">Impuesto </t>
  </si>
  <si>
    <t>Total</t>
  </si>
  <si>
    <t>vida contable</t>
  </si>
  <si>
    <t>vida real</t>
  </si>
  <si>
    <t>TASA IMP</t>
  </si>
  <si>
    <t>PUNTAJE</t>
  </si>
  <si>
    <t>VAN</t>
  </si>
  <si>
    <t>PUNTAJES</t>
  </si>
  <si>
    <t>TOTAL</t>
  </si>
  <si>
    <t>Puntaje Tabla</t>
  </si>
  <si>
    <t>En esta hoja realice lo necesario para construir la tabla de amortización</t>
  </si>
  <si>
    <t>total</t>
  </si>
  <si>
    <t>ACTIVIDAD TOTAL</t>
  </si>
  <si>
    <t>INGRESOS TOTALES</t>
  </si>
  <si>
    <t>Año de adquisición</t>
  </si>
  <si>
    <t>Periodo</t>
  </si>
  <si>
    <t>Cuota</t>
  </si>
  <si>
    <t>Amortización</t>
  </si>
  <si>
    <t>Interes</t>
  </si>
  <si>
    <t>Saldo</t>
  </si>
  <si>
    <t>Datos</t>
  </si>
  <si>
    <t>Ingreso total</t>
  </si>
  <si>
    <t>Para Calendarios</t>
  </si>
  <si>
    <t>Valores Básicos</t>
  </si>
  <si>
    <t>Dólar</t>
  </si>
  <si>
    <t>Costo Variable</t>
  </si>
  <si>
    <t>Costo Fijo</t>
  </si>
  <si>
    <t>Cantidad</t>
  </si>
  <si>
    <t>Costo por mes</t>
  </si>
  <si>
    <t>VP*((i*(1+i)^n)/((i+1)^n) - 1)</t>
  </si>
  <si>
    <t>Numerador</t>
  </si>
  <si>
    <t>Denominador</t>
  </si>
  <si>
    <t>+</t>
  </si>
  <si>
    <t>Ingreso por venta</t>
  </si>
  <si>
    <t>Venta de activo</t>
  </si>
  <si>
    <t>Costos Variables</t>
  </si>
  <si>
    <t>Costos Fijos</t>
  </si>
  <si>
    <t>Depreciación</t>
  </si>
  <si>
    <t>Valor libro</t>
  </si>
  <si>
    <t>Depreciacion</t>
  </si>
  <si>
    <t>Valor Libro+</t>
  </si>
  <si>
    <t>Amortización-</t>
  </si>
  <si>
    <t>Inversión Prestamo+</t>
  </si>
  <si>
    <t>Inversión+</t>
  </si>
  <si>
    <t>Capital de trabajo-</t>
  </si>
  <si>
    <t>Valor de desecho +</t>
  </si>
  <si>
    <t>Capital de trabajo se recupera al final</t>
  </si>
  <si>
    <t>(Flujo sin venta ni inversion)-Depreciacion/Trema</t>
  </si>
  <si>
    <t>TREMA</t>
  </si>
  <si>
    <t>Valor de desecho</t>
  </si>
  <si>
    <t>TIR</t>
  </si>
  <si>
    <t>Trema</t>
  </si>
  <si>
    <t>Taza Impuesto</t>
  </si>
  <si>
    <t>Inversión Corfo+</t>
  </si>
  <si>
    <t>UF</t>
  </si>
  <si>
    <t>Software Core</t>
  </si>
  <si>
    <t>% valor original/valor</t>
  </si>
  <si>
    <t>Clientes a Renovar</t>
  </si>
  <si>
    <t>Clientes</t>
  </si>
  <si>
    <t>p</t>
  </si>
  <si>
    <t>Precio de Renovacion</t>
  </si>
  <si>
    <t>Ingreso Renovacion Total</t>
  </si>
  <si>
    <t>Software Vendidos</t>
  </si>
  <si>
    <t>Vendidos</t>
  </si>
  <si>
    <t>Actualización</t>
  </si>
  <si>
    <t>-</t>
  </si>
  <si>
    <t>Terreno</t>
  </si>
  <si>
    <t>Instalaciones</t>
  </si>
  <si>
    <t>Circuiteria</t>
  </si>
  <si>
    <t>C/1 firewall</t>
  </si>
  <si>
    <t>Costo</t>
  </si>
  <si>
    <t>Carcasa</t>
  </si>
  <si>
    <t>Instalacion y Config Firmware</t>
  </si>
  <si>
    <t>Control Calidad</t>
  </si>
  <si>
    <t>CAPITAL DE TRABAJO</t>
  </si>
  <si>
    <t>Programadores</t>
  </si>
  <si>
    <t>Administrador</t>
  </si>
  <si>
    <t>Equipos</t>
  </si>
  <si>
    <t>Servicios Básicos e Internet</t>
  </si>
  <si>
    <t>Costo Año 0</t>
  </si>
  <si>
    <t>Pruebas del Core</t>
  </si>
  <si>
    <t>Costos Primer Año</t>
  </si>
  <si>
    <t>Costos Totales</t>
  </si>
  <si>
    <t>TODO</t>
  </si>
  <si>
    <t>Costo Variable Total</t>
  </si>
  <si>
    <t>Programador</t>
  </si>
  <si>
    <t>Los Pesntesting</t>
  </si>
  <si>
    <t>Idem (Modificacion Core)</t>
  </si>
  <si>
    <t>Administración</t>
  </si>
  <si>
    <t>Gastos Generales</t>
  </si>
  <si>
    <t>Servidor Cloud</t>
  </si>
  <si>
    <t>Equipos Anuales</t>
  </si>
  <si>
    <t>Conexión Banda Ancha</t>
  </si>
  <si>
    <t>Equipos Mensuales</t>
  </si>
  <si>
    <t>Publicidad</t>
  </si>
  <si>
    <t>Valor de Desecho</t>
  </si>
  <si>
    <t>Marca</t>
  </si>
</sst>
</file>

<file path=xl/styles.xml><?xml version="1.0" encoding="utf-8"?>
<styleSheet xmlns="http://schemas.openxmlformats.org/spreadsheetml/2006/main">
  <numFmts count="4">
    <numFmt numFmtId="8" formatCode="&quot;$&quot;#,##0.00;[Red]&quot;$&quot;\-#,##0.00"/>
    <numFmt numFmtId="42" formatCode="_ &quot;$&quot;* #,##0_ ;_ &quot;$&quot;* \-#,##0_ ;_ &quot;$&quot;* &quot;-&quot;_ ;_ @_ "/>
    <numFmt numFmtId="41" formatCode="_ * #,##0_ ;_ * \-#,##0_ ;_ * &quot;-&quot;_ ;_ @_ "/>
    <numFmt numFmtId="164" formatCode="#,##0_ ;[Red]\-#,##0\ 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20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1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9" fontId="21" fillId="0" borderId="0" applyFont="0" applyFill="0" applyBorder="0" applyAlignment="0" applyProtection="0"/>
  </cellStyleXfs>
  <cellXfs count="173">
    <xf numFmtId="0" fontId="0" fillId="0" borderId="0" xfId="0"/>
    <xf numFmtId="3" fontId="0" fillId="0" borderId="8" xfId="0" applyNumberFormat="1" applyBorder="1" applyAlignment="1">
      <alignment vertical="center"/>
    </xf>
    <xf numFmtId="3" fontId="0" fillId="0" borderId="8" xfId="0" applyNumberFormat="1" applyFill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right" vertical="center"/>
    </xf>
    <xf numFmtId="3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vertical="center"/>
    </xf>
    <xf numFmtId="3" fontId="0" fillId="0" borderId="9" xfId="0" applyNumberFormat="1" applyBorder="1" applyAlignment="1">
      <alignment vertical="center"/>
    </xf>
    <xf numFmtId="3" fontId="0" fillId="0" borderId="19" xfId="0" applyNumberFormat="1" applyBorder="1" applyAlignment="1">
      <alignment horizontal="center"/>
    </xf>
    <xf numFmtId="3" fontId="0" fillId="0" borderId="18" xfId="0" applyNumberFormat="1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0" borderId="20" xfId="0" applyNumberFormat="1" applyBorder="1" applyAlignment="1">
      <alignment vertical="center"/>
    </xf>
    <xf numFmtId="0" fontId="3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3" fontId="0" fillId="0" borderId="19" xfId="0" applyNumberForma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3" fontId="4" fillId="0" borderId="10" xfId="0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0" fontId="5" fillId="0" borderId="16" xfId="0" applyFont="1" applyBorder="1" applyAlignment="1">
      <alignment horizontal="right" vertical="center"/>
    </xf>
    <xf numFmtId="0" fontId="1" fillId="0" borderId="16" xfId="0" applyFont="1" applyBorder="1" applyAlignment="1">
      <alignment horizontal="right" vertic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 vertical="center"/>
    </xf>
    <xf numFmtId="0" fontId="1" fillId="0" borderId="18" xfId="0" applyFont="1" applyFill="1" applyBorder="1"/>
    <xf numFmtId="0" fontId="1" fillId="0" borderId="16" xfId="0" applyFont="1" applyBorder="1" applyAlignment="1">
      <alignment horizontal="right" vertical="center" wrapText="1"/>
    </xf>
    <xf numFmtId="3" fontId="4" fillId="0" borderId="16" xfId="0" applyNumberFormat="1" applyFont="1" applyBorder="1" applyAlignment="1">
      <alignment horizontal="center" vertical="center"/>
    </xf>
    <xf numFmtId="0" fontId="0" fillId="0" borderId="8" xfId="0" applyBorder="1"/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9" fontId="0" fillId="0" borderId="26" xfId="0" applyNumberForma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0" fillId="0" borderId="9" xfId="0" applyBorder="1"/>
    <xf numFmtId="3" fontId="4" fillId="0" borderId="27" xfId="0" applyNumberFormat="1" applyFont="1" applyBorder="1" applyAlignment="1">
      <alignment horizontal="center" vertical="center"/>
    </xf>
    <xf numFmtId="3" fontId="0" fillId="0" borderId="18" xfId="0" applyNumberFormat="1" applyFill="1" applyBorder="1" applyAlignment="1">
      <alignment vertical="center"/>
    </xf>
    <xf numFmtId="3" fontId="0" fillId="0" borderId="20" xfId="0" applyNumberFormat="1" applyFill="1" applyBorder="1" applyAlignment="1">
      <alignment vertical="center"/>
    </xf>
    <xf numFmtId="3" fontId="0" fillId="0" borderId="14" xfId="0" applyNumberFormat="1" applyFill="1" applyBorder="1" applyAlignment="1">
      <alignment vertical="center"/>
    </xf>
    <xf numFmtId="3" fontId="0" fillId="0" borderId="9" xfId="0" applyNumberFormat="1" applyFill="1" applyBorder="1" applyAlignment="1">
      <alignment vertical="center"/>
    </xf>
    <xf numFmtId="164" fontId="0" fillId="0" borderId="21" xfId="0" applyNumberForma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9" fillId="0" borderId="28" xfId="0" applyFont="1" applyBorder="1"/>
    <xf numFmtId="0" fontId="9" fillId="0" borderId="2" xfId="0" applyFont="1" applyBorder="1"/>
    <xf numFmtId="0" fontId="0" fillId="0" borderId="13" xfId="0" applyBorder="1"/>
    <xf numFmtId="0" fontId="0" fillId="0" borderId="16" xfId="0" applyBorder="1"/>
    <xf numFmtId="0" fontId="0" fillId="0" borderId="0" xfId="0" applyFill="1"/>
    <xf numFmtId="0" fontId="6" fillId="0" borderId="0" xfId="0" applyFont="1" applyFill="1"/>
    <xf numFmtId="0" fontId="9" fillId="0" borderId="0" xfId="0" applyFont="1" applyBorder="1"/>
    <xf numFmtId="0" fontId="9" fillId="0" borderId="29" xfId="0" applyFont="1" applyBorder="1"/>
    <xf numFmtId="0" fontId="17" fillId="0" borderId="8" xfId="0" applyFont="1" applyBorder="1" applyAlignment="1">
      <alignment vertical="center"/>
    </xf>
    <xf numFmtId="3" fontId="17" fillId="0" borderId="8" xfId="0" applyNumberFormat="1" applyFont="1" applyBorder="1" applyAlignment="1">
      <alignment horizontal="right" vertical="center"/>
    </xf>
    <xf numFmtId="0" fontId="6" fillId="7" borderId="8" xfId="0" applyFont="1" applyFill="1" applyBorder="1" applyAlignment="1">
      <alignment horizontal="left" vertical="center"/>
    </xf>
    <xf numFmtId="0" fontId="18" fillId="6" borderId="8" xfId="0" applyFont="1" applyFill="1" applyBorder="1" applyAlignment="1">
      <alignment horizontal="center" vertical="center"/>
    </xf>
    <xf numFmtId="0" fontId="18" fillId="6" borderId="8" xfId="0" applyFont="1" applyFill="1" applyBorder="1" applyAlignment="1">
      <alignment horizontal="center" vertical="center" wrapText="1"/>
    </xf>
    <xf numFmtId="0" fontId="19" fillId="8" borderId="8" xfId="0" applyFont="1" applyFill="1" applyBorder="1" applyAlignment="1">
      <alignment vertical="center"/>
    </xf>
    <xf numFmtId="0" fontId="19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3" fontId="20" fillId="0" borderId="8" xfId="0" applyNumberFormat="1" applyFont="1" applyBorder="1" applyAlignment="1">
      <alignment horizontal="center" vertical="center"/>
    </xf>
    <xf numFmtId="164" fontId="8" fillId="4" borderId="30" xfId="0" applyNumberFormat="1" applyFont="1" applyFill="1" applyBorder="1" applyAlignment="1">
      <alignment horizontal="center"/>
    </xf>
    <xf numFmtId="164" fontId="8" fillId="4" borderId="31" xfId="0" applyNumberFormat="1" applyFont="1" applyFill="1" applyBorder="1" applyAlignment="1">
      <alignment horizontal="center"/>
    </xf>
    <xf numFmtId="164" fontId="8" fillId="4" borderId="32" xfId="0" applyNumberFormat="1" applyFont="1" applyFill="1" applyBorder="1" applyAlignment="1">
      <alignment horizontal="center"/>
    </xf>
    <xf numFmtId="0" fontId="9" fillId="9" borderId="17" xfId="0" applyFont="1" applyFill="1" applyBorder="1" applyAlignment="1">
      <alignment horizontal="center" vertical="center"/>
    </xf>
    <xf numFmtId="0" fontId="0" fillId="10" borderId="0" xfId="0" applyFill="1"/>
    <xf numFmtId="0" fontId="10" fillId="10" borderId="0" xfId="0" applyFont="1" applyFill="1"/>
    <xf numFmtId="0" fontId="13" fillId="10" borderId="0" xfId="0" applyFont="1" applyFill="1" applyAlignment="1">
      <alignment horizontal="center"/>
    </xf>
    <xf numFmtId="0" fontId="6" fillId="10" borderId="0" xfId="0" applyFont="1" applyFill="1"/>
    <xf numFmtId="0" fontId="12" fillId="10" borderId="0" xfId="0" applyFont="1" applyFill="1"/>
    <xf numFmtId="0" fontId="11" fillId="10" borderId="0" xfId="0" applyFont="1" applyFill="1" applyAlignment="1">
      <alignment horizontal="center"/>
    </xf>
    <xf numFmtId="0" fontId="16" fillId="10" borderId="0" xfId="0" applyFont="1" applyFill="1" applyAlignment="1"/>
    <xf numFmtId="0" fontId="13" fillId="10" borderId="0" xfId="0" applyFont="1" applyFill="1" applyAlignment="1"/>
    <xf numFmtId="0" fontId="0" fillId="2" borderId="0" xfId="0" applyFill="1"/>
    <xf numFmtId="0" fontId="2" fillId="0" borderId="25" xfId="0" applyFont="1" applyBorder="1" applyAlignment="1">
      <alignment horizontal="center" vertical="center"/>
    </xf>
    <xf numFmtId="3" fontId="0" fillId="0" borderId="26" xfId="0" applyNumberFormat="1" applyBorder="1" applyAlignment="1">
      <alignment vertical="center"/>
    </xf>
    <xf numFmtId="3" fontId="0" fillId="0" borderId="33" xfId="0" applyNumberFormat="1" applyBorder="1" applyAlignment="1">
      <alignment vertical="center"/>
    </xf>
    <xf numFmtId="3" fontId="0" fillId="0" borderId="26" xfId="0" applyNumberFormat="1" applyFill="1" applyBorder="1" applyAlignment="1">
      <alignment vertical="center"/>
    </xf>
    <xf numFmtId="3" fontId="0" fillId="0" borderId="33" xfId="0" applyNumberFormat="1" applyFill="1" applyBorder="1" applyAlignment="1">
      <alignment vertical="center"/>
    </xf>
    <xf numFmtId="42" fontId="0" fillId="0" borderId="8" xfId="2" applyFont="1" applyBorder="1"/>
    <xf numFmtId="41" fontId="0" fillId="0" borderId="8" xfId="1" applyFont="1" applyBorder="1"/>
    <xf numFmtId="0" fontId="6" fillId="4" borderId="8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3" borderId="8" xfId="0" applyFont="1" applyFill="1" applyBorder="1"/>
    <xf numFmtId="0" fontId="6" fillId="4" borderId="34" xfId="0" applyFont="1" applyFill="1" applyBorder="1" applyAlignment="1"/>
    <xf numFmtId="0" fontId="6" fillId="4" borderId="8" xfId="0" applyFont="1" applyFill="1" applyBorder="1"/>
    <xf numFmtId="0" fontId="10" fillId="12" borderId="8" xfId="0" applyFont="1" applyFill="1" applyBorder="1"/>
    <xf numFmtId="41" fontId="10" fillId="12" borderId="8" xfId="1" applyFont="1" applyFill="1" applyBorder="1"/>
    <xf numFmtId="41" fontId="0" fillId="11" borderId="8" xfId="1" applyFont="1" applyFill="1" applyBorder="1"/>
    <xf numFmtId="0" fontId="6" fillId="4" borderId="8" xfId="0" applyFont="1" applyFill="1" applyBorder="1" applyAlignment="1"/>
    <xf numFmtId="0" fontId="6" fillId="2" borderId="0" xfId="0" applyFont="1" applyFill="1" applyBorder="1" applyAlignment="1"/>
    <xf numFmtId="0" fontId="6" fillId="2" borderId="0" xfId="0" applyFont="1" applyFill="1" applyBorder="1"/>
    <xf numFmtId="0" fontId="0" fillId="2" borderId="0" xfId="0" applyFill="1" applyBorder="1"/>
    <xf numFmtId="42" fontId="0" fillId="0" borderId="8" xfId="2" applyFont="1" applyBorder="1" applyAlignment="1">
      <alignment horizontal="center" vertical="center"/>
    </xf>
    <xf numFmtId="42" fontId="17" fillId="0" borderId="8" xfId="2" applyFont="1" applyBorder="1" applyAlignment="1">
      <alignment horizontal="right" vertical="center"/>
    </xf>
    <xf numFmtId="164" fontId="0" fillId="0" borderId="0" xfId="0" applyNumberFormat="1"/>
    <xf numFmtId="0" fontId="10" fillId="13" borderId="0" xfId="0" applyFont="1" applyFill="1"/>
    <xf numFmtId="0" fontId="0" fillId="13" borderId="0" xfId="0" applyFill="1"/>
    <xf numFmtId="0" fontId="11" fillId="2" borderId="0" xfId="0" applyFont="1" applyFill="1"/>
    <xf numFmtId="0" fontId="0" fillId="2" borderId="8" xfId="0" applyFill="1" applyBorder="1"/>
    <xf numFmtId="42" fontId="0" fillId="2" borderId="8" xfId="2" applyFont="1" applyFill="1" applyBorder="1"/>
    <xf numFmtId="9" fontId="0" fillId="2" borderId="8" xfId="3" applyFont="1" applyFill="1" applyBorder="1"/>
    <xf numFmtId="42" fontId="0" fillId="2" borderId="8" xfId="0" applyNumberFormat="1" applyFill="1" applyBorder="1"/>
    <xf numFmtId="8" fontId="0" fillId="2" borderId="0" xfId="0" applyNumberFormat="1" applyFill="1"/>
    <xf numFmtId="0" fontId="9" fillId="11" borderId="1" xfId="0" applyFont="1" applyFill="1" applyBorder="1"/>
    <xf numFmtId="164" fontId="1" fillId="11" borderId="3" xfId="0" applyNumberFormat="1" applyFont="1" applyFill="1" applyBorder="1" applyAlignment="1">
      <alignment horizontal="center"/>
    </xf>
    <xf numFmtId="0" fontId="14" fillId="11" borderId="17" xfId="0" applyFont="1" applyFill="1" applyBorder="1"/>
    <xf numFmtId="164" fontId="15" fillId="11" borderId="23" xfId="0" applyNumberFormat="1" applyFont="1" applyFill="1" applyBorder="1" applyAlignment="1">
      <alignment horizontal="center"/>
    </xf>
    <xf numFmtId="10" fontId="0" fillId="5" borderId="0" xfId="0" applyNumberFormat="1" applyFill="1"/>
    <xf numFmtId="164" fontId="1" fillId="9" borderId="36" xfId="0" applyNumberFormat="1" applyFont="1" applyFill="1" applyBorder="1" applyAlignment="1">
      <alignment horizontal="center" vertical="center"/>
    </xf>
    <xf numFmtId="0" fontId="9" fillId="0" borderId="17" xfId="0" applyFont="1" applyFill="1" applyBorder="1"/>
    <xf numFmtId="42" fontId="24" fillId="0" borderId="7" xfId="0" applyNumberFormat="1" applyFont="1" applyBorder="1"/>
    <xf numFmtId="42" fontId="1" fillId="0" borderId="8" xfId="0" applyNumberFormat="1" applyFont="1" applyBorder="1"/>
    <xf numFmtId="42" fontId="24" fillId="0" borderId="8" xfId="0" applyNumberFormat="1" applyFont="1" applyBorder="1"/>
    <xf numFmtId="9" fontId="0" fillId="0" borderId="0" xfId="0" applyNumberFormat="1"/>
    <xf numFmtId="42" fontId="0" fillId="0" borderId="5" xfId="0" applyNumberFormat="1" applyBorder="1"/>
    <xf numFmtId="9" fontId="0" fillId="0" borderId="12" xfId="0" applyNumberFormat="1" applyBorder="1"/>
    <xf numFmtId="0" fontId="18" fillId="6" borderId="8" xfId="0" applyFont="1" applyFill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15" fillId="11" borderId="33" xfId="0" applyFont="1" applyFill="1" applyBorder="1" applyAlignment="1">
      <alignment horizontal="center"/>
    </xf>
    <xf numFmtId="0" fontId="15" fillId="11" borderId="34" xfId="0" applyFont="1" applyFill="1" applyBorder="1" applyAlignment="1">
      <alignment horizontal="center"/>
    </xf>
    <xf numFmtId="0" fontId="15" fillId="11" borderId="7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4" borderId="34" xfId="0" applyFont="1" applyFill="1" applyBorder="1" applyAlignment="1">
      <alignment horizont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9" fontId="0" fillId="0" borderId="8" xfId="0" applyNumberFormat="1" applyBorder="1"/>
    <xf numFmtId="41" fontId="20" fillId="0" borderId="8" xfId="1" applyFont="1" applyBorder="1" applyAlignment="1">
      <alignment horizontal="center" vertical="center"/>
    </xf>
    <xf numFmtId="0" fontId="17" fillId="14" borderId="8" xfId="0" applyFont="1" applyFill="1" applyBorder="1" applyAlignment="1">
      <alignment vertical="center"/>
    </xf>
    <xf numFmtId="3" fontId="17" fillId="14" borderId="8" xfId="0" applyNumberFormat="1" applyFont="1" applyFill="1" applyBorder="1" applyAlignment="1">
      <alignment horizontal="right" vertical="center"/>
    </xf>
    <xf numFmtId="0" fontId="0" fillId="14" borderId="0" xfId="0" applyFill="1"/>
    <xf numFmtId="0" fontId="1" fillId="2" borderId="0" xfId="0" applyFont="1" applyFill="1" applyAlignment="1">
      <alignment wrapText="1"/>
    </xf>
    <xf numFmtId="42" fontId="1" fillId="2" borderId="0" xfId="2" applyNumberFormat="1" applyFont="1" applyFill="1"/>
    <xf numFmtId="0" fontId="0" fillId="11" borderId="8" xfId="0" applyFill="1" applyBorder="1"/>
    <xf numFmtId="0" fontId="6" fillId="4" borderId="8" xfId="0" applyFont="1" applyFill="1" applyBorder="1" applyAlignment="1">
      <alignment vertical="center"/>
    </xf>
    <xf numFmtId="42" fontId="17" fillId="0" borderId="7" xfId="2" applyFont="1" applyBorder="1" applyAlignment="1">
      <alignment horizontal="right" vertical="center"/>
    </xf>
    <xf numFmtId="0" fontId="6" fillId="7" borderId="8" xfId="0" applyFont="1" applyFill="1" applyBorder="1"/>
    <xf numFmtId="164" fontId="0" fillId="0" borderId="8" xfId="0" applyNumberFormat="1" applyFill="1" applyBorder="1" applyAlignment="1">
      <alignment horizontal="center" vertical="center"/>
    </xf>
    <xf numFmtId="42" fontId="0" fillId="11" borderId="8" xfId="2" applyFont="1" applyFill="1" applyBorder="1"/>
    <xf numFmtId="42" fontId="0" fillId="0" borderId="8" xfId="2" applyFont="1" applyFill="1" applyBorder="1" applyAlignment="1">
      <alignment horizontal="center" vertical="center"/>
    </xf>
    <xf numFmtId="42" fontId="0" fillId="0" borderId="8" xfId="0" applyNumberFormat="1" applyBorder="1"/>
    <xf numFmtId="0" fontId="7" fillId="4" borderId="37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41" fontId="0" fillId="0" borderId="19" xfId="1" applyFont="1" applyBorder="1" applyAlignment="1"/>
    <xf numFmtId="41" fontId="0" fillId="0" borderId="9" xfId="1" applyFont="1" applyBorder="1" applyAlignment="1"/>
    <xf numFmtId="41" fontId="0" fillId="0" borderId="18" xfId="1" applyFont="1" applyFill="1" applyBorder="1" applyAlignment="1"/>
    <xf numFmtId="0" fontId="0" fillId="0" borderId="18" xfId="0" applyFont="1" applyFill="1" applyBorder="1" applyAlignment="1">
      <alignment horizontal="center"/>
    </xf>
    <xf numFmtId="41" fontId="21" fillId="0" borderId="18" xfId="1" applyFont="1" applyFill="1" applyBorder="1" applyAlignment="1">
      <alignment horizontal="center"/>
    </xf>
    <xf numFmtId="41" fontId="0" fillId="0" borderId="18" xfId="1" applyFont="1" applyFill="1" applyBorder="1" applyAlignment="1">
      <alignment horizontal="center"/>
    </xf>
  </cellXfs>
  <cellStyles count="4">
    <cellStyle name="Millares [0]" xfId="1" builtinId="6"/>
    <cellStyle name="Moneda [0]" xfId="2" builtinId="7"/>
    <cellStyle name="Normal" xfId="0" builtinId="0"/>
    <cellStyle name="Porcentual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2"/>
  <dimension ref="B3:H15"/>
  <sheetViews>
    <sheetView showGridLines="0" workbookViewId="0">
      <selection activeCell="B9" sqref="B9"/>
    </sheetView>
  </sheetViews>
  <sheetFormatPr baseColWidth="10" defaultColWidth="8.85546875" defaultRowHeight="15"/>
  <cols>
    <col min="1" max="1" width="2.5703125" customWidth="1"/>
    <col min="2" max="2" width="22.140625" bestFit="1" customWidth="1"/>
    <col min="3" max="3" width="11.140625" bestFit="1" customWidth="1"/>
    <col min="4" max="4" width="13.140625" customWidth="1"/>
    <col min="5" max="5" width="12.42578125" customWidth="1"/>
    <col min="6" max="6" width="13.5703125" customWidth="1"/>
    <col min="7" max="7" width="15.5703125" customWidth="1"/>
    <col min="8" max="8" width="14.5703125" bestFit="1" customWidth="1"/>
    <col min="9" max="9" width="23.28515625" bestFit="1" customWidth="1"/>
    <col min="10" max="10" width="16.42578125" bestFit="1" customWidth="1"/>
  </cols>
  <sheetData>
    <row r="3" spans="2:8">
      <c r="D3" t="s">
        <v>48</v>
      </c>
    </row>
    <row r="4" spans="2:8" ht="27" customHeight="1">
      <c r="B4" s="120" t="s">
        <v>5</v>
      </c>
      <c r="C4" s="58" t="s">
        <v>6</v>
      </c>
      <c r="D4" s="120" t="s">
        <v>40</v>
      </c>
      <c r="E4" s="58" t="s">
        <v>7</v>
      </c>
      <c r="F4" s="58" t="s">
        <v>28</v>
      </c>
      <c r="G4" s="58" t="s">
        <v>29</v>
      </c>
      <c r="H4" s="58" t="s">
        <v>8</v>
      </c>
    </row>
    <row r="5" spans="2:8">
      <c r="B5" s="120"/>
      <c r="C5" s="57" t="s">
        <v>2</v>
      </c>
      <c r="D5" s="120"/>
      <c r="E5" s="57" t="s">
        <v>4</v>
      </c>
      <c r="F5" s="57" t="s">
        <v>9</v>
      </c>
      <c r="G5" s="57" t="s">
        <v>9</v>
      </c>
      <c r="H5" s="57" t="s">
        <v>82</v>
      </c>
    </row>
    <row r="6" spans="2:8">
      <c r="B6" s="59" t="s">
        <v>81</v>
      </c>
      <c r="C6" s="61">
        <v>1</v>
      </c>
      <c r="D6" s="60">
        <v>0</v>
      </c>
      <c r="E6" s="62">
        <f>100000*C12</f>
        <v>70000000</v>
      </c>
      <c r="F6" s="61">
        <v>10</v>
      </c>
      <c r="G6" s="61">
        <v>10</v>
      </c>
      <c r="H6" s="150">
        <f>10000*C12</f>
        <v>7000000</v>
      </c>
    </row>
    <row r="7" spans="2:8">
      <c r="B7" s="59" t="s">
        <v>92</v>
      </c>
      <c r="C7" s="61">
        <v>1</v>
      </c>
      <c r="D7" s="60">
        <v>0</v>
      </c>
      <c r="E7" s="62">
        <v>50000000</v>
      </c>
      <c r="F7" s="61"/>
      <c r="G7" s="61"/>
      <c r="H7" s="150">
        <v>80000000</v>
      </c>
    </row>
    <row r="8" spans="2:8">
      <c r="B8" s="59" t="s">
        <v>93</v>
      </c>
      <c r="C8" s="61">
        <v>1</v>
      </c>
      <c r="D8" s="60">
        <v>0</v>
      </c>
      <c r="E8" s="62">
        <v>20000000</v>
      </c>
      <c r="F8" s="61">
        <v>50</v>
      </c>
      <c r="G8" s="61">
        <v>50</v>
      </c>
      <c r="H8" s="150">
        <v>1000000</v>
      </c>
    </row>
    <row r="9" spans="2:8">
      <c r="B9" s="59"/>
      <c r="C9" s="61"/>
      <c r="D9" s="60"/>
      <c r="E9" s="62"/>
      <c r="F9" s="61"/>
      <c r="G9" s="61"/>
      <c r="H9" s="150"/>
    </row>
    <row r="11" spans="2:8">
      <c r="B11" s="121" t="s">
        <v>49</v>
      </c>
      <c r="C11" s="122"/>
    </row>
    <row r="12" spans="2:8">
      <c r="B12" s="86" t="s">
        <v>50</v>
      </c>
      <c r="C12" s="28">
        <v>700</v>
      </c>
    </row>
    <row r="13" spans="2:8">
      <c r="B13" s="86" t="s">
        <v>77</v>
      </c>
      <c r="C13" s="149">
        <v>0.12</v>
      </c>
    </row>
    <row r="14" spans="2:8">
      <c r="B14" s="86" t="s">
        <v>78</v>
      </c>
      <c r="C14" s="149">
        <v>0.25</v>
      </c>
    </row>
    <row r="15" spans="2:8">
      <c r="B15" s="86" t="s">
        <v>80</v>
      </c>
      <c r="C15" s="82">
        <v>26000</v>
      </c>
    </row>
  </sheetData>
  <mergeCells count="3">
    <mergeCell ref="B4:B5"/>
    <mergeCell ref="D4:D5"/>
    <mergeCell ref="B11:C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B2:N58"/>
  <sheetViews>
    <sheetView showGridLines="0" tabSelected="1" topLeftCell="A7" workbookViewId="0">
      <selection activeCell="D57" sqref="D57"/>
    </sheetView>
  </sheetViews>
  <sheetFormatPr baseColWidth="10" defaultColWidth="8.85546875" defaultRowHeight="15"/>
  <cols>
    <col min="1" max="1" width="3.85546875" customWidth="1"/>
    <col min="2" max="2" width="25.7109375" customWidth="1"/>
    <col min="3" max="3" width="13" customWidth="1"/>
    <col min="4" max="4" width="17.28515625" customWidth="1"/>
    <col min="5" max="5" width="17.85546875" customWidth="1"/>
    <col min="6" max="6" width="16.28515625" customWidth="1"/>
    <col min="7" max="7" width="16.7109375" customWidth="1"/>
    <col min="8" max="8" width="16.28515625" customWidth="1"/>
    <col min="9" max="9" width="17" customWidth="1"/>
    <col min="10" max="13" width="13.5703125" bestFit="1" customWidth="1"/>
    <col min="16" max="16" width="15.5703125" customWidth="1"/>
  </cols>
  <sheetData>
    <row r="2" spans="2:14">
      <c r="B2" s="54" t="s">
        <v>88</v>
      </c>
      <c r="C2" s="57">
        <v>1</v>
      </c>
      <c r="D2" s="57">
        <v>2</v>
      </c>
      <c r="E2" s="57">
        <v>3</v>
      </c>
      <c r="F2" s="57">
        <v>4</v>
      </c>
      <c r="G2" s="57">
        <v>5</v>
      </c>
      <c r="H2" s="57">
        <v>6</v>
      </c>
      <c r="I2" s="57"/>
      <c r="J2" s="57"/>
      <c r="K2" s="57"/>
      <c r="L2" s="57"/>
    </row>
    <row r="3" spans="2:14">
      <c r="B3" s="54" t="s">
        <v>89</v>
      </c>
      <c r="C3" s="55">
        <v>50000</v>
      </c>
      <c r="D3" s="55">
        <f>C3+C3*100%</f>
        <v>100000</v>
      </c>
      <c r="E3" s="55">
        <f>D3+D3*50%</f>
        <v>150000</v>
      </c>
      <c r="F3" s="55">
        <f>E3+E3*30%</f>
        <v>195000</v>
      </c>
      <c r="G3" s="55">
        <f>F3+F3*20%</f>
        <v>234000</v>
      </c>
      <c r="H3" s="55">
        <f>G3+G3*20%</f>
        <v>280800</v>
      </c>
      <c r="I3" s="55"/>
      <c r="J3" s="55"/>
      <c r="K3" s="55"/>
      <c r="L3" s="55"/>
    </row>
    <row r="4" spans="2:14" s="153" customFormat="1">
      <c r="B4" s="151" t="s">
        <v>90</v>
      </c>
      <c r="C4" s="152" t="s">
        <v>91</v>
      </c>
      <c r="D4" s="152">
        <f>C3*90%</f>
        <v>45000</v>
      </c>
      <c r="E4" s="152">
        <f>(SUM($C$3:D3))*90%</f>
        <v>135000</v>
      </c>
      <c r="F4" s="152">
        <f>(SUM($C$3:E3))*90%</f>
        <v>270000</v>
      </c>
      <c r="G4" s="152">
        <f>(SUM($C$3:F3))*90%</f>
        <v>445500</v>
      </c>
      <c r="H4" s="152">
        <f>(SUM($C$3:G3))*90%</f>
        <v>656100</v>
      </c>
      <c r="I4" s="152"/>
      <c r="J4" s="152"/>
      <c r="K4" s="152"/>
      <c r="L4" s="152"/>
    </row>
    <row r="6" spans="2:14">
      <c r="B6" s="123" t="s">
        <v>51</v>
      </c>
      <c r="C6" s="134" t="s">
        <v>95</v>
      </c>
      <c r="D6" s="124" t="s">
        <v>96</v>
      </c>
      <c r="E6" s="121" t="s">
        <v>1</v>
      </c>
      <c r="F6" s="136"/>
      <c r="G6" s="136"/>
      <c r="H6" s="136"/>
      <c r="I6" s="136"/>
      <c r="J6" s="136"/>
      <c r="K6" s="136"/>
      <c r="L6" s="136"/>
      <c r="M6" s="87"/>
      <c r="N6" s="87"/>
    </row>
    <row r="7" spans="2:14">
      <c r="B7" s="123"/>
      <c r="C7" s="135"/>
      <c r="D7" s="125"/>
      <c r="E7" s="88">
        <v>0</v>
      </c>
      <c r="F7" s="88">
        <v>1</v>
      </c>
      <c r="G7" s="88">
        <v>2</v>
      </c>
      <c r="H7" s="88">
        <v>3</v>
      </c>
      <c r="I7" s="88">
        <v>4</v>
      </c>
      <c r="J7" s="88">
        <v>5</v>
      </c>
      <c r="K7" s="88">
        <v>6</v>
      </c>
      <c r="L7" s="88">
        <v>7</v>
      </c>
      <c r="M7" s="88">
        <v>8</v>
      </c>
      <c r="N7" s="88">
        <v>9</v>
      </c>
    </row>
    <row r="8" spans="2:14">
      <c r="B8" s="89" t="s">
        <v>94</v>
      </c>
      <c r="C8" s="89">
        <v>1</v>
      </c>
      <c r="D8" s="90">
        <v>30000</v>
      </c>
      <c r="E8" s="81">
        <v>0</v>
      </c>
      <c r="F8" s="81">
        <f>$D$8</f>
        <v>30000</v>
      </c>
      <c r="G8" s="81">
        <f>F8+F8*3%</f>
        <v>30900</v>
      </c>
      <c r="H8" s="81">
        <f t="shared" ref="H8:K8" si="0">G8+G8*3%</f>
        <v>31827</v>
      </c>
      <c r="I8" s="81">
        <f t="shared" si="0"/>
        <v>32781.81</v>
      </c>
      <c r="J8" s="81">
        <f t="shared" si="0"/>
        <v>33765.264299999995</v>
      </c>
      <c r="K8" s="81">
        <f t="shared" si="0"/>
        <v>34778.222228999992</v>
      </c>
      <c r="L8" s="82"/>
      <c r="M8" s="28"/>
      <c r="N8" s="28"/>
    </row>
    <row r="9" spans="2:14">
      <c r="B9" s="89" t="s">
        <v>97</v>
      </c>
      <c r="C9" s="89">
        <v>1</v>
      </c>
      <c r="D9" s="90">
        <v>50000</v>
      </c>
      <c r="E9" s="81">
        <v>0</v>
      </c>
      <c r="F9" s="81">
        <v>50000</v>
      </c>
      <c r="G9" s="81">
        <f>F9+F9*3%</f>
        <v>51500</v>
      </c>
      <c r="H9" s="81">
        <f t="shared" ref="H9:K9" si="1">G9+G9*3%</f>
        <v>53045</v>
      </c>
      <c r="I9" s="81">
        <f t="shared" si="1"/>
        <v>54636.35</v>
      </c>
      <c r="J9" s="81">
        <f t="shared" si="1"/>
        <v>56275.440499999997</v>
      </c>
      <c r="K9" s="81">
        <f t="shared" si="1"/>
        <v>57963.703714999996</v>
      </c>
      <c r="L9" s="82"/>
      <c r="M9" s="28"/>
      <c r="N9" s="28"/>
    </row>
    <row r="10" spans="2:14">
      <c r="B10" s="89" t="s">
        <v>98</v>
      </c>
      <c r="C10" s="89">
        <v>1</v>
      </c>
      <c r="D10" s="90">
        <f>4*Activos!C15</f>
        <v>104000</v>
      </c>
      <c r="E10" s="81">
        <v>0</v>
      </c>
      <c r="F10" s="81">
        <f>$D$10</f>
        <v>104000</v>
      </c>
      <c r="G10" s="81">
        <f t="shared" ref="G10:K10" si="2">$D$10</f>
        <v>104000</v>
      </c>
      <c r="H10" s="81">
        <f t="shared" si="2"/>
        <v>104000</v>
      </c>
      <c r="I10" s="81">
        <f t="shared" si="2"/>
        <v>104000</v>
      </c>
      <c r="J10" s="81">
        <f t="shared" si="2"/>
        <v>104000</v>
      </c>
      <c r="K10" s="81">
        <f t="shared" si="2"/>
        <v>104000</v>
      </c>
      <c r="L10" s="82"/>
      <c r="M10" s="28"/>
      <c r="N10" s="28"/>
    </row>
    <row r="11" spans="2:14">
      <c r="B11" s="89" t="s">
        <v>99</v>
      </c>
      <c r="C11" s="89">
        <v>1</v>
      </c>
      <c r="D11" s="90">
        <f>1*Activos!C15</f>
        <v>26000</v>
      </c>
      <c r="E11" s="81">
        <v>0</v>
      </c>
      <c r="F11" s="81">
        <f>$D$11</f>
        <v>26000</v>
      </c>
      <c r="G11" s="81">
        <f t="shared" ref="G11:K11" si="3">$D$11</f>
        <v>26000</v>
      </c>
      <c r="H11" s="81">
        <f t="shared" si="3"/>
        <v>26000</v>
      </c>
      <c r="I11" s="81">
        <f t="shared" si="3"/>
        <v>26000</v>
      </c>
      <c r="J11" s="81">
        <f t="shared" si="3"/>
        <v>26000</v>
      </c>
      <c r="K11" s="81">
        <f t="shared" si="3"/>
        <v>26000</v>
      </c>
      <c r="L11" s="82"/>
      <c r="M11" s="28"/>
      <c r="N11" s="28"/>
    </row>
    <row r="12" spans="2:14">
      <c r="B12" s="89"/>
      <c r="C12" s="89"/>
      <c r="D12" s="90"/>
      <c r="E12" s="81"/>
      <c r="F12" s="81"/>
      <c r="G12" s="81"/>
      <c r="H12" s="81"/>
      <c r="I12" s="81"/>
      <c r="J12" s="81"/>
      <c r="K12" s="81"/>
      <c r="L12" s="82"/>
      <c r="M12" s="28"/>
      <c r="N12" s="28"/>
    </row>
    <row r="13" spans="2:14">
      <c r="B13" s="89"/>
      <c r="C13" s="89"/>
      <c r="D13" s="90"/>
      <c r="E13" s="81"/>
      <c r="F13" s="81"/>
      <c r="G13" s="81"/>
      <c r="H13" s="81"/>
      <c r="I13" s="81"/>
      <c r="J13" s="81"/>
      <c r="K13" s="81"/>
      <c r="L13" s="82"/>
      <c r="M13" s="28"/>
      <c r="N13" s="28"/>
    </row>
    <row r="14" spans="2:14">
      <c r="B14" s="89"/>
      <c r="C14" s="89"/>
      <c r="D14" s="90"/>
      <c r="E14" s="81"/>
      <c r="F14" s="81"/>
      <c r="G14" s="81"/>
      <c r="H14" s="81"/>
      <c r="I14" s="81"/>
      <c r="J14" s="81"/>
      <c r="K14" s="81"/>
      <c r="L14" s="82"/>
      <c r="M14" s="28"/>
      <c r="N14" s="28"/>
    </row>
    <row r="15" spans="2:14">
      <c r="B15" s="89"/>
      <c r="C15" s="89"/>
      <c r="D15" s="90"/>
      <c r="E15" s="81"/>
      <c r="F15" s="81"/>
      <c r="G15" s="81"/>
      <c r="H15" s="81"/>
      <c r="I15" s="81"/>
      <c r="J15" s="81"/>
      <c r="K15" s="81"/>
      <c r="L15" s="82"/>
      <c r="M15" s="28"/>
      <c r="N15" s="28"/>
    </row>
    <row r="16" spans="2:14">
      <c r="B16" s="126" t="s">
        <v>27</v>
      </c>
      <c r="C16" s="127"/>
      <c r="D16" s="128"/>
      <c r="E16" s="161">
        <f>SUM(E8:E15)</f>
        <v>0</v>
      </c>
      <c r="F16" s="161">
        <f t="shared" ref="F16:L16" si="4">SUM(F8:F15)</f>
        <v>210000</v>
      </c>
      <c r="G16" s="161">
        <f t="shared" si="4"/>
        <v>212400</v>
      </c>
      <c r="H16" s="161">
        <f t="shared" si="4"/>
        <v>214872</v>
      </c>
      <c r="I16" s="161">
        <f t="shared" si="4"/>
        <v>217418.16</v>
      </c>
      <c r="J16" s="161">
        <f t="shared" si="4"/>
        <v>220040.70480000001</v>
      </c>
      <c r="K16" s="161">
        <f t="shared" si="4"/>
        <v>222741.92594399999</v>
      </c>
      <c r="L16" s="91">
        <f t="shared" si="4"/>
        <v>0</v>
      </c>
      <c r="M16" s="28"/>
      <c r="N16" s="28"/>
    </row>
    <row r="17" spans="2:14">
      <c r="M17" s="75"/>
    </row>
    <row r="18" spans="2:14">
      <c r="B18" s="123" t="s">
        <v>52</v>
      </c>
      <c r="C18" s="124" t="s">
        <v>53</v>
      </c>
      <c r="D18" s="124" t="s">
        <v>54</v>
      </c>
      <c r="E18" s="92" t="s">
        <v>1</v>
      </c>
      <c r="F18" s="92"/>
      <c r="G18" s="92"/>
      <c r="H18" s="92"/>
      <c r="I18" s="92"/>
      <c r="J18" s="92"/>
      <c r="K18" s="92"/>
      <c r="L18" s="92"/>
      <c r="M18" s="93"/>
      <c r="N18" s="93"/>
    </row>
    <row r="19" spans="2:14">
      <c r="B19" s="123"/>
      <c r="C19" s="125"/>
      <c r="D19" s="125"/>
      <c r="E19" s="88">
        <v>0</v>
      </c>
      <c r="F19" s="88">
        <v>1</v>
      </c>
      <c r="G19" s="88">
        <v>2</v>
      </c>
      <c r="H19" s="88">
        <v>3</v>
      </c>
      <c r="I19" s="88">
        <v>4</v>
      </c>
      <c r="J19" s="88">
        <v>5</v>
      </c>
      <c r="K19" s="88">
        <v>6</v>
      </c>
      <c r="L19" s="88">
        <v>7</v>
      </c>
      <c r="M19" s="94"/>
      <c r="N19" s="94"/>
    </row>
    <row r="20" spans="2:14">
      <c r="B20" s="89" t="s">
        <v>101</v>
      </c>
      <c r="C20" s="89">
        <v>3</v>
      </c>
      <c r="D20" s="90">
        <v>800000</v>
      </c>
      <c r="E20" s="81">
        <f>D20*C20*3</f>
        <v>7200000</v>
      </c>
      <c r="F20" s="81"/>
      <c r="G20" s="81"/>
      <c r="H20" s="81"/>
      <c r="I20" s="81"/>
      <c r="J20" s="81"/>
      <c r="K20" s="81"/>
      <c r="L20" s="28"/>
      <c r="M20" s="95"/>
      <c r="N20" s="95"/>
    </row>
    <row r="21" spans="2:14">
      <c r="B21" s="89" t="s">
        <v>111</v>
      </c>
      <c r="C21" s="89">
        <v>1</v>
      </c>
      <c r="D21" s="90">
        <v>800000</v>
      </c>
      <c r="E21" s="81">
        <f>C21*D21*(12-3)</f>
        <v>7200000</v>
      </c>
      <c r="F21" s="81">
        <f>(D21*C21*12)+(C21*D21*12)*3%</f>
        <v>9888000</v>
      </c>
      <c r="G21" s="81">
        <f>F21+F21*3%</f>
        <v>10184640</v>
      </c>
      <c r="H21" s="81">
        <f t="shared" ref="H21:K21" si="5">G21+G21*3%</f>
        <v>10490179.199999999</v>
      </c>
      <c r="I21" s="81">
        <f t="shared" si="5"/>
        <v>10804884.575999999</v>
      </c>
      <c r="J21" s="81">
        <f t="shared" si="5"/>
        <v>11129031.11328</v>
      </c>
      <c r="K21" s="81">
        <f t="shared" si="5"/>
        <v>11462902.0466784</v>
      </c>
      <c r="L21" s="28"/>
      <c r="M21" s="95"/>
      <c r="N21" s="95"/>
    </row>
    <row r="22" spans="2:14">
      <c r="B22" s="89" t="s">
        <v>112</v>
      </c>
      <c r="C22" s="89">
        <v>1</v>
      </c>
      <c r="D22" s="90">
        <v>1500000</v>
      </c>
      <c r="E22" s="81">
        <f>$D$22</f>
        <v>1500000</v>
      </c>
      <c r="F22" s="81">
        <f t="shared" ref="F22:K22" si="6">$D$22</f>
        <v>1500000</v>
      </c>
      <c r="G22" s="81">
        <f t="shared" si="6"/>
        <v>1500000</v>
      </c>
      <c r="H22" s="81">
        <f t="shared" si="6"/>
        <v>1500000</v>
      </c>
      <c r="I22" s="81">
        <f t="shared" si="6"/>
        <v>1500000</v>
      </c>
      <c r="J22" s="81">
        <f t="shared" si="6"/>
        <v>1500000</v>
      </c>
      <c r="K22" s="81">
        <f t="shared" si="6"/>
        <v>1500000</v>
      </c>
      <c r="L22" s="82"/>
      <c r="M22" s="95"/>
      <c r="N22" s="95"/>
    </row>
    <row r="23" spans="2:14">
      <c r="B23" s="89" t="s">
        <v>113</v>
      </c>
      <c r="C23" s="89">
        <v>1</v>
      </c>
      <c r="D23" s="90">
        <v>2000000</v>
      </c>
      <c r="E23" s="81">
        <f>D23</f>
        <v>2000000</v>
      </c>
      <c r="F23" s="81"/>
      <c r="G23" s="81"/>
      <c r="H23" s="81"/>
      <c r="I23" s="81"/>
      <c r="J23" s="81"/>
      <c r="K23" s="81"/>
      <c r="L23" s="82"/>
      <c r="M23" s="95"/>
      <c r="N23" s="95"/>
    </row>
    <row r="24" spans="2:14">
      <c r="B24" s="89" t="s">
        <v>114</v>
      </c>
      <c r="C24" s="89">
        <v>1</v>
      </c>
      <c r="D24" s="90">
        <v>600000</v>
      </c>
      <c r="E24" s="81">
        <f>D24*13*C24</f>
        <v>7800000</v>
      </c>
      <c r="F24" s="81">
        <f>(C24*D24*12)+(C24*D24*12)*3%</f>
        <v>7416000</v>
      </c>
      <c r="G24" s="81">
        <f>F24+F24*3%</f>
        <v>7638480</v>
      </c>
      <c r="H24" s="81">
        <f t="shared" ref="H24:K24" si="7">G24+G24*3%</f>
        <v>7867634.4000000004</v>
      </c>
      <c r="I24" s="81">
        <f t="shared" si="7"/>
        <v>8103663.432</v>
      </c>
      <c r="J24" s="81">
        <f t="shared" si="7"/>
        <v>8346773.3349599997</v>
      </c>
      <c r="K24" s="81">
        <f t="shared" si="7"/>
        <v>8597176.5350087993</v>
      </c>
      <c r="L24" s="28"/>
      <c r="M24" s="95"/>
      <c r="N24" s="95"/>
    </row>
    <row r="25" spans="2:14">
      <c r="B25" s="89" t="s">
        <v>115</v>
      </c>
      <c r="C25" s="89">
        <v>1</v>
      </c>
      <c r="D25" s="90">
        <v>20000</v>
      </c>
      <c r="E25" s="81">
        <f>D25*12</f>
        <v>240000</v>
      </c>
      <c r="F25" s="81">
        <f>E25+E25*3%</f>
        <v>247200</v>
      </c>
      <c r="G25" s="81">
        <f t="shared" ref="G25:K25" si="8">F25+F25*3%</f>
        <v>254616</v>
      </c>
      <c r="H25" s="81">
        <f t="shared" si="8"/>
        <v>262254.48</v>
      </c>
      <c r="I25" s="81">
        <f t="shared" si="8"/>
        <v>270122.11439999996</v>
      </c>
      <c r="J25" s="81">
        <f t="shared" si="8"/>
        <v>278225.77783199993</v>
      </c>
      <c r="K25" s="81">
        <f t="shared" si="8"/>
        <v>286572.55116695992</v>
      </c>
      <c r="L25" s="82"/>
      <c r="M25" s="95"/>
      <c r="N25" s="95"/>
    </row>
    <row r="26" spans="2:14">
      <c r="B26" s="89" t="s">
        <v>116</v>
      </c>
      <c r="C26" s="89">
        <v>1</v>
      </c>
      <c r="D26" s="90">
        <f>(1000*Activos!C12)/12</f>
        <v>58333.333333333336</v>
      </c>
      <c r="E26" s="81"/>
      <c r="F26" s="81">
        <f>10000*Activos!$C$12</f>
        <v>7000000</v>
      </c>
      <c r="G26" s="81">
        <f>10000*Activos!$C$12</f>
        <v>7000000</v>
      </c>
      <c r="H26" s="81">
        <f>10000*Activos!$C$12</f>
        <v>7000000</v>
      </c>
      <c r="I26" s="81">
        <f>10000*Activos!$C$12</f>
        <v>7000000</v>
      </c>
      <c r="J26" s="81">
        <f>10000*Activos!$C$12</f>
        <v>7000000</v>
      </c>
      <c r="K26" s="81">
        <f>10000*Activos!$C$12</f>
        <v>7000000</v>
      </c>
      <c r="L26" s="82"/>
      <c r="M26" s="95"/>
      <c r="N26" s="95"/>
    </row>
    <row r="27" spans="2:14">
      <c r="B27" s="89" t="s">
        <v>119</v>
      </c>
      <c r="C27" s="89">
        <v>3</v>
      </c>
      <c r="D27" s="90">
        <v>20000</v>
      </c>
      <c r="E27" s="81">
        <f>D27*C27*3</f>
        <v>180000</v>
      </c>
      <c r="F27" s="81"/>
      <c r="G27" s="81"/>
      <c r="H27" s="81"/>
      <c r="I27" s="81"/>
      <c r="J27" s="81"/>
      <c r="K27" s="81"/>
      <c r="L27" s="82"/>
      <c r="M27" s="95"/>
      <c r="N27" s="95"/>
    </row>
    <row r="28" spans="2:14">
      <c r="B28" s="89" t="s">
        <v>117</v>
      </c>
      <c r="C28" s="89">
        <v>2</v>
      </c>
      <c r="D28" s="90">
        <v>20000</v>
      </c>
      <c r="E28" s="81">
        <f>(D28*12)+(D28*1*(12-3))</f>
        <v>420000</v>
      </c>
      <c r="F28" s="81">
        <f>(D28*C28*12)+(C28*D28*12)*3%</f>
        <v>494400</v>
      </c>
      <c r="G28" s="81">
        <f>F28+F28*3%</f>
        <v>509232</v>
      </c>
      <c r="H28" s="81">
        <f t="shared" ref="H28:K28" si="9">G28+G28*3%</f>
        <v>524508.96</v>
      </c>
      <c r="I28" s="81">
        <f t="shared" si="9"/>
        <v>540244.22879999992</v>
      </c>
      <c r="J28" s="81">
        <f t="shared" si="9"/>
        <v>556451.55566399987</v>
      </c>
      <c r="K28" s="81">
        <f t="shared" si="9"/>
        <v>573145.10233391984</v>
      </c>
      <c r="L28" s="82"/>
      <c r="M28" s="95"/>
      <c r="N28" s="95"/>
    </row>
    <row r="29" spans="2:14">
      <c r="B29" s="89" t="s">
        <v>118</v>
      </c>
      <c r="C29" s="89">
        <v>1</v>
      </c>
      <c r="D29" s="90">
        <v>52000</v>
      </c>
      <c r="E29" s="81">
        <f>D29*12</f>
        <v>624000</v>
      </c>
      <c r="F29" s="81">
        <f>E29*103%</f>
        <v>642720</v>
      </c>
      <c r="G29" s="81">
        <f t="shared" ref="G29:K29" si="10">F29*103%</f>
        <v>662001.6</v>
      </c>
      <c r="H29" s="81">
        <f t="shared" si="10"/>
        <v>681861.64800000004</v>
      </c>
      <c r="I29" s="81">
        <f t="shared" si="10"/>
        <v>702317.49744000006</v>
      </c>
      <c r="J29" s="81">
        <f t="shared" si="10"/>
        <v>723387.02236320009</v>
      </c>
      <c r="K29" s="81">
        <f t="shared" si="10"/>
        <v>745088.6330340961</v>
      </c>
      <c r="L29" s="82"/>
      <c r="M29" s="95"/>
      <c r="N29" s="95"/>
    </row>
    <row r="30" spans="2:14">
      <c r="B30" s="89" t="s">
        <v>120</v>
      </c>
      <c r="C30" s="89">
        <v>1</v>
      </c>
      <c r="D30" s="90"/>
      <c r="E30" s="81">
        <v>0</v>
      </c>
      <c r="F30" s="81">
        <v>4000000</v>
      </c>
      <c r="G30" s="81">
        <f>F30*125%</f>
        <v>5000000</v>
      </c>
      <c r="H30" s="81">
        <f t="shared" ref="H30:J30" si="11">G30*125%</f>
        <v>6250000</v>
      </c>
      <c r="I30" s="81">
        <f t="shared" si="11"/>
        <v>7812500</v>
      </c>
      <c r="J30" s="81">
        <f t="shared" si="11"/>
        <v>9765625</v>
      </c>
      <c r="K30" s="81">
        <v>2000000</v>
      </c>
      <c r="L30" s="82"/>
      <c r="M30" s="95"/>
      <c r="N30" s="95"/>
    </row>
    <row r="31" spans="2:14">
      <c r="B31" s="126" t="s">
        <v>27</v>
      </c>
      <c r="C31" s="127"/>
      <c r="D31" s="128"/>
      <c r="E31" s="161">
        <f>SUM(E20:E30)</f>
        <v>27164000</v>
      </c>
      <c r="F31" s="161">
        <f t="shared" ref="F31:K31" si="12">SUM(F20:F30)</f>
        <v>31188320</v>
      </c>
      <c r="G31" s="161">
        <f t="shared" si="12"/>
        <v>32748969.600000001</v>
      </c>
      <c r="H31" s="161">
        <f t="shared" si="12"/>
        <v>34576438.688000001</v>
      </c>
      <c r="I31" s="161">
        <f t="shared" si="12"/>
        <v>36733731.848639995</v>
      </c>
      <c r="J31" s="161">
        <f t="shared" si="12"/>
        <v>39299493.804099202</v>
      </c>
      <c r="K31" s="161">
        <f t="shared" si="12"/>
        <v>32164884.86822217</v>
      </c>
      <c r="L31" s="91">
        <f>SUM(L20:L28)</f>
        <v>0</v>
      </c>
      <c r="M31" s="95"/>
      <c r="N31" s="95"/>
    </row>
    <row r="33" spans="2:14">
      <c r="B33" s="134" t="s">
        <v>109</v>
      </c>
      <c r="C33" s="124" t="s">
        <v>0</v>
      </c>
      <c r="D33" s="137" t="s">
        <v>1</v>
      </c>
      <c r="E33" s="138"/>
      <c r="F33" s="138"/>
      <c r="G33" s="138"/>
      <c r="H33" s="138"/>
      <c r="I33" s="138"/>
      <c r="J33" s="138"/>
      <c r="K33" s="138"/>
      <c r="L33" s="138"/>
      <c r="M33" s="139"/>
    </row>
    <row r="34" spans="2:14">
      <c r="B34" s="135"/>
      <c r="C34" s="125"/>
      <c r="D34" s="83">
        <v>1</v>
      </c>
      <c r="E34" s="83">
        <v>2</v>
      </c>
      <c r="F34" s="83">
        <v>3</v>
      </c>
      <c r="G34" s="83">
        <v>4</v>
      </c>
      <c r="H34" s="83">
        <v>5</v>
      </c>
      <c r="I34" s="83">
        <v>6</v>
      </c>
      <c r="J34" s="83">
        <v>7</v>
      </c>
      <c r="K34" s="83">
        <v>8</v>
      </c>
      <c r="L34" s="83">
        <v>9</v>
      </c>
      <c r="M34" s="83">
        <v>10</v>
      </c>
    </row>
    <row r="35" spans="2:14">
      <c r="B35" s="34" t="s">
        <v>84</v>
      </c>
      <c r="C35" s="33" t="s">
        <v>85</v>
      </c>
      <c r="D35" s="55">
        <f>C3</f>
        <v>50000</v>
      </c>
      <c r="E35" s="55">
        <f t="shared" ref="E35:I35" si="13">D3</f>
        <v>100000</v>
      </c>
      <c r="F35" s="55">
        <f t="shared" si="13"/>
        <v>150000</v>
      </c>
      <c r="G35" s="55">
        <f t="shared" si="13"/>
        <v>195000</v>
      </c>
      <c r="H35" s="55">
        <f t="shared" si="13"/>
        <v>234000</v>
      </c>
      <c r="I35" s="55">
        <f t="shared" si="13"/>
        <v>280800</v>
      </c>
      <c r="J35" s="55"/>
      <c r="K35" s="55"/>
      <c r="L35" s="55"/>
      <c r="M35" s="55"/>
    </row>
    <row r="36" spans="2:14">
      <c r="B36" s="34" t="s">
        <v>83</v>
      </c>
      <c r="C36" s="33" t="s">
        <v>85</v>
      </c>
      <c r="D36" s="55" t="str">
        <f>C4</f>
        <v>-</v>
      </c>
      <c r="E36" s="55">
        <f t="shared" ref="E36:I36" si="14">D4</f>
        <v>45000</v>
      </c>
      <c r="F36" s="55">
        <f t="shared" si="14"/>
        <v>135000</v>
      </c>
      <c r="G36" s="55">
        <f t="shared" si="14"/>
        <v>270000</v>
      </c>
      <c r="H36" s="55">
        <f t="shared" si="14"/>
        <v>445500</v>
      </c>
      <c r="I36" s="55">
        <f t="shared" si="14"/>
        <v>656100</v>
      </c>
      <c r="J36" s="55"/>
      <c r="K36" s="55"/>
      <c r="L36" s="55"/>
      <c r="M36" s="55"/>
    </row>
    <row r="37" spans="2:14">
      <c r="B37" s="34" t="s">
        <v>3</v>
      </c>
      <c r="C37" s="33" t="s">
        <v>4</v>
      </c>
      <c r="D37" s="96">
        <v>100000</v>
      </c>
      <c r="E37" s="96">
        <v>150000</v>
      </c>
      <c r="F37" s="96">
        <f>E37+E37*3%</f>
        <v>154500</v>
      </c>
      <c r="G37" s="96">
        <f t="shared" ref="G37:H37" si="15">F37+F37*3%</f>
        <v>159135</v>
      </c>
      <c r="H37" s="96">
        <f t="shared" si="15"/>
        <v>163909.04999999999</v>
      </c>
      <c r="I37" s="96">
        <v>150000</v>
      </c>
      <c r="J37" s="96"/>
      <c r="K37" s="96"/>
      <c r="L37" s="96"/>
      <c r="M37" s="96"/>
      <c r="N37" s="75"/>
    </row>
    <row r="38" spans="2:14">
      <c r="B38" s="34" t="s">
        <v>86</v>
      </c>
      <c r="C38" s="33" t="s">
        <v>4</v>
      </c>
      <c r="D38" s="96">
        <v>0</v>
      </c>
      <c r="E38" s="96">
        <v>10000</v>
      </c>
      <c r="F38" s="96">
        <v>10000</v>
      </c>
      <c r="G38" s="96">
        <v>10000</v>
      </c>
      <c r="H38" s="96">
        <v>10000</v>
      </c>
      <c r="I38" s="96">
        <v>10000</v>
      </c>
      <c r="J38" s="96"/>
      <c r="K38" s="96"/>
      <c r="L38" s="96"/>
      <c r="M38" s="96"/>
      <c r="N38" s="75"/>
    </row>
    <row r="39" spans="2:14">
      <c r="B39" s="34" t="s">
        <v>47</v>
      </c>
      <c r="C39" s="33" t="s">
        <v>4</v>
      </c>
      <c r="D39" s="96">
        <f>D35*D37</f>
        <v>5000000000</v>
      </c>
      <c r="E39" s="96">
        <f>E35*E37</f>
        <v>15000000000</v>
      </c>
      <c r="F39" s="96">
        <f>F35*F37</f>
        <v>23175000000</v>
      </c>
      <c r="G39" s="96">
        <f>G35*G37</f>
        <v>31031325000</v>
      </c>
      <c r="H39" s="96">
        <f>H35*H37</f>
        <v>38354717700</v>
      </c>
      <c r="I39" s="96">
        <f>I35*I37</f>
        <v>42120000000</v>
      </c>
      <c r="J39" s="96"/>
      <c r="K39" s="96"/>
      <c r="L39" s="96"/>
      <c r="M39" s="96"/>
      <c r="N39" s="67"/>
    </row>
    <row r="40" spans="2:14">
      <c r="B40" s="34" t="s">
        <v>87</v>
      </c>
      <c r="C40" s="33" t="s">
        <v>4</v>
      </c>
      <c r="D40" s="96">
        <v>0</v>
      </c>
      <c r="E40" s="96">
        <f t="shared" ref="E40:I40" si="16">E36*E38</f>
        <v>450000000</v>
      </c>
      <c r="F40" s="96">
        <f t="shared" si="16"/>
        <v>1350000000</v>
      </c>
      <c r="G40" s="96">
        <f t="shared" si="16"/>
        <v>2700000000</v>
      </c>
      <c r="H40" s="96">
        <f t="shared" si="16"/>
        <v>4455000000</v>
      </c>
      <c r="I40" s="96">
        <f t="shared" si="16"/>
        <v>6561000000</v>
      </c>
      <c r="J40" s="96"/>
      <c r="K40" s="96"/>
      <c r="L40" s="96"/>
      <c r="M40" s="96"/>
      <c r="N40" s="67"/>
    </row>
    <row r="41" spans="2:14">
      <c r="B41" s="23"/>
      <c r="C41" s="23"/>
      <c r="D41" s="24"/>
      <c r="E41" s="24"/>
      <c r="F41" s="24"/>
      <c r="G41" s="24"/>
      <c r="H41" s="24"/>
      <c r="I41" s="24"/>
      <c r="J41" s="24"/>
      <c r="K41" s="24"/>
      <c r="L41" s="24"/>
      <c r="M41" s="24"/>
    </row>
    <row r="42" spans="2:14">
      <c r="B42" s="34" t="s">
        <v>110</v>
      </c>
      <c r="C42" s="33" t="s">
        <v>4</v>
      </c>
      <c r="D42" s="162">
        <f>F16*D35</f>
        <v>10500000000</v>
      </c>
      <c r="E42" s="162">
        <f t="shared" ref="E42:I42" si="17">G16*E35</f>
        <v>21240000000</v>
      </c>
      <c r="F42" s="162">
        <f t="shared" si="17"/>
        <v>32230800000</v>
      </c>
      <c r="G42" s="162">
        <f t="shared" si="17"/>
        <v>42396541200</v>
      </c>
      <c r="H42" s="162">
        <f t="shared" si="17"/>
        <v>51489524923.200005</v>
      </c>
      <c r="I42" s="162">
        <f t="shared" si="17"/>
        <v>62545932805.075195</v>
      </c>
      <c r="J42" s="160"/>
      <c r="K42" s="160"/>
      <c r="L42" s="160"/>
      <c r="M42" s="160"/>
    </row>
    <row r="43" spans="2:14">
      <c r="B43" s="23"/>
      <c r="C43" s="23"/>
      <c r="D43" s="24"/>
      <c r="E43" s="24"/>
      <c r="F43" s="24"/>
      <c r="G43" s="24"/>
      <c r="H43" s="24"/>
      <c r="I43" s="24"/>
      <c r="J43" s="24"/>
      <c r="K43" s="24"/>
      <c r="L43" s="24"/>
      <c r="M43" s="24"/>
    </row>
    <row r="45" spans="2:14">
      <c r="B45" s="129" t="s">
        <v>38</v>
      </c>
      <c r="C45" s="130" t="s">
        <v>0</v>
      </c>
      <c r="D45" s="131" t="s">
        <v>1</v>
      </c>
      <c r="E45" s="132"/>
      <c r="F45" s="132"/>
      <c r="G45" s="132"/>
      <c r="H45" s="132"/>
      <c r="I45" s="132"/>
      <c r="J45" s="132"/>
      <c r="K45" s="132"/>
      <c r="L45" s="132"/>
      <c r="M45" s="133"/>
    </row>
    <row r="46" spans="2:14" ht="15" customHeight="1">
      <c r="B46" s="129"/>
      <c r="C46" s="130"/>
      <c r="D46" s="84">
        <v>1</v>
      </c>
      <c r="E46" s="84">
        <v>2</v>
      </c>
      <c r="F46" s="84">
        <v>3</v>
      </c>
      <c r="G46" s="84">
        <v>4</v>
      </c>
      <c r="H46" s="84">
        <v>5</v>
      </c>
      <c r="I46" s="84">
        <v>6</v>
      </c>
      <c r="J46" s="84">
        <v>7</v>
      </c>
      <c r="K46" s="84">
        <v>8</v>
      </c>
      <c r="L46" s="84">
        <v>9</v>
      </c>
      <c r="M46" s="84">
        <v>10</v>
      </c>
    </row>
    <row r="47" spans="2:14" ht="15" customHeight="1">
      <c r="B47" s="56" t="s">
        <v>39</v>
      </c>
      <c r="C47" s="85" t="s">
        <v>2</v>
      </c>
      <c r="D47" s="97">
        <f>D39+D40</f>
        <v>5000000000</v>
      </c>
      <c r="E47" s="97">
        <f t="shared" ref="E47:I47" si="18">E39+E40</f>
        <v>15450000000</v>
      </c>
      <c r="F47" s="97">
        <f t="shared" si="18"/>
        <v>24525000000</v>
      </c>
      <c r="G47" s="97">
        <f t="shared" si="18"/>
        <v>33731325000</v>
      </c>
      <c r="H47" s="97">
        <f t="shared" si="18"/>
        <v>42809717700</v>
      </c>
      <c r="I47" s="97">
        <f t="shared" si="18"/>
        <v>48681000000</v>
      </c>
      <c r="J47" s="158"/>
      <c r="K47" s="55"/>
      <c r="L47" s="55"/>
      <c r="M47" s="55"/>
      <c r="N47" s="67"/>
    </row>
    <row r="48" spans="2:14">
      <c r="B48" s="159" t="s">
        <v>108</v>
      </c>
      <c r="C48" s="159"/>
      <c r="D48" s="163">
        <f>F16+F31</f>
        <v>31398320</v>
      </c>
      <c r="E48" s="163">
        <f t="shared" ref="E48:I48" si="19">G16+G31</f>
        <v>32961369.600000001</v>
      </c>
      <c r="F48" s="163">
        <f t="shared" si="19"/>
        <v>34791310.688000001</v>
      </c>
      <c r="G48" s="163">
        <f t="shared" si="19"/>
        <v>36951150.008639991</v>
      </c>
      <c r="H48" s="163">
        <f t="shared" si="19"/>
        <v>39519534.508899204</v>
      </c>
      <c r="I48" s="163">
        <f t="shared" si="19"/>
        <v>32387626.79416617</v>
      </c>
      <c r="N48" s="67"/>
    </row>
    <row r="49" spans="2:14">
      <c r="N49" s="67"/>
    </row>
    <row r="50" spans="2:14">
      <c r="E50" s="98"/>
    </row>
    <row r="51" spans="2:14" ht="27" customHeight="1">
      <c r="B51" s="157" t="s">
        <v>100</v>
      </c>
      <c r="C51" s="157" t="s">
        <v>105</v>
      </c>
      <c r="D51" s="154"/>
      <c r="E51" s="155"/>
    </row>
    <row r="52" spans="2:14">
      <c r="B52" s="86" t="s">
        <v>101</v>
      </c>
      <c r="C52" s="81">
        <f>SUM(E20:E21)</f>
        <v>14400000</v>
      </c>
    </row>
    <row r="53" spans="2:14">
      <c r="B53" s="86" t="s">
        <v>102</v>
      </c>
      <c r="C53" s="81">
        <f>E24</f>
        <v>7800000</v>
      </c>
    </row>
    <row r="54" spans="2:14">
      <c r="B54" s="86" t="s">
        <v>103</v>
      </c>
      <c r="C54" s="81">
        <f>SUM(E27:E28)</f>
        <v>600000</v>
      </c>
    </row>
    <row r="55" spans="2:14">
      <c r="B55" s="86" t="s">
        <v>104</v>
      </c>
      <c r="C55" s="81">
        <f>E25+E29</f>
        <v>864000</v>
      </c>
    </row>
    <row r="56" spans="2:14">
      <c r="B56" s="86" t="s">
        <v>106</v>
      </c>
      <c r="C56" s="81">
        <f>E23</f>
        <v>2000000</v>
      </c>
    </row>
    <row r="57" spans="2:14">
      <c r="B57" s="86" t="s">
        <v>107</v>
      </c>
      <c r="C57" s="81">
        <f>1.5%*D48</f>
        <v>470974.8</v>
      </c>
    </row>
    <row r="58" spans="2:14">
      <c r="B58" s="156" t="s">
        <v>34</v>
      </c>
      <c r="C58" s="161">
        <f>SUM(C52:C57)</f>
        <v>26134974.800000001</v>
      </c>
    </row>
  </sheetData>
  <mergeCells count="15">
    <mergeCell ref="B6:B7"/>
    <mergeCell ref="C6:C7"/>
    <mergeCell ref="D6:D7"/>
    <mergeCell ref="E6:L6"/>
    <mergeCell ref="B16:D16"/>
    <mergeCell ref="B18:B19"/>
    <mergeCell ref="C18:C19"/>
    <mergeCell ref="D18:D19"/>
    <mergeCell ref="B31:D31"/>
    <mergeCell ref="B45:B46"/>
    <mergeCell ref="C45:C46"/>
    <mergeCell ref="D45:M45"/>
    <mergeCell ref="B33:B34"/>
    <mergeCell ref="C33:C34"/>
    <mergeCell ref="D33:M3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T50"/>
  <sheetViews>
    <sheetView showGridLines="0" topLeftCell="C3" zoomScale="70" zoomScaleNormal="70" workbookViewId="0">
      <selection activeCell="M43" sqref="M43"/>
    </sheetView>
  </sheetViews>
  <sheetFormatPr baseColWidth="10" defaultRowHeight="15"/>
  <cols>
    <col min="1" max="1" width="34.85546875" customWidth="1"/>
    <col min="2" max="2" width="12.5703125" customWidth="1"/>
    <col min="3" max="3" width="19.140625" customWidth="1"/>
    <col min="4" max="4" width="12.140625" bestFit="1" customWidth="1"/>
    <col min="6" max="6" width="21.140625" customWidth="1"/>
    <col min="7" max="7" width="14.28515625" bestFit="1" customWidth="1"/>
    <col min="8" max="8" width="13.140625" bestFit="1" customWidth="1"/>
    <col min="9" max="9" width="16" customWidth="1"/>
    <col min="10" max="13" width="13.140625" bestFit="1" customWidth="1"/>
    <col min="14" max="14" width="13.42578125" customWidth="1"/>
    <col min="15" max="15" width="13.140625" bestFit="1" customWidth="1"/>
    <col min="16" max="18" width="13.42578125" customWidth="1"/>
    <col min="19" max="19" width="13.42578125" bestFit="1" customWidth="1"/>
  </cols>
  <sheetData>
    <row r="1" spans="1:20" ht="15.75" thickBot="1"/>
    <row r="2" spans="1:20" ht="38.25">
      <c r="A2" s="140" t="s">
        <v>10</v>
      </c>
      <c r="B2" s="3" t="s">
        <v>6</v>
      </c>
      <c r="C2" s="3" t="s">
        <v>11</v>
      </c>
      <c r="D2" s="3" t="s">
        <v>12</v>
      </c>
      <c r="E2" s="3" t="s">
        <v>13</v>
      </c>
      <c r="F2" s="29" t="s">
        <v>14</v>
      </c>
      <c r="G2" s="142" t="s">
        <v>15</v>
      </c>
      <c r="H2" s="143"/>
      <c r="I2" s="143"/>
      <c r="J2" s="143"/>
      <c r="K2" s="143"/>
      <c r="L2" s="143"/>
      <c r="M2" s="143"/>
      <c r="N2" s="143"/>
      <c r="O2" s="143"/>
      <c r="P2" s="143"/>
      <c r="Q2" s="144"/>
      <c r="R2" s="144"/>
      <c r="S2" s="145"/>
    </row>
    <row r="3" spans="1:20" ht="18.75" thickBot="1">
      <c r="A3" s="141"/>
      <c r="B3" s="12" t="s">
        <v>16</v>
      </c>
      <c r="C3" s="12" t="s">
        <v>17</v>
      </c>
      <c r="D3" s="12" t="s">
        <v>18</v>
      </c>
      <c r="E3" s="12" t="s">
        <v>18</v>
      </c>
      <c r="F3" s="30" t="s">
        <v>19</v>
      </c>
      <c r="G3" s="36">
        <v>0</v>
      </c>
      <c r="H3" s="13">
        <v>1</v>
      </c>
      <c r="I3" s="13">
        <v>2</v>
      </c>
      <c r="J3" s="13">
        <v>3</v>
      </c>
      <c r="K3" s="13">
        <v>4</v>
      </c>
      <c r="L3" s="13">
        <v>5</v>
      </c>
      <c r="M3" s="13">
        <v>6</v>
      </c>
      <c r="N3" s="13">
        <v>7</v>
      </c>
      <c r="O3" s="13">
        <v>8</v>
      </c>
      <c r="P3" s="13">
        <v>9</v>
      </c>
      <c r="Q3" s="76">
        <v>10</v>
      </c>
      <c r="R3" s="76">
        <v>11</v>
      </c>
      <c r="S3" s="14">
        <v>12</v>
      </c>
      <c r="T3" s="68" t="s">
        <v>33</v>
      </c>
    </row>
    <row r="4" spans="1:20">
      <c r="A4" s="25" t="str">
        <f>Activos!B6</f>
        <v>Software Core</v>
      </c>
      <c r="B4" s="8"/>
      <c r="C4" s="8">
        <f>Activos!E6</f>
        <v>70000000</v>
      </c>
      <c r="D4" s="8">
        <f>Activos!F6</f>
        <v>10</v>
      </c>
      <c r="E4" s="8">
        <f>Activos!G6</f>
        <v>10</v>
      </c>
      <c r="F4" s="8">
        <f>Activos!H6</f>
        <v>7000000</v>
      </c>
      <c r="G4" s="9">
        <f>C4</f>
        <v>70000000</v>
      </c>
      <c r="H4" s="10"/>
      <c r="I4" s="10"/>
      <c r="J4" s="10"/>
      <c r="K4" s="10"/>
      <c r="L4" s="10"/>
      <c r="M4" s="10"/>
      <c r="N4" s="8"/>
      <c r="O4" s="9"/>
      <c r="P4" s="10"/>
      <c r="Q4" s="77"/>
      <c r="R4" s="77"/>
      <c r="S4" s="11"/>
      <c r="T4" s="68"/>
    </row>
    <row r="5" spans="1:20">
      <c r="A5" s="25" t="str">
        <f>Activos!B7</f>
        <v>Terreno</v>
      </c>
      <c r="B5" s="8"/>
      <c r="C5" s="8">
        <f>Activos!E7</f>
        <v>50000000</v>
      </c>
      <c r="D5" s="8">
        <f>Activos!F7</f>
        <v>0</v>
      </c>
      <c r="E5" s="8">
        <f>Activos!G7</f>
        <v>0</v>
      </c>
      <c r="F5" s="8">
        <f>Activos!H7</f>
        <v>80000000</v>
      </c>
      <c r="G5" s="9">
        <f t="shared" ref="G5:G6" si="0">C5</f>
        <v>50000000</v>
      </c>
      <c r="H5" s="1"/>
      <c r="I5" s="1"/>
      <c r="J5" s="1"/>
      <c r="K5" s="1"/>
      <c r="L5" s="1"/>
      <c r="M5" s="1"/>
      <c r="N5" s="23"/>
      <c r="O5" s="1"/>
      <c r="P5" s="1"/>
      <c r="Q5" s="78"/>
      <c r="R5" s="78"/>
      <c r="S5" s="37"/>
      <c r="T5" s="68"/>
    </row>
    <row r="6" spans="1:20">
      <c r="A6" s="25" t="str">
        <f>Activos!B8</f>
        <v>Instalaciones</v>
      </c>
      <c r="B6" s="8"/>
      <c r="C6" s="8">
        <f>Activos!E8</f>
        <v>20000000</v>
      </c>
      <c r="D6" s="8">
        <f>Activos!F8</f>
        <v>50</v>
      </c>
      <c r="E6" s="8">
        <f>Activos!G8</f>
        <v>50</v>
      </c>
      <c r="F6" s="8">
        <f>Activos!H8</f>
        <v>1000000</v>
      </c>
      <c r="G6" s="9">
        <f t="shared" si="0"/>
        <v>20000000</v>
      </c>
      <c r="H6" s="1"/>
      <c r="I6" s="1"/>
      <c r="J6" s="1"/>
      <c r="K6" s="1"/>
      <c r="L6" s="1"/>
      <c r="M6" s="1"/>
      <c r="N6" s="28"/>
      <c r="O6" s="1"/>
      <c r="P6" s="1"/>
      <c r="Q6" s="78"/>
      <c r="R6" s="78"/>
      <c r="S6" s="37"/>
      <c r="T6" s="68"/>
    </row>
    <row r="7" spans="1:20">
      <c r="A7" s="25"/>
      <c r="B7" s="8"/>
      <c r="C7" s="8"/>
      <c r="D7" s="8"/>
      <c r="E7" s="8"/>
      <c r="F7" s="31"/>
      <c r="G7" s="9"/>
      <c r="H7" s="1"/>
      <c r="I7" s="1"/>
      <c r="J7" s="1"/>
      <c r="K7" s="1"/>
      <c r="L7" s="1"/>
      <c r="M7" s="1"/>
      <c r="N7" s="1"/>
      <c r="O7" s="1"/>
      <c r="P7" s="1"/>
      <c r="Q7" s="78"/>
      <c r="R7" s="78"/>
      <c r="S7" s="7"/>
      <c r="T7" s="68"/>
    </row>
    <row r="8" spans="1:20" ht="15.75" thickBot="1">
      <c r="A8" s="21" t="s">
        <v>27</v>
      </c>
      <c r="B8" s="4"/>
      <c r="C8" s="5"/>
      <c r="D8" s="6"/>
      <c r="E8" s="6"/>
      <c r="F8" s="32"/>
      <c r="G8" s="27">
        <f t="shared" ref="G8:S8" si="1">SUM(G4:G7)</f>
        <v>140000000</v>
      </c>
      <c r="H8" s="18">
        <f t="shared" si="1"/>
        <v>0</v>
      </c>
      <c r="I8" s="18">
        <f t="shared" si="1"/>
        <v>0</v>
      </c>
      <c r="J8" s="18">
        <f t="shared" si="1"/>
        <v>0</v>
      </c>
      <c r="K8" s="18">
        <f t="shared" si="1"/>
        <v>0</v>
      </c>
      <c r="L8" s="18">
        <f t="shared" si="1"/>
        <v>0</v>
      </c>
      <c r="M8" s="18">
        <f t="shared" si="1"/>
        <v>0</v>
      </c>
      <c r="N8" s="18">
        <f t="shared" si="1"/>
        <v>0</v>
      </c>
      <c r="O8" s="18">
        <f t="shared" si="1"/>
        <v>0</v>
      </c>
      <c r="P8" s="18">
        <f t="shared" si="1"/>
        <v>0</v>
      </c>
      <c r="Q8" s="18">
        <f t="shared" ref="Q8" si="2">SUM(Q4:Q7)</f>
        <v>0</v>
      </c>
      <c r="R8" s="18">
        <f t="shared" ref="R8" si="3">SUM(R4:R7)</f>
        <v>0</v>
      </c>
      <c r="S8" s="38">
        <f t="shared" si="1"/>
        <v>0</v>
      </c>
      <c r="T8" s="68"/>
    </row>
    <row r="9" spans="1:20" ht="7.5" customHeight="1">
      <c r="T9" s="69">
        <f>SUM(T4:T8)</f>
        <v>0</v>
      </c>
    </row>
    <row r="10" spans="1:20" ht="15.75" thickBot="1"/>
    <row r="11" spans="1:20" ht="38.25">
      <c r="A11" s="140" t="s">
        <v>10</v>
      </c>
      <c r="B11" s="3" t="s">
        <v>6</v>
      </c>
      <c r="C11" s="3" t="s">
        <v>11</v>
      </c>
      <c r="D11" s="3" t="s">
        <v>12</v>
      </c>
      <c r="E11" s="3" t="s">
        <v>13</v>
      </c>
      <c r="F11" s="29" t="s">
        <v>14</v>
      </c>
      <c r="G11" s="142" t="s">
        <v>20</v>
      </c>
      <c r="H11" s="143"/>
      <c r="I11" s="143"/>
      <c r="J11" s="143"/>
      <c r="K11" s="143"/>
      <c r="L11" s="143"/>
      <c r="M11" s="143"/>
      <c r="N11" s="143"/>
      <c r="O11" s="143"/>
      <c r="P11" s="143"/>
      <c r="Q11" s="144"/>
      <c r="R11" s="144"/>
      <c r="S11" s="145"/>
    </row>
    <row r="12" spans="1:20" ht="18.75" thickBot="1">
      <c r="A12" s="141"/>
      <c r="B12" s="12" t="s">
        <v>16</v>
      </c>
      <c r="C12" s="12" t="s">
        <v>17</v>
      </c>
      <c r="D12" s="12" t="s">
        <v>18</v>
      </c>
      <c r="E12" s="12" t="s">
        <v>18</v>
      </c>
      <c r="F12" s="30" t="s">
        <v>19</v>
      </c>
      <c r="G12" s="36">
        <v>0</v>
      </c>
      <c r="H12" s="13">
        <v>1</v>
      </c>
      <c r="I12" s="13">
        <v>2</v>
      </c>
      <c r="J12" s="13">
        <v>3</v>
      </c>
      <c r="K12" s="13">
        <v>4</v>
      </c>
      <c r="L12" s="17">
        <v>5</v>
      </c>
      <c r="M12" s="13">
        <v>6</v>
      </c>
      <c r="N12" s="13">
        <v>7</v>
      </c>
      <c r="O12" s="13">
        <v>8</v>
      </c>
      <c r="P12" s="13">
        <v>9</v>
      </c>
      <c r="Q12" s="76">
        <v>10</v>
      </c>
      <c r="R12" s="76">
        <v>11</v>
      </c>
      <c r="S12" s="14">
        <v>12</v>
      </c>
      <c r="T12" s="68" t="s">
        <v>33</v>
      </c>
    </row>
    <row r="13" spans="1:20">
      <c r="A13" s="25" t="str">
        <f>A4</f>
        <v>Software Core</v>
      </c>
      <c r="B13" s="172">
        <f t="shared" ref="B13:F13" si="4">B4</f>
        <v>0</v>
      </c>
      <c r="C13" s="172">
        <f t="shared" si="4"/>
        <v>70000000</v>
      </c>
      <c r="D13" s="172">
        <f t="shared" si="4"/>
        <v>10</v>
      </c>
      <c r="E13" s="172">
        <f t="shared" si="4"/>
        <v>10</v>
      </c>
      <c r="F13" s="171">
        <f t="shared" si="4"/>
        <v>7000000</v>
      </c>
      <c r="G13" s="39"/>
      <c r="H13" s="16">
        <f>$C$13/$D$13</f>
        <v>7000000</v>
      </c>
      <c r="I13" s="16">
        <f t="shared" ref="I13:M13" si="5">$C$13/$D$13</f>
        <v>7000000</v>
      </c>
      <c r="J13" s="16">
        <f t="shared" si="5"/>
        <v>7000000</v>
      </c>
      <c r="K13" s="16">
        <f t="shared" si="5"/>
        <v>7000000</v>
      </c>
      <c r="L13" s="16">
        <f t="shared" si="5"/>
        <v>7000000</v>
      </c>
      <c r="M13" s="16">
        <f t="shared" si="5"/>
        <v>7000000</v>
      </c>
      <c r="N13" s="16"/>
      <c r="O13" s="16"/>
      <c r="P13" s="16"/>
      <c r="Q13" s="79"/>
      <c r="R13" s="79"/>
      <c r="S13" s="40"/>
      <c r="T13" s="68"/>
    </row>
    <row r="14" spans="1:20">
      <c r="A14" s="25" t="str">
        <f t="shared" ref="A14:F15" si="6">A5</f>
        <v>Terreno</v>
      </c>
      <c r="B14" s="172">
        <f t="shared" si="6"/>
        <v>0</v>
      </c>
      <c r="C14" s="172">
        <f t="shared" si="6"/>
        <v>50000000</v>
      </c>
      <c r="D14" s="172">
        <f t="shared" si="6"/>
        <v>0</v>
      </c>
      <c r="E14" s="172">
        <f t="shared" si="6"/>
        <v>0</v>
      </c>
      <c r="F14" s="171">
        <f t="shared" si="6"/>
        <v>80000000</v>
      </c>
      <c r="G14" s="41"/>
      <c r="H14" s="2"/>
      <c r="I14" s="2"/>
      <c r="J14" s="2"/>
      <c r="K14" s="2"/>
      <c r="L14" s="2"/>
      <c r="M14" s="2"/>
      <c r="N14" s="2"/>
      <c r="O14" s="2"/>
      <c r="P14" s="2"/>
      <c r="Q14" s="80"/>
      <c r="R14" s="80"/>
      <c r="S14" s="42"/>
      <c r="T14" s="68"/>
    </row>
    <row r="15" spans="1:20">
      <c r="A15" s="25" t="str">
        <f t="shared" si="6"/>
        <v>Instalaciones</v>
      </c>
      <c r="B15" s="172">
        <f t="shared" si="6"/>
        <v>0</v>
      </c>
      <c r="C15" s="172">
        <f t="shared" si="6"/>
        <v>20000000</v>
      </c>
      <c r="D15" s="172">
        <f t="shared" si="6"/>
        <v>50</v>
      </c>
      <c r="E15" s="172">
        <f t="shared" si="6"/>
        <v>50</v>
      </c>
      <c r="F15" s="171">
        <f t="shared" si="6"/>
        <v>1000000</v>
      </c>
      <c r="G15" s="41"/>
      <c r="H15" s="2">
        <f>$C$15/$D$15</f>
        <v>400000</v>
      </c>
      <c r="I15" s="2">
        <f t="shared" ref="I15:M15" si="7">$C$15/$D$15</f>
        <v>400000</v>
      </c>
      <c r="J15" s="2">
        <f t="shared" si="7"/>
        <v>400000</v>
      </c>
      <c r="K15" s="2">
        <f t="shared" si="7"/>
        <v>400000</v>
      </c>
      <c r="L15" s="2">
        <f t="shared" si="7"/>
        <v>400000</v>
      </c>
      <c r="M15" s="2">
        <f t="shared" si="7"/>
        <v>400000</v>
      </c>
      <c r="N15" s="2"/>
      <c r="O15" s="2"/>
      <c r="P15" s="2"/>
      <c r="Q15" s="80"/>
      <c r="R15" s="80"/>
      <c r="S15" s="42"/>
      <c r="T15" s="68"/>
    </row>
    <row r="16" spans="1:20">
      <c r="A16" s="25"/>
      <c r="B16" s="8"/>
      <c r="C16" s="8"/>
      <c r="D16" s="8"/>
      <c r="E16" s="8"/>
      <c r="F16" s="31"/>
      <c r="G16" s="41"/>
      <c r="H16" s="2"/>
      <c r="I16" s="2"/>
      <c r="J16" s="2"/>
      <c r="K16" s="2"/>
      <c r="L16" s="2"/>
      <c r="M16" s="2"/>
      <c r="N16" s="2"/>
      <c r="O16" s="2"/>
      <c r="P16" s="2"/>
      <c r="Q16" s="80"/>
      <c r="R16" s="80"/>
      <c r="S16" s="42"/>
      <c r="T16" s="68"/>
    </row>
    <row r="17" spans="1:20" ht="15.75" thickBot="1">
      <c r="A17" s="22" t="s">
        <v>27</v>
      </c>
      <c r="B17" s="15"/>
      <c r="C17" s="5"/>
      <c r="D17" s="6"/>
      <c r="E17" s="6"/>
      <c r="F17" s="32"/>
      <c r="G17" s="27">
        <f t="shared" ref="G17:S17" si="8">SUM(G13:G16)</f>
        <v>0</v>
      </c>
      <c r="H17" s="27">
        <f t="shared" si="8"/>
        <v>7400000</v>
      </c>
      <c r="I17" s="27">
        <f t="shared" si="8"/>
        <v>7400000</v>
      </c>
      <c r="J17" s="27">
        <f t="shared" si="8"/>
        <v>7400000</v>
      </c>
      <c r="K17" s="27">
        <f t="shared" si="8"/>
        <v>7400000</v>
      </c>
      <c r="L17" s="27">
        <f t="shared" si="8"/>
        <v>7400000</v>
      </c>
      <c r="M17" s="27">
        <f t="shared" si="8"/>
        <v>7400000</v>
      </c>
      <c r="N17" s="27">
        <f t="shared" si="8"/>
        <v>0</v>
      </c>
      <c r="O17" s="27">
        <f t="shared" si="8"/>
        <v>0</v>
      </c>
      <c r="P17" s="27">
        <f t="shared" si="8"/>
        <v>0</v>
      </c>
      <c r="Q17" s="27">
        <f t="shared" ref="Q17" si="9">SUM(Q13:Q16)</f>
        <v>0</v>
      </c>
      <c r="R17" s="27">
        <f t="shared" ref="R17" si="10">SUM(R13:R16)</f>
        <v>0</v>
      </c>
      <c r="S17" s="27">
        <f t="shared" si="8"/>
        <v>0</v>
      </c>
      <c r="T17" s="68"/>
    </row>
    <row r="18" spans="1:20" ht="10.5" customHeight="1">
      <c r="T18" s="69">
        <f>SUM(T13:T17)</f>
        <v>0</v>
      </c>
    </row>
    <row r="19" spans="1:20" ht="11.25" customHeight="1" thickBot="1"/>
    <row r="20" spans="1:20" ht="38.25">
      <c r="A20" s="140" t="s">
        <v>10</v>
      </c>
      <c r="B20" s="3" t="s">
        <v>6</v>
      </c>
      <c r="C20" s="3" t="s">
        <v>11</v>
      </c>
      <c r="D20" s="3" t="s">
        <v>12</v>
      </c>
      <c r="E20" s="3" t="s">
        <v>13</v>
      </c>
      <c r="F20" s="29" t="s">
        <v>14</v>
      </c>
      <c r="G20" s="142" t="s">
        <v>21</v>
      </c>
      <c r="H20" s="143"/>
      <c r="I20" s="143"/>
      <c r="J20" s="143"/>
      <c r="K20" s="143"/>
      <c r="L20" s="143"/>
      <c r="M20" s="143"/>
      <c r="N20" s="143"/>
      <c r="O20" s="143"/>
      <c r="P20" s="143"/>
      <c r="Q20" s="144"/>
      <c r="R20" s="144"/>
      <c r="S20" s="145"/>
    </row>
    <row r="21" spans="1:20" ht="18.75" thickBot="1">
      <c r="A21" s="141"/>
      <c r="B21" s="12" t="s">
        <v>16</v>
      </c>
      <c r="C21" s="12" t="s">
        <v>17</v>
      </c>
      <c r="D21" s="12" t="s">
        <v>18</v>
      </c>
      <c r="E21" s="12" t="s">
        <v>18</v>
      </c>
      <c r="F21" s="30" t="s">
        <v>19</v>
      </c>
      <c r="G21" s="36">
        <v>0</v>
      </c>
      <c r="H21" s="13">
        <v>1</v>
      </c>
      <c r="I21" s="13">
        <v>2</v>
      </c>
      <c r="J21" s="17">
        <v>3</v>
      </c>
      <c r="K21" s="13">
        <v>4</v>
      </c>
      <c r="L21" s="13">
        <v>5</v>
      </c>
      <c r="M21" s="17">
        <v>6</v>
      </c>
      <c r="N21" s="13">
        <v>7</v>
      </c>
      <c r="O21" s="13">
        <v>8</v>
      </c>
      <c r="P21" s="17">
        <v>9</v>
      </c>
      <c r="Q21" s="76">
        <v>10</v>
      </c>
      <c r="R21" s="76">
        <v>11</v>
      </c>
      <c r="S21" s="14">
        <v>12</v>
      </c>
      <c r="T21" s="68" t="s">
        <v>33</v>
      </c>
    </row>
    <row r="22" spans="1:20">
      <c r="A22" s="25" t="str">
        <f>A4</f>
        <v>Software Core</v>
      </c>
      <c r="B22" s="172">
        <f t="shared" ref="B22:F22" si="11">B4</f>
        <v>0</v>
      </c>
      <c r="C22" s="172">
        <f t="shared" si="11"/>
        <v>70000000</v>
      </c>
      <c r="D22" s="172">
        <f t="shared" si="11"/>
        <v>10</v>
      </c>
      <c r="E22" s="172">
        <f t="shared" si="11"/>
        <v>10</v>
      </c>
      <c r="F22" s="171">
        <f t="shared" si="11"/>
        <v>7000000</v>
      </c>
      <c r="G22" s="39"/>
      <c r="H22" s="16"/>
      <c r="I22" s="16"/>
      <c r="J22" s="16"/>
      <c r="K22" s="16"/>
      <c r="L22" s="16"/>
      <c r="M22" s="16"/>
      <c r="N22" s="16"/>
      <c r="O22" s="16"/>
      <c r="P22" s="16"/>
      <c r="Q22" s="79"/>
      <c r="R22" s="79"/>
      <c r="S22" s="40"/>
      <c r="T22" s="68"/>
    </row>
    <row r="23" spans="1:20">
      <c r="A23" s="25" t="str">
        <f t="shared" ref="A23:F25" si="12">A5</f>
        <v>Terreno</v>
      </c>
      <c r="B23" s="172">
        <f t="shared" si="12"/>
        <v>0</v>
      </c>
      <c r="C23" s="172">
        <f t="shared" si="12"/>
        <v>50000000</v>
      </c>
      <c r="D23" s="172">
        <f t="shared" si="12"/>
        <v>0</v>
      </c>
      <c r="E23" s="172">
        <f t="shared" si="12"/>
        <v>0</v>
      </c>
      <c r="F23" s="171">
        <f t="shared" si="12"/>
        <v>80000000</v>
      </c>
      <c r="G23" s="41"/>
      <c r="H23" s="2"/>
      <c r="I23" s="2"/>
      <c r="J23" s="2"/>
      <c r="K23" s="2"/>
      <c r="L23" s="2"/>
      <c r="M23" s="2"/>
      <c r="N23" s="2"/>
      <c r="O23" s="2"/>
      <c r="P23" s="2"/>
      <c r="Q23" s="80"/>
      <c r="R23" s="80"/>
      <c r="S23" s="42"/>
      <c r="T23" s="68"/>
    </row>
    <row r="24" spans="1:20">
      <c r="A24" s="25" t="str">
        <f t="shared" si="12"/>
        <v>Instalaciones</v>
      </c>
      <c r="B24" s="172">
        <f t="shared" si="12"/>
        <v>0</v>
      </c>
      <c r="C24" s="172">
        <f t="shared" si="12"/>
        <v>20000000</v>
      </c>
      <c r="D24" s="172">
        <f t="shared" si="12"/>
        <v>50</v>
      </c>
      <c r="E24" s="172">
        <f t="shared" si="12"/>
        <v>50</v>
      </c>
      <c r="F24" s="171">
        <f t="shared" si="12"/>
        <v>1000000</v>
      </c>
      <c r="G24" s="41"/>
      <c r="H24" s="2"/>
      <c r="I24" s="2"/>
      <c r="J24" s="2"/>
      <c r="K24" s="2"/>
      <c r="L24" s="2"/>
      <c r="M24" s="2"/>
      <c r="N24" s="2"/>
      <c r="O24" s="2"/>
      <c r="P24" s="2"/>
      <c r="Q24" s="80"/>
      <c r="R24" s="80"/>
      <c r="S24" s="42"/>
      <c r="T24" s="68"/>
    </row>
    <row r="25" spans="1:20">
      <c r="A25" s="25"/>
      <c r="B25" s="25"/>
      <c r="C25" s="25"/>
      <c r="D25" s="25"/>
      <c r="E25" s="25"/>
      <c r="F25" s="25"/>
      <c r="G25" s="41"/>
      <c r="H25" s="2"/>
      <c r="I25" s="2"/>
      <c r="J25" s="2"/>
      <c r="K25" s="2"/>
      <c r="L25" s="2"/>
      <c r="M25" s="2"/>
      <c r="N25" s="2"/>
      <c r="O25" s="2"/>
      <c r="P25" s="2"/>
      <c r="Q25" s="80"/>
      <c r="R25" s="80"/>
      <c r="S25" s="42"/>
      <c r="T25" s="68"/>
    </row>
    <row r="26" spans="1:20" ht="15.75" thickBot="1">
      <c r="A26" s="22" t="s">
        <v>27</v>
      </c>
      <c r="B26" s="15"/>
      <c r="C26" s="5"/>
      <c r="D26" s="6"/>
      <c r="E26" s="6"/>
      <c r="F26" s="32"/>
      <c r="G26" s="27">
        <f t="shared" ref="G26:S26" si="13">SUM(G22:G25)</f>
        <v>0</v>
      </c>
      <c r="H26" s="27">
        <f t="shared" si="13"/>
        <v>0</v>
      </c>
      <c r="I26" s="27">
        <f t="shared" si="13"/>
        <v>0</v>
      </c>
      <c r="J26" s="27">
        <f t="shared" si="13"/>
        <v>0</v>
      </c>
      <c r="K26" s="27">
        <f t="shared" si="13"/>
        <v>0</v>
      </c>
      <c r="L26" s="27">
        <f t="shared" si="13"/>
        <v>0</v>
      </c>
      <c r="M26" s="27">
        <f t="shared" si="13"/>
        <v>0</v>
      </c>
      <c r="N26" s="27">
        <f t="shared" si="13"/>
        <v>0</v>
      </c>
      <c r="O26" s="27">
        <f t="shared" si="13"/>
        <v>0</v>
      </c>
      <c r="P26" s="27">
        <f t="shared" si="13"/>
        <v>0</v>
      </c>
      <c r="Q26" s="27">
        <f t="shared" ref="Q26" si="14">SUM(Q22:Q25)</f>
        <v>0</v>
      </c>
      <c r="R26" s="27">
        <f t="shared" ref="R26" si="15">SUM(R22:R25)</f>
        <v>0</v>
      </c>
      <c r="S26" s="27">
        <f t="shared" si="13"/>
        <v>0</v>
      </c>
      <c r="T26" s="68"/>
    </row>
    <row r="27" spans="1:20" ht="8.25" customHeight="1">
      <c r="T27" s="69">
        <f>SUM(T22:T26)</f>
        <v>0</v>
      </c>
    </row>
    <row r="28" spans="1:20" ht="10.5" customHeight="1" thickBot="1"/>
    <row r="29" spans="1:20" ht="38.25">
      <c r="A29" s="140" t="s">
        <v>10</v>
      </c>
      <c r="B29" s="3" t="s">
        <v>6</v>
      </c>
      <c r="C29" s="3" t="s">
        <v>11</v>
      </c>
      <c r="D29" s="3" t="s">
        <v>12</v>
      </c>
      <c r="E29" s="3" t="s">
        <v>13</v>
      </c>
      <c r="F29" s="29" t="s">
        <v>14</v>
      </c>
      <c r="G29" s="142" t="s">
        <v>22</v>
      </c>
      <c r="H29" s="143"/>
      <c r="I29" s="143"/>
      <c r="J29" s="143"/>
      <c r="K29" s="143"/>
      <c r="L29" s="143"/>
      <c r="M29" s="143"/>
      <c r="N29" s="143"/>
      <c r="O29" s="143"/>
      <c r="P29" s="143"/>
      <c r="Q29" s="144"/>
      <c r="R29" s="144"/>
      <c r="S29" s="145"/>
    </row>
    <row r="30" spans="1:20" ht="18.75" thickBot="1">
      <c r="A30" s="141"/>
      <c r="B30" s="12" t="s">
        <v>16</v>
      </c>
      <c r="C30" s="12" t="s">
        <v>17</v>
      </c>
      <c r="D30" s="12" t="s">
        <v>18</v>
      </c>
      <c r="E30" s="12" t="s">
        <v>18</v>
      </c>
      <c r="F30" s="30" t="s">
        <v>19</v>
      </c>
      <c r="G30" s="36">
        <v>0</v>
      </c>
      <c r="H30" s="13">
        <v>1</v>
      </c>
      <c r="I30" s="13">
        <v>2</v>
      </c>
      <c r="J30" s="17">
        <v>3</v>
      </c>
      <c r="K30" s="13">
        <v>4</v>
      </c>
      <c r="L30" s="13">
        <v>5</v>
      </c>
      <c r="M30" s="17">
        <v>6</v>
      </c>
      <c r="N30" s="13">
        <v>7</v>
      </c>
      <c r="O30" s="13">
        <v>8</v>
      </c>
      <c r="P30" s="17">
        <v>9</v>
      </c>
      <c r="Q30" s="76">
        <v>10</v>
      </c>
      <c r="R30" s="76">
        <v>11</v>
      </c>
      <c r="S30" s="14">
        <v>12</v>
      </c>
      <c r="T30" s="68" t="s">
        <v>33</v>
      </c>
    </row>
    <row r="31" spans="1:20">
      <c r="A31" s="25" t="str">
        <f>A4</f>
        <v>Software Core</v>
      </c>
      <c r="B31" s="170">
        <f t="shared" ref="B31:F31" si="16">B4</f>
        <v>0</v>
      </c>
      <c r="C31" s="171">
        <f t="shared" si="16"/>
        <v>70000000</v>
      </c>
      <c r="D31" s="170">
        <f t="shared" si="16"/>
        <v>10</v>
      </c>
      <c r="E31" s="170">
        <f t="shared" si="16"/>
        <v>10</v>
      </c>
      <c r="F31" s="171">
        <f t="shared" si="16"/>
        <v>7000000</v>
      </c>
      <c r="G31" s="39"/>
      <c r="H31" s="16"/>
      <c r="I31" s="16"/>
      <c r="J31" s="16"/>
      <c r="K31" s="16"/>
      <c r="L31" s="16"/>
      <c r="M31" s="16">
        <f>F31</f>
        <v>7000000</v>
      </c>
      <c r="N31" s="16"/>
      <c r="O31" s="16"/>
      <c r="P31" s="16"/>
      <c r="Q31" s="79"/>
      <c r="R31" s="79"/>
      <c r="S31" s="40"/>
      <c r="T31" s="68"/>
    </row>
    <row r="32" spans="1:20">
      <c r="A32" s="25" t="str">
        <f t="shared" ref="A32:F33" si="17">A5</f>
        <v>Terreno</v>
      </c>
      <c r="B32" s="170">
        <f t="shared" si="17"/>
        <v>0</v>
      </c>
      <c r="C32" s="171">
        <f t="shared" si="17"/>
        <v>50000000</v>
      </c>
      <c r="D32" s="170">
        <f t="shared" si="17"/>
        <v>0</v>
      </c>
      <c r="E32" s="170">
        <f t="shared" si="17"/>
        <v>0</v>
      </c>
      <c r="F32" s="171">
        <f t="shared" si="17"/>
        <v>80000000</v>
      </c>
      <c r="G32" s="41"/>
      <c r="H32" s="2"/>
      <c r="I32" s="16"/>
      <c r="J32" s="2"/>
      <c r="K32" s="2"/>
      <c r="L32" s="2"/>
      <c r="M32" s="16">
        <f t="shared" ref="M32:M33" si="18">F32</f>
        <v>80000000</v>
      </c>
      <c r="N32" s="2"/>
      <c r="O32" s="2"/>
      <c r="P32" s="2"/>
      <c r="Q32" s="80"/>
      <c r="R32" s="80"/>
      <c r="S32" s="42"/>
      <c r="T32" s="68"/>
    </row>
    <row r="33" spans="1:20">
      <c r="A33" s="25" t="str">
        <f t="shared" si="17"/>
        <v>Instalaciones</v>
      </c>
      <c r="B33" s="170">
        <f t="shared" si="17"/>
        <v>0</v>
      </c>
      <c r="C33" s="171">
        <f t="shared" si="17"/>
        <v>20000000</v>
      </c>
      <c r="D33" s="170">
        <f t="shared" si="17"/>
        <v>50</v>
      </c>
      <c r="E33" s="170">
        <f t="shared" si="17"/>
        <v>50</v>
      </c>
      <c r="F33" s="171">
        <f t="shared" si="17"/>
        <v>1000000</v>
      </c>
      <c r="G33" s="41"/>
      <c r="H33" s="2"/>
      <c r="I33" s="2"/>
      <c r="J33" s="2"/>
      <c r="K33" s="2"/>
      <c r="L33" s="2"/>
      <c r="M33" s="16">
        <f t="shared" si="18"/>
        <v>1000000</v>
      </c>
      <c r="N33" s="2"/>
      <c r="O33" s="2"/>
      <c r="P33" s="2"/>
      <c r="Q33" s="80"/>
      <c r="R33" s="80"/>
      <c r="S33" s="42"/>
      <c r="T33" s="68"/>
    </row>
    <row r="34" spans="1:20">
      <c r="A34" s="25"/>
      <c r="B34" s="8"/>
      <c r="C34" s="8"/>
      <c r="D34" s="8"/>
      <c r="E34" s="8"/>
      <c r="F34" s="31"/>
      <c r="G34" s="41"/>
      <c r="H34" s="2"/>
      <c r="I34" s="2"/>
      <c r="J34" s="2"/>
      <c r="K34" s="2"/>
      <c r="L34" s="2"/>
      <c r="M34" s="2"/>
      <c r="N34" s="2"/>
      <c r="O34" s="2"/>
      <c r="P34" s="2"/>
      <c r="Q34" s="80"/>
      <c r="R34" s="80"/>
      <c r="S34" s="42"/>
      <c r="T34" s="68"/>
    </row>
    <row r="35" spans="1:20" ht="15.75" thickBot="1">
      <c r="A35" s="26" t="s">
        <v>27</v>
      </c>
      <c r="B35" s="15"/>
      <c r="C35" s="5"/>
      <c r="D35" s="6"/>
      <c r="E35" s="6"/>
      <c r="F35" s="32"/>
      <c r="G35" s="27">
        <f t="shared" ref="G35:S35" si="19">SUM(G31:G34)</f>
        <v>0</v>
      </c>
      <c r="H35" s="27">
        <f t="shared" si="19"/>
        <v>0</v>
      </c>
      <c r="I35" s="27">
        <f t="shared" si="19"/>
        <v>0</v>
      </c>
      <c r="J35" s="27">
        <f t="shared" si="19"/>
        <v>0</v>
      </c>
      <c r="K35" s="27">
        <f t="shared" si="19"/>
        <v>0</v>
      </c>
      <c r="L35" s="27">
        <f t="shared" si="19"/>
        <v>0</v>
      </c>
      <c r="M35" s="27">
        <f t="shared" si="19"/>
        <v>88000000</v>
      </c>
      <c r="N35" s="27">
        <f t="shared" si="19"/>
        <v>0</v>
      </c>
      <c r="O35" s="27">
        <f t="shared" si="19"/>
        <v>0</v>
      </c>
      <c r="P35" s="27">
        <f t="shared" si="19"/>
        <v>0</v>
      </c>
      <c r="Q35" s="27">
        <f t="shared" ref="Q35" si="20">SUM(Q31:Q34)</f>
        <v>0</v>
      </c>
      <c r="R35" s="27">
        <f t="shared" ref="R35" si="21">SUM(R31:R34)</f>
        <v>0</v>
      </c>
      <c r="S35" s="27">
        <f t="shared" si="19"/>
        <v>0</v>
      </c>
      <c r="T35" s="68"/>
    </row>
    <row r="36" spans="1:20" ht="24" thickBot="1">
      <c r="T36" s="69">
        <f>SUM(T31:T35)</f>
        <v>0</v>
      </c>
    </row>
    <row r="37" spans="1:20" ht="38.25">
      <c r="A37" s="140" t="s">
        <v>10</v>
      </c>
      <c r="B37" s="3" t="s">
        <v>6</v>
      </c>
      <c r="C37" s="3" t="s">
        <v>11</v>
      </c>
      <c r="D37" s="3" t="s">
        <v>12</v>
      </c>
      <c r="E37" s="3" t="s">
        <v>13</v>
      </c>
      <c r="F37" s="29" t="s">
        <v>14</v>
      </c>
      <c r="G37" s="164" t="s">
        <v>121</v>
      </c>
      <c r="H37" s="165"/>
      <c r="I37" s="165"/>
      <c r="J37" s="165"/>
      <c r="K37" s="165"/>
      <c r="L37" s="165"/>
      <c r="M37" s="165"/>
    </row>
    <row r="38" spans="1:20" ht="18.75" thickBot="1">
      <c r="A38" s="141"/>
      <c r="B38" s="12" t="s">
        <v>16</v>
      </c>
      <c r="C38" s="12" t="s">
        <v>17</v>
      </c>
      <c r="D38" s="12" t="s">
        <v>18</v>
      </c>
      <c r="E38" s="12" t="s">
        <v>18</v>
      </c>
      <c r="F38" s="166" t="s">
        <v>19</v>
      </c>
      <c r="G38" s="36">
        <v>0</v>
      </c>
      <c r="H38" s="13">
        <v>1</v>
      </c>
      <c r="I38" s="13">
        <v>2</v>
      </c>
      <c r="J38" s="17">
        <v>3</v>
      </c>
      <c r="K38" s="13">
        <v>4</v>
      </c>
      <c r="L38" s="13">
        <v>5</v>
      </c>
      <c r="M38" s="17">
        <v>6</v>
      </c>
    </row>
    <row r="39" spans="1:20">
      <c r="A39" s="25" t="s">
        <v>122</v>
      </c>
      <c r="B39" s="167"/>
      <c r="C39" s="167">
        <v>100000000</v>
      </c>
      <c r="D39" s="167"/>
      <c r="E39" s="167"/>
      <c r="F39" s="168"/>
      <c r="G39" s="41"/>
      <c r="H39" s="2"/>
      <c r="I39" s="16"/>
      <c r="J39" s="2"/>
      <c r="K39" s="2"/>
      <c r="L39" s="2"/>
      <c r="M39" s="2">
        <f>C39</f>
        <v>100000000</v>
      </c>
    </row>
    <row r="40" spans="1:20">
      <c r="A40" s="25" t="str">
        <f>A22</f>
        <v>Software Core</v>
      </c>
      <c r="B40" s="169">
        <f t="shared" ref="B40:F40" si="22">B22</f>
        <v>0</v>
      </c>
      <c r="C40" s="169">
        <f t="shared" si="22"/>
        <v>70000000</v>
      </c>
      <c r="D40" s="169">
        <f t="shared" si="22"/>
        <v>10</v>
      </c>
      <c r="E40" s="169">
        <f t="shared" si="22"/>
        <v>10</v>
      </c>
      <c r="F40" s="169">
        <f t="shared" si="22"/>
        <v>7000000</v>
      </c>
      <c r="G40" s="41"/>
      <c r="H40" s="2"/>
      <c r="I40" s="16"/>
      <c r="J40" s="2"/>
      <c r="K40" s="2"/>
      <c r="L40" s="2"/>
      <c r="M40" s="2">
        <f>(C40/D40)*(D40-6)</f>
        <v>28000000</v>
      </c>
    </row>
    <row r="41" spans="1:20">
      <c r="A41" s="25" t="str">
        <f t="shared" ref="A41:F42" si="23">A23</f>
        <v>Terreno</v>
      </c>
      <c r="B41" s="169">
        <f t="shared" si="23"/>
        <v>0</v>
      </c>
      <c r="C41" s="169">
        <f t="shared" si="23"/>
        <v>50000000</v>
      </c>
      <c r="D41" s="169">
        <f t="shared" si="23"/>
        <v>0</v>
      </c>
      <c r="E41" s="169">
        <f t="shared" si="23"/>
        <v>0</v>
      </c>
      <c r="F41" s="169">
        <f t="shared" si="23"/>
        <v>80000000</v>
      </c>
      <c r="G41" s="41"/>
      <c r="H41" s="2"/>
      <c r="I41" s="2"/>
      <c r="J41" s="2"/>
      <c r="K41" s="2"/>
      <c r="L41" s="2"/>
      <c r="M41" s="2"/>
    </row>
    <row r="42" spans="1:20">
      <c r="A42" s="25" t="str">
        <f t="shared" si="23"/>
        <v>Instalaciones</v>
      </c>
      <c r="B42" s="169">
        <f t="shared" si="23"/>
        <v>0</v>
      </c>
      <c r="C42" s="169">
        <f t="shared" si="23"/>
        <v>20000000</v>
      </c>
      <c r="D42" s="169">
        <f t="shared" si="23"/>
        <v>50</v>
      </c>
      <c r="E42" s="169">
        <f t="shared" si="23"/>
        <v>50</v>
      </c>
      <c r="F42" s="169">
        <f t="shared" si="23"/>
        <v>1000000</v>
      </c>
      <c r="G42" s="41"/>
      <c r="H42" s="2"/>
      <c r="I42" s="2"/>
      <c r="J42" s="2"/>
      <c r="K42" s="2"/>
      <c r="L42" s="2"/>
      <c r="M42" s="2">
        <f>(C42/D42)*(E42-6)</f>
        <v>17600000</v>
      </c>
    </row>
    <row r="43" spans="1:20" ht="15.75" thickBot="1">
      <c r="A43" s="26" t="s">
        <v>27</v>
      </c>
      <c r="B43" s="15"/>
      <c r="C43" s="5"/>
      <c r="D43" s="6"/>
      <c r="E43" s="6"/>
      <c r="F43" s="32"/>
      <c r="G43" s="27">
        <f t="shared" ref="G43:M43" si="24">SUM(G39:G42)</f>
        <v>0</v>
      </c>
      <c r="H43" s="27">
        <f t="shared" si="24"/>
        <v>0</v>
      </c>
      <c r="I43" s="27">
        <f t="shared" si="24"/>
        <v>0</v>
      </c>
      <c r="J43" s="27">
        <f t="shared" si="24"/>
        <v>0</v>
      </c>
      <c r="K43" s="27">
        <f t="shared" si="24"/>
        <v>0</v>
      </c>
      <c r="L43" s="27">
        <f t="shared" si="24"/>
        <v>0</v>
      </c>
      <c r="M43" s="27">
        <f t="shared" si="24"/>
        <v>145600000</v>
      </c>
    </row>
    <row r="50" spans="9:9">
      <c r="I50" s="39"/>
    </row>
  </sheetData>
  <mergeCells count="10">
    <mergeCell ref="A37:A38"/>
    <mergeCell ref="G37:M37"/>
    <mergeCell ref="A29:A30"/>
    <mergeCell ref="G29:S29"/>
    <mergeCell ref="A2:A3"/>
    <mergeCell ref="G2:S2"/>
    <mergeCell ref="A11:A12"/>
    <mergeCell ref="G11:S11"/>
    <mergeCell ref="A20:A21"/>
    <mergeCell ref="G20:S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5"/>
  <dimension ref="A1:Q36"/>
  <sheetViews>
    <sheetView showGridLines="0" zoomScale="70" zoomScaleNormal="70" workbookViewId="0">
      <selection activeCell="C21" sqref="C21"/>
    </sheetView>
  </sheetViews>
  <sheetFormatPr baseColWidth="10" defaultRowHeight="15"/>
  <cols>
    <col min="2" max="2" width="39.85546875" customWidth="1"/>
    <col min="3" max="3" width="20.5703125" customWidth="1"/>
    <col min="4" max="4" width="24.28515625" customWidth="1"/>
    <col min="5" max="5" width="25.28515625" customWidth="1"/>
    <col min="6" max="6" width="22" bestFit="1" customWidth="1"/>
    <col min="7" max="7" width="22.42578125" bestFit="1" customWidth="1"/>
    <col min="8" max="8" width="22" bestFit="1" customWidth="1"/>
    <col min="9" max="9" width="22.42578125" customWidth="1"/>
    <col min="10" max="12" width="18.7109375" bestFit="1" customWidth="1"/>
    <col min="13" max="13" width="20.28515625" bestFit="1" customWidth="1"/>
  </cols>
  <sheetData>
    <row r="1" spans="1:14" ht="15.75" thickBot="1"/>
    <row r="2" spans="1:14" ht="16.5" thickBot="1">
      <c r="A2" s="23"/>
      <c r="B2" s="52"/>
      <c r="C2" s="63">
        <v>0</v>
      </c>
      <c r="D2" s="64">
        <v>1</v>
      </c>
      <c r="E2" s="64">
        <v>2</v>
      </c>
      <c r="F2" s="64">
        <v>3</v>
      </c>
      <c r="G2" s="64">
        <v>4</v>
      </c>
      <c r="H2" s="64">
        <v>5</v>
      </c>
      <c r="I2" s="64">
        <v>6</v>
      </c>
      <c r="J2" s="64"/>
      <c r="K2" s="64">
        <v>8</v>
      </c>
      <c r="L2" s="64">
        <v>9</v>
      </c>
      <c r="M2" s="65">
        <v>10</v>
      </c>
      <c r="N2" s="70" t="s">
        <v>31</v>
      </c>
    </row>
    <row r="3" spans="1:14" ht="15.75">
      <c r="A3" t="s">
        <v>58</v>
      </c>
      <c r="B3" s="44" t="s">
        <v>59</v>
      </c>
      <c r="C3" s="43"/>
      <c r="D3" s="43">
        <f>'Costos y Capital de Trabajo'!D47</f>
        <v>5000000000</v>
      </c>
      <c r="E3" s="43">
        <f>'Costos y Capital de Trabajo'!E47</f>
        <v>15450000000</v>
      </c>
      <c r="F3" s="43">
        <f>'Costos y Capital de Trabajo'!F47</f>
        <v>24525000000</v>
      </c>
      <c r="G3" s="43">
        <f>'Costos y Capital de Trabajo'!G47</f>
        <v>33731325000</v>
      </c>
      <c r="H3" s="43">
        <f>'Costos y Capital de Trabajo'!H47</f>
        <v>42809717700</v>
      </c>
      <c r="I3" s="43">
        <f>'Costos y Capital de Trabajo'!I47</f>
        <v>48681000000</v>
      </c>
      <c r="J3" s="43"/>
      <c r="K3" s="43"/>
      <c r="L3" s="43"/>
      <c r="M3" s="43"/>
      <c r="N3" s="70"/>
    </row>
    <row r="4" spans="1:14" ht="15.75">
      <c r="A4" t="s">
        <v>58</v>
      </c>
      <c r="B4" s="45" t="s">
        <v>60</v>
      </c>
      <c r="C4" s="19">
        <f>Calendario!G35</f>
        <v>0</v>
      </c>
      <c r="D4" s="19">
        <f>Calendario!H35</f>
        <v>0</v>
      </c>
      <c r="E4" s="19">
        <f>Calendario!I35</f>
        <v>0</v>
      </c>
      <c r="F4" s="19">
        <f>Calendario!J35</f>
        <v>0</v>
      </c>
      <c r="G4" s="19">
        <f>Calendario!K35</f>
        <v>0</v>
      </c>
      <c r="H4" s="19">
        <f>Calendario!L35</f>
        <v>0</v>
      </c>
      <c r="I4" s="19">
        <f>Calendario!M35</f>
        <v>88000000</v>
      </c>
      <c r="J4" s="19"/>
      <c r="K4" s="19"/>
      <c r="L4" s="19"/>
      <c r="M4" s="19"/>
      <c r="N4" s="70"/>
    </row>
    <row r="5" spans="1:14" ht="15.75">
      <c r="B5" s="45" t="s">
        <v>61</v>
      </c>
      <c r="C5" s="19">
        <v>0</v>
      </c>
      <c r="D5" s="19">
        <f>-'Costos y Capital de Trabajo'!D42</f>
        <v>-10500000000</v>
      </c>
      <c r="E5" s="19">
        <f>-'Costos y Capital de Trabajo'!E42</f>
        <v>-21240000000</v>
      </c>
      <c r="F5" s="19">
        <f>-'Costos y Capital de Trabajo'!F42</f>
        <v>-32230800000</v>
      </c>
      <c r="G5" s="19">
        <f>-'Costos y Capital de Trabajo'!G42</f>
        <v>-42396541200</v>
      </c>
      <c r="H5" s="19">
        <f>-'Costos y Capital de Trabajo'!H42</f>
        <v>-51489524923.200005</v>
      </c>
      <c r="I5" s="19">
        <f>-'Costos y Capital de Trabajo'!I42</f>
        <v>-62545932805.075195</v>
      </c>
      <c r="J5" s="19"/>
      <c r="K5" s="19"/>
      <c r="L5" s="19"/>
      <c r="M5" s="19"/>
      <c r="N5" s="70"/>
    </row>
    <row r="6" spans="1:14" ht="15.75">
      <c r="B6" s="45" t="s">
        <v>62</v>
      </c>
      <c r="C6" s="19">
        <f>-'Costos y Capital de Trabajo'!E31</f>
        <v>-27164000</v>
      </c>
      <c r="D6" s="19">
        <f>-'Costos y Capital de Trabajo'!F31</f>
        <v>-31188320</v>
      </c>
      <c r="E6" s="19">
        <f>-'Costos y Capital de Trabajo'!G31</f>
        <v>-32748969.600000001</v>
      </c>
      <c r="F6" s="19">
        <f>-'Costos y Capital de Trabajo'!H31</f>
        <v>-34576438.688000001</v>
      </c>
      <c r="G6" s="19">
        <f>-'Costos y Capital de Trabajo'!I31</f>
        <v>-36733731.848639995</v>
      </c>
      <c r="H6" s="19">
        <f>-'Costos y Capital de Trabajo'!J31</f>
        <v>-39299493.804099202</v>
      </c>
      <c r="I6" s="19">
        <f>-'Costos y Capital de Trabajo'!K31</f>
        <v>-32164884.86822217</v>
      </c>
      <c r="J6" s="19"/>
      <c r="K6" s="19"/>
      <c r="L6" s="19"/>
      <c r="M6" s="19"/>
      <c r="N6" s="70"/>
    </row>
    <row r="7" spans="1:14" ht="15.75">
      <c r="B7" s="45" t="s">
        <v>44</v>
      </c>
      <c r="C7" s="19">
        <f>-'tabla amortización'!E6</f>
        <v>-3000000</v>
      </c>
      <c r="D7" s="19">
        <f>-'tabla amortización'!E7</f>
        <v>-2524422.5629943931</v>
      </c>
      <c r="E7" s="19">
        <f>-'tabla amortización'!E8</f>
        <v>-2039333.5772486734</v>
      </c>
      <c r="F7" s="19">
        <f>-'tabla amortización'!E9</f>
        <v>-1544542.8117880397</v>
      </c>
      <c r="G7" s="19">
        <f>-'tabla amortización'!E10</f>
        <v>-1039856.2310181934</v>
      </c>
      <c r="H7" s="19">
        <f>-'tabla amortización'!E11</f>
        <v>-525075.91863295005</v>
      </c>
      <c r="I7" s="19">
        <f>-'tabla amortización'!E12</f>
        <v>0</v>
      </c>
      <c r="J7" s="19"/>
      <c r="K7" s="19"/>
      <c r="L7" s="19"/>
      <c r="M7" s="19"/>
      <c r="N7" s="70"/>
    </row>
    <row r="8" spans="1:14" ht="15.75">
      <c r="B8" s="46" t="s">
        <v>63</v>
      </c>
      <c r="C8" s="43">
        <f>-Calendario!G17</f>
        <v>0</v>
      </c>
      <c r="D8" s="43">
        <f>-Calendario!H17</f>
        <v>-7400000</v>
      </c>
      <c r="E8" s="43">
        <f>-Calendario!I17</f>
        <v>-7400000</v>
      </c>
      <c r="F8" s="43">
        <f>-Calendario!J17</f>
        <v>-7400000</v>
      </c>
      <c r="G8" s="43">
        <f>-Calendario!K17</f>
        <v>-7400000</v>
      </c>
      <c r="H8" s="43">
        <f>-Calendario!L17</f>
        <v>-7400000</v>
      </c>
      <c r="I8" s="43">
        <f>-Calendario!M17</f>
        <v>-7400000</v>
      </c>
      <c r="J8" s="43"/>
      <c r="K8" s="43"/>
      <c r="L8" s="43"/>
      <c r="M8" s="43"/>
      <c r="N8" s="70"/>
    </row>
    <row r="9" spans="1:14" ht="15.75">
      <c r="B9" s="46" t="s">
        <v>64</v>
      </c>
      <c r="C9" s="43">
        <f>Calendario!G26</f>
        <v>0</v>
      </c>
      <c r="D9" s="43">
        <f>Calendario!H26</f>
        <v>0</v>
      </c>
      <c r="E9" s="43">
        <f>Calendario!I26</f>
        <v>0</v>
      </c>
      <c r="F9" s="43">
        <f>Calendario!J26</f>
        <v>0</v>
      </c>
      <c r="G9" s="43">
        <f>Calendario!K26</f>
        <v>0</v>
      </c>
      <c r="H9" s="43">
        <f>Calendario!L26</f>
        <v>0</v>
      </c>
      <c r="I9" s="43">
        <f>Calendario!M26</f>
        <v>0</v>
      </c>
      <c r="J9" s="43"/>
      <c r="K9" s="43"/>
      <c r="L9" s="43"/>
      <c r="M9" s="43"/>
      <c r="N9" s="70"/>
    </row>
    <row r="10" spans="1:14" ht="15.75">
      <c r="B10" s="46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70"/>
    </row>
    <row r="11" spans="1:14" ht="16.5" thickBot="1">
      <c r="B11" s="5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70"/>
    </row>
    <row r="12" spans="1:14" ht="15.75">
      <c r="B12" s="107" t="s">
        <v>23</v>
      </c>
      <c r="C12" s="108">
        <f>SUM(C3:C11)</f>
        <v>-30164000</v>
      </c>
      <c r="D12" s="108">
        <f t="shared" ref="C12:J12" si="0">SUM(D3:D11)</f>
        <v>-5541112742.562994</v>
      </c>
      <c r="E12" s="108">
        <f t="shared" si="0"/>
        <v>-5832188303.177249</v>
      </c>
      <c r="F12" s="108">
        <f t="shared" si="0"/>
        <v>-7749320981.4997873</v>
      </c>
      <c r="G12" s="108">
        <f t="shared" si="0"/>
        <v>-8710389788.0796585</v>
      </c>
      <c r="H12" s="108">
        <f t="shared" si="0"/>
        <v>-8727031792.9227371</v>
      </c>
      <c r="I12" s="108">
        <f t="shared" si="0"/>
        <v>-13816497689.943417</v>
      </c>
      <c r="J12" s="108"/>
      <c r="K12" s="108"/>
      <c r="L12" s="108"/>
      <c r="M12" s="108"/>
      <c r="N12" s="70"/>
    </row>
    <row r="13" spans="1:14" ht="16.5" thickBot="1">
      <c r="B13" s="47" t="s">
        <v>26</v>
      </c>
      <c r="C13" s="20">
        <f>-C12*$A$15</f>
        <v>7541000</v>
      </c>
      <c r="D13" s="20">
        <f>-D12*$A$15</f>
        <v>1385278185.6407485</v>
      </c>
      <c r="E13" s="20">
        <f t="shared" ref="E13:J13" si="1">-E12*$A$15</f>
        <v>1458047075.7943122</v>
      </c>
      <c r="F13" s="20">
        <f t="shared" si="1"/>
        <v>1937330245.3749468</v>
      </c>
      <c r="G13" s="20">
        <f t="shared" si="1"/>
        <v>2177597447.0199146</v>
      </c>
      <c r="H13" s="20">
        <f t="shared" si="1"/>
        <v>2181757948.2306843</v>
      </c>
      <c r="I13" s="20">
        <f t="shared" si="1"/>
        <v>3454124422.4858541</v>
      </c>
      <c r="J13" s="20"/>
      <c r="K13" s="20"/>
      <c r="L13" s="20"/>
      <c r="M13" s="20"/>
      <c r="N13" s="70"/>
    </row>
    <row r="14" spans="1:14" ht="24" customHeight="1" thickBot="1">
      <c r="A14" t="s">
        <v>30</v>
      </c>
      <c r="B14" s="109" t="s">
        <v>24</v>
      </c>
      <c r="C14" s="110">
        <f>SUM(C12:C13)</f>
        <v>-22623000</v>
      </c>
      <c r="D14" s="110">
        <f t="shared" ref="D14:J14" si="2">SUM(D12:D13)</f>
        <v>-4155834556.9222455</v>
      </c>
      <c r="E14" s="110">
        <f t="shared" si="2"/>
        <v>-4374141227.3829365</v>
      </c>
      <c r="F14" s="110">
        <f t="shared" si="2"/>
        <v>-5811990736.1248407</v>
      </c>
      <c r="G14" s="110">
        <f t="shared" si="2"/>
        <v>-6532792341.0597439</v>
      </c>
      <c r="H14" s="110">
        <f t="shared" si="2"/>
        <v>-6545273844.6920528</v>
      </c>
      <c r="I14" s="110">
        <f t="shared" si="2"/>
        <v>-10362373267.457561</v>
      </c>
      <c r="J14" s="110"/>
      <c r="K14" s="110"/>
      <c r="L14" s="110"/>
      <c r="M14" s="110"/>
      <c r="N14" s="70"/>
    </row>
    <row r="15" spans="1:14" ht="23.25" customHeight="1">
      <c r="A15" s="111">
        <f>Activos!C14</f>
        <v>0.25</v>
      </c>
      <c r="B15" s="46" t="s">
        <v>65</v>
      </c>
      <c r="C15" s="43">
        <f>-C8</f>
        <v>0</v>
      </c>
      <c r="D15" s="43">
        <f t="shared" ref="D15:J15" si="3">-D8</f>
        <v>7400000</v>
      </c>
      <c r="E15" s="43">
        <f t="shared" si="3"/>
        <v>7400000</v>
      </c>
      <c r="F15" s="43">
        <f t="shared" si="3"/>
        <v>7400000</v>
      </c>
      <c r="G15" s="43">
        <f t="shared" si="3"/>
        <v>7400000</v>
      </c>
      <c r="H15" s="43">
        <f t="shared" si="3"/>
        <v>7400000</v>
      </c>
      <c r="I15" s="43">
        <f t="shared" si="3"/>
        <v>7400000</v>
      </c>
      <c r="J15" s="43"/>
      <c r="K15" s="43"/>
      <c r="L15" s="43"/>
      <c r="M15" s="43"/>
      <c r="N15" s="70"/>
    </row>
    <row r="16" spans="1:14" ht="24.75" customHeight="1">
      <c r="B16" s="46" t="s">
        <v>66</v>
      </c>
      <c r="C16" s="43">
        <f>Calendario!G26</f>
        <v>0</v>
      </c>
      <c r="D16" s="43">
        <f>Calendario!H26</f>
        <v>0</v>
      </c>
      <c r="E16" s="43">
        <f>Calendario!I26</f>
        <v>0</v>
      </c>
      <c r="F16" s="43">
        <f>Calendario!J26</f>
        <v>0</v>
      </c>
      <c r="G16" s="43">
        <f>Calendario!K26</f>
        <v>0</v>
      </c>
      <c r="H16" s="43">
        <f>Calendario!L26</f>
        <v>0</v>
      </c>
      <c r="I16" s="43">
        <f>Calendario!M26</f>
        <v>0</v>
      </c>
      <c r="J16" s="43"/>
      <c r="K16" s="43"/>
      <c r="L16" s="43"/>
      <c r="M16" s="43"/>
      <c r="N16" s="70"/>
    </row>
    <row r="17" spans="1:17" ht="16.5" customHeight="1">
      <c r="B17" s="46" t="s">
        <v>67</v>
      </c>
      <c r="C17" s="43">
        <f>-'tabla amortización'!D6</f>
        <v>-23778871.850280359</v>
      </c>
      <c r="D17" s="43">
        <f>-'tabla amortización'!D7</f>
        <v>-24254449.287285965</v>
      </c>
      <c r="E17" s="43">
        <f>-'tabla amortización'!D8</f>
        <v>-24739538.273031686</v>
      </c>
      <c r="F17" s="43">
        <f>-'tabla amortización'!D9</f>
        <v>-25234329.038492318</v>
      </c>
      <c r="G17" s="43">
        <f>-'tabla amortización'!D10</f>
        <v>-25739015.619262166</v>
      </c>
      <c r="H17" s="43">
        <f>-'tabla amortización'!D11</f>
        <v>-26253795.931647409</v>
      </c>
      <c r="I17" s="43">
        <f>-'tabla amortización'!D12</f>
        <v>0</v>
      </c>
      <c r="J17" s="43"/>
      <c r="K17" s="43"/>
      <c r="L17" s="43"/>
      <c r="M17" s="43"/>
      <c r="N17" s="70"/>
    </row>
    <row r="18" spans="1:17" ht="16.5" customHeight="1">
      <c r="B18" s="45" t="s">
        <v>68</v>
      </c>
      <c r="C18" s="19">
        <f>'tabla amortización'!I3</f>
        <v>150000000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/>
      <c r="K18" s="19"/>
      <c r="L18" s="19"/>
      <c r="M18" s="19"/>
      <c r="N18" s="70"/>
    </row>
    <row r="19" spans="1:17" ht="16.5" customHeight="1">
      <c r="B19" s="45" t="s">
        <v>69</v>
      </c>
      <c r="C19" s="19">
        <f>SUM('Costos y Capital de Trabajo'!E16,'Costos y Capital de Trabajo'!E31)</f>
        <v>27164000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70"/>
    </row>
    <row r="20" spans="1:17" ht="16.5" customHeight="1">
      <c r="B20" s="45" t="s">
        <v>79</v>
      </c>
      <c r="C20" s="19">
        <v>100000000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70"/>
    </row>
    <row r="21" spans="1:17" ht="16.5" customHeight="1">
      <c r="B21" s="45" t="s">
        <v>70</v>
      </c>
      <c r="C21" s="19">
        <f>-'Costos y Capital de Trabajo'!C58</f>
        <v>-26134974.800000001</v>
      </c>
      <c r="D21" s="19">
        <f>-C21</f>
        <v>26134974.800000001</v>
      </c>
      <c r="E21" s="19"/>
      <c r="F21" s="19"/>
      <c r="G21" s="19"/>
      <c r="H21" s="19"/>
      <c r="I21" s="19"/>
      <c r="J21" s="28"/>
      <c r="K21" s="19"/>
      <c r="L21" s="19"/>
      <c r="M21" s="28"/>
      <c r="N21" s="70"/>
    </row>
    <row r="22" spans="1:17" ht="16.5" customHeight="1">
      <c r="B22" s="45" t="s">
        <v>71</v>
      </c>
      <c r="C22" s="19"/>
      <c r="D22" s="19"/>
      <c r="E22" s="19"/>
      <c r="F22" s="19"/>
      <c r="G22" s="19"/>
      <c r="H22" s="19"/>
      <c r="I22" s="19">
        <f>Calendario!M43</f>
        <v>145600000</v>
      </c>
      <c r="J22" s="19"/>
      <c r="K22" s="19"/>
      <c r="L22" s="19"/>
      <c r="M22" s="28"/>
      <c r="N22" s="70"/>
    </row>
    <row r="23" spans="1:17" ht="15.75">
      <c r="B23" s="47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70"/>
    </row>
    <row r="24" spans="1:17" ht="16.5" thickBot="1">
      <c r="B24" s="47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70"/>
      <c r="Q24" t="s">
        <v>72</v>
      </c>
    </row>
    <row r="25" spans="1:17" ht="15.75" customHeight="1" thickBot="1">
      <c r="B25" s="66" t="s">
        <v>25</v>
      </c>
      <c r="C25" s="112">
        <f>SUM(C14:C24)</f>
        <v>204627153.34971964</v>
      </c>
      <c r="D25" s="112">
        <f t="shared" ref="C25:J25" si="4">SUM(D14:D24)</f>
        <v>-4146554031.4095311</v>
      </c>
      <c r="E25" s="112">
        <f t="shared" si="4"/>
        <v>-4391480765.6559677</v>
      </c>
      <c r="F25" s="112">
        <f t="shared" si="4"/>
        <v>-5829825065.1633329</v>
      </c>
      <c r="G25" s="112">
        <f t="shared" si="4"/>
        <v>-6551131356.6790056</v>
      </c>
      <c r="H25" s="112">
        <f t="shared" si="4"/>
        <v>-6564127640.6237001</v>
      </c>
      <c r="I25" s="112">
        <f>SUM(I14:I24)</f>
        <v>-10209373267.457561</v>
      </c>
      <c r="J25" s="112"/>
      <c r="K25" s="112"/>
      <c r="L25" s="112"/>
      <c r="M25" s="112"/>
      <c r="N25" s="70"/>
    </row>
    <row r="26" spans="1:17" ht="15.75" customHeight="1" thickBot="1">
      <c r="B26" s="113" t="s">
        <v>32</v>
      </c>
      <c r="C26" s="114">
        <f t="shared" ref="C26:J26" si="5">C25*((1+$C$31)^-C2)</f>
        <v>204627153.34971964</v>
      </c>
      <c r="D26" s="115">
        <f t="shared" si="5"/>
        <v>-3702280385.1870809</v>
      </c>
      <c r="E26" s="115">
        <f t="shared" si="5"/>
        <v>-3500861579.7640047</v>
      </c>
      <c r="F26" s="115">
        <f t="shared" si="5"/>
        <v>-4149554329.5907912</v>
      </c>
      <c r="G26" s="115">
        <f t="shared" si="5"/>
        <v>-4163362411.1742764</v>
      </c>
      <c r="H26" s="115">
        <f t="shared" si="5"/>
        <v>-3724662307.6546531</v>
      </c>
      <c r="I26" s="115">
        <f t="shared" si="5"/>
        <v>-5172386225.0097904</v>
      </c>
      <c r="J26" s="115"/>
      <c r="K26" s="115"/>
      <c r="L26" s="115"/>
      <c r="M26" s="115"/>
      <c r="N26" s="70"/>
    </row>
    <row r="27" spans="1:17" ht="18" customHeight="1" thickBot="1">
      <c r="B27" s="113"/>
      <c r="C27" s="114"/>
      <c r="D27" s="116"/>
      <c r="E27" s="116"/>
      <c r="F27" s="116"/>
      <c r="G27" s="116"/>
      <c r="H27" s="116"/>
      <c r="I27" s="115"/>
      <c r="J27" s="115"/>
      <c r="K27" s="115"/>
      <c r="L27" s="115"/>
      <c r="M27" s="115"/>
      <c r="N27" s="70"/>
      <c r="O27" s="72" t="s">
        <v>37</v>
      </c>
    </row>
    <row r="28" spans="1:17" ht="19.5" customHeight="1">
      <c r="N28" s="70"/>
      <c r="O28" s="74">
        <f>SUM(N3:N28)+D34</f>
        <v>0</v>
      </c>
    </row>
    <row r="29" spans="1:17" ht="30.75" customHeight="1">
      <c r="B29" t="s">
        <v>73</v>
      </c>
      <c r="O29" s="73"/>
    </row>
    <row r="30" spans="1:17" ht="26.25" customHeight="1"/>
    <row r="31" spans="1:17" ht="15.75" thickBot="1">
      <c r="B31" t="s">
        <v>74</v>
      </c>
      <c r="C31" s="117">
        <f>Activos!C13</f>
        <v>0.12</v>
      </c>
      <c r="D31" s="70" t="s">
        <v>31</v>
      </c>
    </row>
    <row r="32" spans="1:17">
      <c r="A32" t="s">
        <v>75</v>
      </c>
      <c r="B32" s="48" t="s">
        <v>32</v>
      </c>
      <c r="C32" s="118">
        <f>SUM(C26:M26)</f>
        <v>-24208480085.030876</v>
      </c>
      <c r="D32" s="70"/>
      <c r="E32" s="98">
        <f>NPV(C31,D25:M25)+C25</f>
        <v>-24208480085.030872</v>
      </c>
    </row>
    <row r="33" spans="2:5" ht="15.75" thickBot="1">
      <c r="B33" s="49" t="s">
        <v>76</v>
      </c>
      <c r="C33" s="119">
        <f>IRR(C25:I25)</f>
        <v>20.335856060622834</v>
      </c>
      <c r="D33" s="70"/>
    </row>
    <row r="34" spans="2:5" ht="21">
      <c r="D34" s="71">
        <f>SUM(D32:D33)</f>
        <v>0</v>
      </c>
    </row>
    <row r="35" spans="2:5">
      <c r="C35" s="50"/>
      <c r="D35" s="51"/>
      <c r="E35" s="50"/>
    </row>
    <row r="36" spans="2:5">
      <c r="C36" s="50"/>
      <c r="D36" s="51"/>
      <c r="E36" s="50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6"/>
  <dimension ref="A1:O21"/>
  <sheetViews>
    <sheetView workbookViewId="0">
      <selection activeCell="I3" sqref="I3"/>
    </sheetView>
  </sheetViews>
  <sheetFormatPr baseColWidth="10" defaultRowHeight="15"/>
  <cols>
    <col min="1" max="2" width="11.42578125" style="75"/>
    <col min="3" max="3" width="12" style="75" bestFit="1" customWidth="1"/>
    <col min="4" max="4" width="20.85546875" style="75" customWidth="1"/>
    <col min="5" max="5" width="21.28515625" style="75" customWidth="1"/>
    <col min="6" max="6" width="21.85546875" style="75" customWidth="1"/>
    <col min="7" max="7" width="11.42578125" style="75"/>
    <col min="8" max="8" width="19" style="75" bestFit="1" customWidth="1"/>
    <col min="9" max="9" width="16.7109375" style="75" customWidth="1"/>
    <col min="10" max="13" width="11.42578125" style="75"/>
    <col min="14" max="14" width="16.7109375" style="75" bestFit="1" customWidth="1"/>
    <col min="15" max="16384" width="11.42578125" style="75"/>
  </cols>
  <sheetData>
    <row r="1" spans="1:15" s="100" customFormat="1">
      <c r="A1" s="99" t="s">
        <v>36</v>
      </c>
      <c r="B1" s="99"/>
      <c r="C1" s="99"/>
      <c r="D1" s="99"/>
      <c r="E1" s="99"/>
      <c r="F1" s="99"/>
    </row>
    <row r="2" spans="1:15" ht="18.75">
      <c r="H2" s="35" t="s">
        <v>46</v>
      </c>
      <c r="N2" s="101" t="s">
        <v>35</v>
      </c>
      <c r="O2" s="101"/>
    </row>
    <row r="3" spans="1:15">
      <c r="H3" s="102" t="s">
        <v>45</v>
      </c>
      <c r="I3" s="103">
        <v>150000000</v>
      </c>
    </row>
    <row r="4" spans="1:15">
      <c r="B4" s="35" t="s">
        <v>41</v>
      </c>
      <c r="C4" s="35" t="s">
        <v>42</v>
      </c>
      <c r="D4" s="35" t="s">
        <v>43</v>
      </c>
      <c r="E4" s="35" t="s">
        <v>44</v>
      </c>
      <c r="F4" s="35" t="s">
        <v>45</v>
      </c>
      <c r="H4" s="102" t="s">
        <v>44</v>
      </c>
      <c r="I4" s="104">
        <v>0.02</v>
      </c>
    </row>
    <row r="5" spans="1:15">
      <c r="B5" s="102">
        <v>0</v>
      </c>
      <c r="C5" s="102"/>
      <c r="D5" s="103">
        <v>0</v>
      </c>
      <c r="E5" s="103">
        <v>0</v>
      </c>
      <c r="F5" s="105">
        <f>I3</f>
        <v>150000000</v>
      </c>
      <c r="H5" s="102" t="s">
        <v>41</v>
      </c>
      <c r="I5" s="102">
        <v>6</v>
      </c>
    </row>
    <row r="6" spans="1:15">
      <c r="B6" s="102">
        <v>1</v>
      </c>
      <c r="C6" s="105">
        <f>$H$10</f>
        <v>26778871.850280359</v>
      </c>
      <c r="D6" s="105">
        <f>C6-E6</f>
        <v>23778871.850280359</v>
      </c>
      <c r="E6" s="105">
        <f>F5*$I$4</f>
        <v>3000000</v>
      </c>
      <c r="F6" s="105">
        <f>F5-D6</f>
        <v>126221128.14971964</v>
      </c>
      <c r="H6" s="102"/>
      <c r="I6" s="102"/>
    </row>
    <row r="7" spans="1:15">
      <c r="B7" s="102">
        <v>2</v>
      </c>
      <c r="C7" s="105">
        <f t="shared" ref="C7:C12" si="0">$H$10</f>
        <v>26778871.850280359</v>
      </c>
      <c r="D7" s="105">
        <f t="shared" ref="D7:D12" si="1">C7-E7</f>
        <v>24254449.287285965</v>
      </c>
      <c r="E7" s="105">
        <f t="shared" ref="E7:E12" si="2">F6*$I$4</f>
        <v>2524422.5629943931</v>
      </c>
      <c r="F7" s="105">
        <f>F6-D7</f>
        <v>101966678.86243367</v>
      </c>
      <c r="H7" s="102"/>
      <c r="I7" s="102"/>
    </row>
    <row r="8" spans="1:15">
      <c r="B8" s="102">
        <v>3</v>
      </c>
      <c r="C8" s="105">
        <f t="shared" si="0"/>
        <v>26778871.850280359</v>
      </c>
      <c r="D8" s="105">
        <f t="shared" si="1"/>
        <v>24739538.273031686</v>
      </c>
      <c r="E8" s="105">
        <f t="shared" si="2"/>
        <v>2039333.5772486734</v>
      </c>
      <c r="F8" s="105">
        <f t="shared" ref="F8:F12" si="3">F7-D8</f>
        <v>77227140.58940199</v>
      </c>
    </row>
    <row r="9" spans="1:15">
      <c r="B9" s="102">
        <v>4</v>
      </c>
      <c r="C9" s="105">
        <f t="shared" si="0"/>
        <v>26778871.850280359</v>
      </c>
      <c r="D9" s="105">
        <f t="shared" si="1"/>
        <v>25234329.038492318</v>
      </c>
      <c r="E9" s="105">
        <f t="shared" si="2"/>
        <v>1544542.8117880397</v>
      </c>
      <c r="F9" s="105">
        <f t="shared" si="3"/>
        <v>51992811.550909668</v>
      </c>
      <c r="H9" s="35" t="s">
        <v>42</v>
      </c>
      <c r="I9" s="146"/>
      <c r="J9" s="147"/>
      <c r="K9" s="147"/>
    </row>
    <row r="10" spans="1:15">
      <c r="B10" s="102">
        <v>5</v>
      </c>
      <c r="C10" s="105">
        <f t="shared" si="0"/>
        <v>26778871.850280359</v>
      </c>
      <c r="D10" s="105">
        <f t="shared" si="1"/>
        <v>25739015.619262166</v>
      </c>
      <c r="E10" s="105">
        <f t="shared" si="2"/>
        <v>1039856.2310181934</v>
      </c>
      <c r="F10" s="105">
        <f t="shared" si="3"/>
        <v>26253795.931647502</v>
      </c>
      <c r="H10" s="103">
        <f>I3*(I15/I16)</f>
        <v>26778871.850280359</v>
      </c>
      <c r="I10" s="106">
        <f>PMT(I4,I5,I3)</f>
        <v>-26778871.850280363</v>
      </c>
    </row>
    <row r="11" spans="1:15">
      <c r="B11" s="102">
        <v>6</v>
      </c>
      <c r="C11" s="105">
        <f t="shared" si="0"/>
        <v>26778871.850280359</v>
      </c>
      <c r="D11" s="105">
        <f t="shared" si="1"/>
        <v>26253795.931647409</v>
      </c>
      <c r="E11" s="105">
        <f>F10*$I$4</f>
        <v>525075.91863295005</v>
      </c>
      <c r="F11" s="105">
        <f t="shared" si="3"/>
        <v>9.3132257461547852E-8</v>
      </c>
    </row>
    <row r="12" spans="1:15">
      <c r="B12" s="102">
        <v>7</v>
      </c>
      <c r="C12" s="105"/>
      <c r="D12" s="105"/>
      <c r="E12" s="105"/>
      <c r="F12" s="105"/>
    </row>
    <row r="13" spans="1:15">
      <c r="B13" s="102">
        <v>8</v>
      </c>
      <c r="C13" s="105"/>
      <c r="D13" s="105"/>
      <c r="E13" s="105"/>
      <c r="F13" s="105"/>
      <c r="H13" s="148" t="s">
        <v>55</v>
      </c>
      <c r="I13" s="148"/>
    </row>
    <row r="14" spans="1:15">
      <c r="B14" s="102"/>
      <c r="C14" s="105"/>
      <c r="D14" s="105"/>
      <c r="E14" s="105"/>
      <c r="F14" s="105"/>
    </row>
    <row r="15" spans="1:15">
      <c r="B15" s="102"/>
      <c r="C15" s="105"/>
      <c r="D15" s="105"/>
      <c r="E15" s="105"/>
      <c r="F15" s="105"/>
      <c r="H15" s="75" t="s">
        <v>56</v>
      </c>
      <c r="I15" s="75">
        <f>(I4*((1+I4)^I5))</f>
        <v>2.2523248385280002E-2</v>
      </c>
    </row>
    <row r="16" spans="1:15">
      <c r="B16" s="102"/>
      <c r="C16" s="105"/>
      <c r="D16" s="105"/>
      <c r="E16" s="105"/>
      <c r="F16" s="105"/>
      <c r="H16" s="75" t="s">
        <v>57</v>
      </c>
      <c r="I16" s="75">
        <f>((I4+1)^I5)-1</f>
        <v>0.12616241926400007</v>
      </c>
    </row>
    <row r="17" spans="2:6">
      <c r="B17" s="102"/>
      <c r="C17" s="105"/>
      <c r="D17" s="105"/>
      <c r="E17" s="105"/>
      <c r="F17" s="105"/>
    </row>
    <row r="18" spans="2:6">
      <c r="B18" s="102"/>
      <c r="C18" s="105"/>
      <c r="D18" s="105"/>
      <c r="E18" s="105"/>
      <c r="F18" s="105"/>
    </row>
    <row r="19" spans="2:6">
      <c r="B19" s="102"/>
      <c r="C19" s="105"/>
      <c r="D19" s="105"/>
      <c r="E19" s="105"/>
      <c r="F19" s="105"/>
    </row>
    <row r="20" spans="2:6">
      <c r="B20" s="102"/>
      <c r="C20" s="105"/>
      <c r="D20" s="105"/>
      <c r="E20" s="105"/>
      <c r="F20" s="105"/>
    </row>
    <row r="21" spans="2:6">
      <c r="B21" s="102"/>
      <c r="C21" s="105"/>
      <c r="D21" s="105"/>
      <c r="E21" s="105"/>
      <c r="F21" s="105"/>
    </row>
  </sheetData>
  <mergeCells count="2">
    <mergeCell ref="I9:K9"/>
    <mergeCell ref="H13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Activos</vt:lpstr>
      <vt:lpstr>Costos y Capital de Trabajo</vt:lpstr>
      <vt:lpstr>Calendario</vt:lpstr>
      <vt:lpstr>Flujo Caja</vt:lpstr>
      <vt:lpstr>tabla amortización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2017-07-13T23:17:55Z</dcterms:modified>
</cp:coreProperties>
</file>