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 G\Dropbox\Universidad\Semestre X\Ayudantia Evaluación y gestión de proyectos\"/>
    </mc:Choice>
  </mc:AlternateContent>
  <bookViews>
    <workbookView xWindow="0" yWindow="0" windowWidth="20490" windowHeight="7755" activeTab="1"/>
  </bookViews>
  <sheets>
    <sheet name="Enunciado" sheetId="2" r:id="rId1"/>
    <sheet name="Desarroll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1" l="1"/>
  <c r="S38" i="1"/>
  <c r="AA35" i="1"/>
  <c r="E38" i="1" l="1"/>
  <c r="T16" i="1"/>
  <c r="S16" i="1"/>
  <c r="G37" i="1"/>
  <c r="H37" i="1" s="1"/>
  <c r="I37" i="1" s="1"/>
  <c r="J37" i="1" s="1"/>
  <c r="K37" i="1" s="1"/>
  <c r="L37" i="1" s="1"/>
  <c r="F38" i="1"/>
  <c r="F37" i="1"/>
  <c r="E37" i="1"/>
  <c r="D37" i="1"/>
  <c r="Q24" i="1"/>
  <c r="Q25" i="1" s="1"/>
  <c r="Q26" i="1" s="1"/>
  <c r="Q31" i="1"/>
  <c r="Q32" i="1"/>
  <c r="Q33" i="1"/>
  <c r="W28" i="1" l="1"/>
  <c r="X28" i="1"/>
  <c r="Y28" i="1"/>
  <c r="Z28" i="1"/>
  <c r="AA28" i="1"/>
  <c r="W22" i="1"/>
  <c r="S18" i="1" l="1"/>
  <c r="T18" i="1"/>
  <c r="U18" i="1"/>
  <c r="V18" i="1"/>
  <c r="W18" i="1"/>
  <c r="X18" i="1"/>
  <c r="Y18" i="1"/>
  <c r="Z18" i="1"/>
  <c r="AA18" i="1"/>
  <c r="R18" i="1"/>
  <c r="D39" i="1"/>
  <c r="S17" i="1" s="1"/>
  <c r="C39" i="1"/>
  <c r="R17" i="1" s="1"/>
  <c r="D38" i="1"/>
  <c r="C38" i="1"/>
  <c r="R16" i="1" s="1"/>
  <c r="E39" i="1"/>
  <c r="T17" i="1" s="1"/>
  <c r="D27" i="1"/>
  <c r="S20" i="1" s="1"/>
  <c r="S27" i="1" s="1"/>
  <c r="E27" i="1"/>
  <c r="T20" i="1" s="1"/>
  <c r="T27" i="1" s="1"/>
  <c r="F27" i="1"/>
  <c r="U20" i="1" s="1"/>
  <c r="U27" i="1" s="1"/>
  <c r="G27" i="1"/>
  <c r="V20" i="1" s="1"/>
  <c r="V27" i="1" s="1"/>
  <c r="H27" i="1"/>
  <c r="W20" i="1" s="1"/>
  <c r="W27" i="1" s="1"/>
  <c r="I27" i="1"/>
  <c r="X20" i="1" s="1"/>
  <c r="X27" i="1" s="1"/>
  <c r="J27" i="1"/>
  <c r="Y20" i="1" s="1"/>
  <c r="Y27" i="1" s="1"/>
  <c r="K27" i="1"/>
  <c r="Z20" i="1" s="1"/>
  <c r="Z27" i="1" s="1"/>
  <c r="L27" i="1"/>
  <c r="AA20" i="1" s="1"/>
  <c r="AA27" i="1" s="1"/>
  <c r="D26" i="1"/>
  <c r="S19" i="1" s="1"/>
  <c r="E26" i="1"/>
  <c r="T19" i="1" s="1"/>
  <c r="F26" i="1"/>
  <c r="U19" i="1" s="1"/>
  <c r="G26" i="1"/>
  <c r="V19" i="1" s="1"/>
  <c r="H26" i="1"/>
  <c r="W19" i="1" s="1"/>
  <c r="I26" i="1"/>
  <c r="X19" i="1" s="1"/>
  <c r="J26" i="1"/>
  <c r="Y19" i="1" s="1"/>
  <c r="K26" i="1"/>
  <c r="Z19" i="1" s="1"/>
  <c r="L26" i="1"/>
  <c r="AA19" i="1" s="1"/>
  <c r="C26" i="1"/>
  <c r="R19" i="1" s="1"/>
  <c r="C27" i="1"/>
  <c r="R20" i="1" s="1"/>
  <c r="R27" i="1" s="1"/>
  <c r="F17" i="1"/>
  <c r="Q30" i="1" s="1"/>
  <c r="Q36" i="1" s="1"/>
  <c r="C18" i="1"/>
  <c r="C21" i="1" s="1"/>
  <c r="H31" i="1" l="1"/>
  <c r="W23" i="1" s="1"/>
  <c r="W34" i="1" s="1"/>
  <c r="L32" i="1"/>
  <c r="E18" i="1"/>
  <c r="R21" i="1" s="1"/>
  <c r="R28" i="1" s="1"/>
  <c r="L31" i="1"/>
  <c r="C22" i="1"/>
  <c r="C20" i="1"/>
  <c r="C19" i="1"/>
  <c r="F39" i="1" l="1"/>
  <c r="U17" i="1" s="1"/>
  <c r="U16" i="1"/>
  <c r="D18" i="1"/>
  <c r="AA23" i="1"/>
  <c r="AA34" i="1" s="1"/>
  <c r="R24" i="1"/>
  <c r="R25" i="1" l="1"/>
  <c r="R26" i="1" s="1"/>
  <c r="R36" i="1" s="1"/>
  <c r="G39" i="1"/>
  <c r="V17" i="1" s="1"/>
  <c r="G38" i="1"/>
  <c r="V16" i="1" s="1"/>
  <c r="F18" i="1"/>
  <c r="R29" i="1"/>
  <c r="H39" i="1" l="1"/>
  <c r="W17" i="1" s="1"/>
  <c r="H38" i="1"/>
  <c r="W16" i="1" s="1"/>
  <c r="E19" i="1"/>
  <c r="W24" i="1" l="1"/>
  <c r="W25" i="1" s="1"/>
  <c r="W26" i="1" s="1"/>
  <c r="W36" i="1" s="1"/>
  <c r="S21" i="1"/>
  <c r="D19" i="1"/>
  <c r="I39" i="1"/>
  <c r="X17" i="1" s="1"/>
  <c r="I38" i="1"/>
  <c r="X16" i="1" s="1"/>
  <c r="X24" i="1" s="1"/>
  <c r="X25" i="1" s="1"/>
  <c r="X26" i="1" s="1"/>
  <c r="X36" i="1" s="1"/>
  <c r="J39" i="1" l="1"/>
  <c r="Y17" i="1" s="1"/>
  <c r="J38" i="1"/>
  <c r="Y16" i="1" s="1"/>
  <c r="S29" i="1"/>
  <c r="F19" i="1"/>
  <c r="E20" i="1" s="1"/>
  <c r="S28" i="1"/>
  <c r="S24" i="1"/>
  <c r="S25" i="1" s="1"/>
  <c r="S26" i="1" s="1"/>
  <c r="Y24" i="1" l="1"/>
  <c r="Y25" i="1" s="1"/>
  <c r="Y26" i="1" s="1"/>
  <c r="Y36" i="1" s="1"/>
  <c r="K38" i="1"/>
  <c r="Z16" i="1" s="1"/>
  <c r="K39" i="1"/>
  <c r="Z17" i="1" s="1"/>
  <c r="S36" i="1"/>
  <c r="D20" i="1"/>
  <c r="T21" i="1"/>
  <c r="Z24" i="1" l="1"/>
  <c r="Z25" i="1" s="1"/>
  <c r="Z26" i="1" s="1"/>
  <c r="Z36" i="1" s="1"/>
  <c r="T28" i="1"/>
  <c r="T24" i="1"/>
  <c r="T25" i="1" s="1"/>
  <c r="T26" i="1" s="1"/>
  <c r="F20" i="1"/>
  <c r="E21" i="1" s="1"/>
  <c r="T29" i="1"/>
  <c r="L38" i="1"/>
  <c r="AA16" i="1" s="1"/>
  <c r="L39" i="1"/>
  <c r="AA17" i="1" s="1"/>
  <c r="T36" i="1" l="1"/>
  <c r="AA24" i="1"/>
  <c r="AA25" i="1" s="1"/>
  <c r="AA26" i="1" s="1"/>
  <c r="AA36" i="1" s="1"/>
  <c r="D21" i="1"/>
  <c r="U21" i="1"/>
  <c r="U28" i="1" l="1"/>
  <c r="U24" i="1"/>
  <c r="U25" i="1" s="1"/>
  <c r="U26" i="1" s="1"/>
  <c r="F21" i="1"/>
  <c r="E22" i="1" s="1"/>
  <c r="U29" i="1"/>
  <c r="U36" i="1" l="1"/>
  <c r="D22" i="1"/>
  <c r="V21" i="1"/>
  <c r="F22" i="1" l="1"/>
  <c r="V29" i="1"/>
  <c r="V28" i="1"/>
  <c r="V24" i="1"/>
  <c r="V25" i="1" s="1"/>
  <c r="V26" i="1" s="1"/>
  <c r="V36" i="1" s="1"/>
</calcChain>
</file>

<file path=xl/comments1.xml><?xml version="1.0" encoding="utf-8"?>
<comments xmlns="http://schemas.openxmlformats.org/spreadsheetml/2006/main">
  <authors>
    <author>Tere G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Tere G:</t>
        </r>
        <r>
          <rPr>
            <sz val="9"/>
            <color indexed="81"/>
            <rFont val="Tahoma"/>
            <family val="2"/>
          </rPr>
          <t xml:space="preserve">
La depreciación se calcula 
(Valor de compra activo)/(Vida contable del activo)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Tere G:</t>
        </r>
        <r>
          <rPr>
            <sz val="9"/>
            <color indexed="81"/>
            <rFont val="Tahoma"/>
            <family val="2"/>
          </rPr>
          <t xml:space="preserve">
Existe un reemplazo del activo puesto que la vida útil es menor a la vida contable.</t>
        </r>
      </text>
    </comment>
    <comment ref="AA35" authorId="0" shapeId="0">
      <text>
        <r>
          <rPr>
            <b/>
            <sz val="9"/>
            <color indexed="81"/>
            <rFont val="Tahoma"/>
            <family val="2"/>
          </rPr>
          <t>Tere G:</t>
        </r>
        <r>
          <rPr>
            <sz val="9"/>
            <color indexed="81"/>
            <rFont val="Tahoma"/>
            <family val="2"/>
          </rPr>
          <t xml:space="preserve">
Recordar que el valor de desecho contable es la suma de los valores libros
NOTA: Cuando un activo es un terreno, su valor libro será el mismo valor de inversión.
</t>
        </r>
      </text>
    </comment>
  </commentList>
</comments>
</file>

<file path=xl/sharedStrings.xml><?xml version="1.0" encoding="utf-8"?>
<sst xmlns="http://schemas.openxmlformats.org/spreadsheetml/2006/main" count="86" uniqueCount="50">
  <si>
    <t>Demanda</t>
  </si>
  <si>
    <t>Máquina</t>
  </si>
  <si>
    <t>Instalaciones</t>
  </si>
  <si>
    <t>Terreno</t>
  </si>
  <si>
    <t>Costo fijo</t>
  </si>
  <si>
    <t>Anual</t>
  </si>
  <si>
    <t>Costo unitario</t>
  </si>
  <si>
    <t>Por casa</t>
  </si>
  <si>
    <t>Precio inicial</t>
  </si>
  <si>
    <t>Demanda inicial</t>
  </si>
  <si>
    <t>años</t>
  </si>
  <si>
    <t>Vida útil máquina</t>
  </si>
  <si>
    <t>Vida útil instalaciones</t>
  </si>
  <si>
    <t>Unidad</t>
  </si>
  <si>
    <t>Pesos</t>
  </si>
  <si>
    <t>Cuota</t>
  </si>
  <si>
    <t>Amortización</t>
  </si>
  <si>
    <t>Saldo</t>
  </si>
  <si>
    <t>Número de cuota</t>
  </si>
  <si>
    <t>Ingresos</t>
  </si>
  <si>
    <t>Flujo de caja</t>
  </si>
  <si>
    <t>Valor</t>
  </si>
  <si>
    <t>Ingreso</t>
  </si>
  <si>
    <t>Costo variable</t>
  </si>
  <si>
    <t>CV</t>
  </si>
  <si>
    <t>CF</t>
  </si>
  <si>
    <t>Dep máquina</t>
  </si>
  <si>
    <t>Dep construcción</t>
  </si>
  <si>
    <t>Valor libro</t>
  </si>
  <si>
    <t>Venta activo</t>
  </si>
  <si>
    <t>Utilidad antes de impuesto</t>
  </si>
  <si>
    <t>Impuesto</t>
  </si>
  <si>
    <t>Utilidad después de impuesto</t>
  </si>
  <si>
    <t>Maquinaria</t>
  </si>
  <si>
    <t>Valor de desecho</t>
  </si>
  <si>
    <t>Flujo de caja neto</t>
  </si>
  <si>
    <t>VAN</t>
  </si>
  <si>
    <t>TIR</t>
  </si>
  <si>
    <t>+</t>
  </si>
  <si>
    <t>-</t>
  </si>
  <si>
    <t>=</t>
  </si>
  <si>
    <t xml:space="preserve">Depreciación </t>
  </si>
  <si>
    <t>Signo</t>
  </si>
  <si>
    <t>Interés préstamo</t>
  </si>
  <si>
    <t>Amortización préstamo</t>
  </si>
  <si>
    <t>Préstamo</t>
  </si>
  <si>
    <t xml:space="preserve">Préstamo </t>
  </si>
  <si>
    <t>Tasa de préstamo</t>
  </si>
  <si>
    <t>Años de préstamo</t>
  </si>
  <si>
    <t>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</si>
</sst>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7" xfId="0" applyBorder="1"/>
    <xf numFmtId="164" fontId="0" fillId="2" borderId="0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8" fontId="0" fillId="0" borderId="0" xfId="0" applyNumberFormat="1" applyBorder="1"/>
    <xf numFmtId="44" fontId="0" fillId="0" borderId="5" xfId="0" applyNumberFormat="1" applyBorder="1"/>
    <xf numFmtId="8" fontId="0" fillId="0" borderId="7" xfId="0" applyNumberFormat="1" applyBorder="1"/>
    <xf numFmtId="44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44" fontId="0" fillId="0" borderId="0" xfId="1" applyNumberFormat="1" applyFont="1" applyBorder="1"/>
    <xf numFmtId="44" fontId="0" fillId="0" borderId="5" xfId="1" applyNumberFormat="1" applyFont="1" applyBorder="1"/>
    <xf numFmtId="44" fontId="0" fillId="0" borderId="0" xfId="0" applyNumberFormat="1" applyBorder="1"/>
    <xf numFmtId="0" fontId="2" fillId="0" borderId="6" xfId="0" applyFont="1" applyBorder="1"/>
    <xf numFmtId="0" fontId="0" fillId="0" borderId="14" xfId="0" applyBorder="1"/>
    <xf numFmtId="44" fontId="0" fillId="0" borderId="14" xfId="1" applyNumberFormat="1" applyFont="1" applyBorder="1"/>
    <xf numFmtId="44" fontId="0" fillId="0" borderId="14" xfId="0" applyNumberFormat="1" applyBorder="1"/>
    <xf numFmtId="164" fontId="0" fillId="0" borderId="14" xfId="0" applyNumberFormat="1" applyBorder="1"/>
    <xf numFmtId="0" fontId="2" fillId="0" borderId="10" xfId="0" applyFont="1" applyBorder="1"/>
    <xf numFmtId="0" fontId="2" fillId="0" borderId="12" xfId="0" applyFont="1" applyBorder="1"/>
    <xf numFmtId="0" fontId="2" fillId="0" borderId="11" xfId="0" applyFont="1" applyBorder="1"/>
    <xf numFmtId="0" fontId="0" fillId="0" borderId="12" xfId="0" applyBorder="1" applyAlignment="1">
      <alignment horizontal="center" vertical="center"/>
    </xf>
    <xf numFmtId="0" fontId="0" fillId="0" borderId="9" xfId="0" applyBorder="1"/>
    <xf numFmtId="44" fontId="0" fillId="0" borderId="10" xfId="0" applyNumberFormat="1" applyBorder="1"/>
    <xf numFmtId="44" fontId="0" fillId="0" borderId="12" xfId="0" applyNumberFormat="1" applyBorder="1"/>
    <xf numFmtId="44" fontId="0" fillId="0" borderId="11" xfId="0" applyNumberFormat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9" xfId="0" applyFont="1" applyBorder="1"/>
    <xf numFmtId="44" fontId="2" fillId="0" borderId="10" xfId="0" applyNumberFormat="1" applyFont="1" applyBorder="1"/>
    <xf numFmtId="44" fontId="2" fillId="0" borderId="12" xfId="0" applyNumberFormat="1" applyFont="1" applyBorder="1"/>
    <xf numFmtId="44" fontId="2" fillId="0" borderId="11" xfId="0" applyNumberFormat="1" applyFont="1" applyBorder="1"/>
    <xf numFmtId="9" fontId="2" fillId="0" borderId="8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676275</xdr:colOff>
      <xdr:row>20</xdr:row>
      <xdr:rowOff>123825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10275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"/>
  <sheetViews>
    <sheetView tabSelected="1" topLeftCell="P14" workbookViewId="0">
      <selection activeCell="R23" sqref="R23"/>
    </sheetView>
  </sheetViews>
  <sheetFormatPr baseColWidth="10" defaultRowHeight="15" x14ac:dyDescent="0.25"/>
  <cols>
    <col min="1" max="1" width="20.85546875" customWidth="1"/>
    <col min="2" max="4" width="13" bestFit="1" customWidth="1"/>
    <col min="5" max="5" width="13.7109375" customWidth="1"/>
    <col min="6" max="6" width="14.7109375" bestFit="1" customWidth="1"/>
    <col min="7" max="7" width="13" bestFit="1" customWidth="1"/>
    <col min="8" max="8" width="15.7109375" bestFit="1" customWidth="1"/>
    <col min="9" max="12" width="13" bestFit="1" customWidth="1"/>
    <col min="15" max="15" width="22.5703125" customWidth="1"/>
    <col min="16" max="16" width="5.85546875" customWidth="1"/>
    <col min="17" max="27" width="13" bestFit="1" customWidth="1"/>
  </cols>
  <sheetData>
    <row r="1" spans="1:27" x14ac:dyDescent="0.25">
      <c r="C1" t="s">
        <v>13</v>
      </c>
    </row>
    <row r="2" spans="1:27" x14ac:dyDescent="0.25">
      <c r="A2" t="s">
        <v>8</v>
      </c>
      <c r="B2" s="1">
        <v>100</v>
      </c>
      <c r="C2" t="s">
        <v>14</v>
      </c>
    </row>
    <row r="3" spans="1:27" x14ac:dyDescent="0.25">
      <c r="A3" t="s">
        <v>9</v>
      </c>
      <c r="B3" s="1">
        <v>1000</v>
      </c>
      <c r="C3" t="s">
        <v>14</v>
      </c>
    </row>
    <row r="4" spans="1:27" x14ac:dyDescent="0.25">
      <c r="A4" t="s">
        <v>1</v>
      </c>
      <c r="B4" s="1">
        <v>100000</v>
      </c>
      <c r="C4" t="s">
        <v>14</v>
      </c>
    </row>
    <row r="5" spans="1:27" x14ac:dyDescent="0.25">
      <c r="A5" t="s">
        <v>2</v>
      </c>
      <c r="B5" s="1">
        <v>200000</v>
      </c>
      <c r="C5" t="s">
        <v>14</v>
      </c>
    </row>
    <row r="6" spans="1:27" x14ac:dyDescent="0.25">
      <c r="A6" t="s">
        <v>3</v>
      </c>
      <c r="B6" s="1">
        <v>80000</v>
      </c>
      <c r="C6" t="s">
        <v>14</v>
      </c>
    </row>
    <row r="7" spans="1:27" x14ac:dyDescent="0.25">
      <c r="A7" t="s">
        <v>4</v>
      </c>
      <c r="B7" s="1">
        <v>20000</v>
      </c>
      <c r="C7" t="s">
        <v>5</v>
      </c>
    </row>
    <row r="8" spans="1:27" x14ac:dyDescent="0.25">
      <c r="A8" t="s">
        <v>6</v>
      </c>
      <c r="B8" s="1">
        <v>30</v>
      </c>
      <c r="C8" t="s">
        <v>7</v>
      </c>
    </row>
    <row r="9" spans="1:27" x14ac:dyDescent="0.25">
      <c r="A9" t="s">
        <v>46</v>
      </c>
      <c r="B9" s="1">
        <v>200000</v>
      </c>
      <c r="C9" t="s">
        <v>14</v>
      </c>
    </row>
    <row r="10" spans="1:27" x14ac:dyDescent="0.25">
      <c r="A10" t="s">
        <v>11</v>
      </c>
      <c r="B10" s="2">
        <v>10</v>
      </c>
      <c r="C10" t="s">
        <v>10</v>
      </c>
    </row>
    <row r="11" spans="1:27" x14ac:dyDescent="0.25">
      <c r="A11" t="s">
        <v>12</v>
      </c>
      <c r="B11" s="2">
        <v>40</v>
      </c>
      <c r="C11" t="s">
        <v>10</v>
      </c>
    </row>
    <row r="12" spans="1:27" x14ac:dyDescent="0.25">
      <c r="A12" t="s">
        <v>47</v>
      </c>
      <c r="B12" s="3">
        <v>0.05</v>
      </c>
      <c r="C12" t="s">
        <v>5</v>
      </c>
    </row>
    <row r="13" spans="1:27" x14ac:dyDescent="0.25">
      <c r="A13" t="s">
        <v>48</v>
      </c>
      <c r="B13">
        <v>5</v>
      </c>
    </row>
    <row r="14" spans="1:27" x14ac:dyDescent="0.25">
      <c r="O14" s="53" t="s">
        <v>20</v>
      </c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5"/>
    </row>
    <row r="15" spans="1:27" x14ac:dyDescent="0.25">
      <c r="B15" s="50" t="s">
        <v>45</v>
      </c>
      <c r="C15" s="51"/>
      <c r="D15" s="51"/>
      <c r="E15" s="51"/>
      <c r="F15" s="52"/>
      <c r="O15" s="36"/>
      <c r="P15" s="35" t="s">
        <v>42</v>
      </c>
      <c r="Q15" s="32">
        <v>0</v>
      </c>
      <c r="R15" s="33">
        <v>1</v>
      </c>
      <c r="S15" s="32">
        <v>2</v>
      </c>
      <c r="T15" s="33">
        <v>3</v>
      </c>
      <c r="U15" s="32">
        <v>4</v>
      </c>
      <c r="V15" s="33">
        <v>5</v>
      </c>
      <c r="W15" s="32">
        <v>6</v>
      </c>
      <c r="X15" s="33">
        <v>7</v>
      </c>
      <c r="Y15" s="32">
        <v>8</v>
      </c>
      <c r="Z15" s="33">
        <v>9</v>
      </c>
      <c r="AA15" s="34">
        <v>10</v>
      </c>
    </row>
    <row r="16" spans="1:27" x14ac:dyDescent="0.25">
      <c r="B16" s="5" t="s">
        <v>18</v>
      </c>
      <c r="C16" s="6" t="s">
        <v>15</v>
      </c>
      <c r="D16" s="6" t="s">
        <v>16</v>
      </c>
      <c r="E16" s="6" t="s">
        <v>49</v>
      </c>
      <c r="F16" s="7" t="s">
        <v>17</v>
      </c>
      <c r="O16" s="5" t="s">
        <v>19</v>
      </c>
      <c r="P16" s="41" t="s">
        <v>38</v>
      </c>
      <c r="Q16" s="24"/>
      <c r="R16" s="29">
        <f t="shared" ref="R16:AA16" si="0">C38</f>
        <v>100000</v>
      </c>
      <c r="S16" s="24">
        <f t="shared" si="0"/>
        <v>120000</v>
      </c>
      <c r="T16" s="29">
        <f t="shared" si="0"/>
        <v>138600</v>
      </c>
      <c r="U16" s="24">
        <f t="shared" si="0"/>
        <v>141460</v>
      </c>
      <c r="V16" s="29">
        <f t="shared" si="0"/>
        <v>144320</v>
      </c>
      <c r="W16" s="24">
        <f t="shared" si="0"/>
        <v>147290</v>
      </c>
      <c r="X16" s="29">
        <f t="shared" si="0"/>
        <v>150260</v>
      </c>
      <c r="Y16" s="24">
        <f t="shared" si="0"/>
        <v>153340</v>
      </c>
      <c r="Z16" s="29">
        <f t="shared" si="0"/>
        <v>156420</v>
      </c>
      <c r="AA16" s="25">
        <f t="shared" si="0"/>
        <v>159610</v>
      </c>
    </row>
    <row r="17" spans="1:27" x14ac:dyDescent="0.25">
      <c r="B17" s="5">
        <v>0</v>
      </c>
      <c r="C17" s="6"/>
      <c r="D17" s="6"/>
      <c r="E17" s="6"/>
      <c r="F17" s="9">
        <f>B9</f>
        <v>200000</v>
      </c>
      <c r="O17" s="5" t="s">
        <v>24</v>
      </c>
      <c r="P17" s="41" t="s">
        <v>39</v>
      </c>
      <c r="Q17" s="26"/>
      <c r="R17" s="30">
        <f t="shared" ref="R17:AA17" si="1">-C39</f>
        <v>-30000</v>
      </c>
      <c r="S17" s="26">
        <f t="shared" si="1"/>
        <v>-36000</v>
      </c>
      <c r="T17" s="30">
        <f t="shared" si="1"/>
        <v>-37800</v>
      </c>
      <c r="U17" s="26">
        <f t="shared" si="1"/>
        <v>-38580</v>
      </c>
      <c r="V17" s="30">
        <f t="shared" si="1"/>
        <v>-39360</v>
      </c>
      <c r="W17" s="26">
        <f t="shared" si="1"/>
        <v>-40170</v>
      </c>
      <c r="X17" s="30">
        <f t="shared" si="1"/>
        <v>-40980</v>
      </c>
      <c r="Y17" s="26">
        <f t="shared" si="1"/>
        <v>-41820</v>
      </c>
      <c r="Z17" s="30">
        <f t="shared" si="1"/>
        <v>-42660</v>
      </c>
      <c r="AA17" s="18">
        <f t="shared" si="1"/>
        <v>-43530</v>
      </c>
    </row>
    <row r="18" spans="1:27" x14ac:dyDescent="0.25">
      <c r="A18" s="4"/>
      <c r="B18" s="5">
        <v>1</v>
      </c>
      <c r="C18" s="17">
        <f>PMT(B12,B13,B9)</f>
        <v>-46194.959625653624</v>
      </c>
      <c r="D18" s="17">
        <f>C18+E18</f>
        <v>-36194.959625653624</v>
      </c>
      <c r="E18" s="8">
        <f>$B$12*F17</f>
        <v>10000</v>
      </c>
      <c r="F18" s="18">
        <f>F17+D18</f>
        <v>163805.04037434637</v>
      </c>
      <c r="O18" s="5" t="s">
        <v>25</v>
      </c>
      <c r="P18" s="41" t="s">
        <v>39</v>
      </c>
      <c r="Q18" s="26"/>
      <c r="R18" s="30">
        <f>-$B$7</f>
        <v>-20000</v>
      </c>
      <c r="S18" s="26">
        <f t="shared" ref="S18:AA18" si="2">-$B$7</f>
        <v>-20000</v>
      </c>
      <c r="T18" s="30">
        <f t="shared" si="2"/>
        <v>-20000</v>
      </c>
      <c r="U18" s="26">
        <f t="shared" si="2"/>
        <v>-20000</v>
      </c>
      <c r="V18" s="30">
        <f t="shared" si="2"/>
        <v>-20000</v>
      </c>
      <c r="W18" s="26">
        <f t="shared" si="2"/>
        <v>-20000</v>
      </c>
      <c r="X18" s="30">
        <f t="shared" si="2"/>
        <v>-20000</v>
      </c>
      <c r="Y18" s="26">
        <f t="shared" si="2"/>
        <v>-20000</v>
      </c>
      <c r="Z18" s="30">
        <f t="shared" si="2"/>
        <v>-20000</v>
      </c>
      <c r="AA18" s="18">
        <f t="shared" si="2"/>
        <v>-20000</v>
      </c>
    </row>
    <row r="19" spans="1:27" x14ac:dyDescent="0.25">
      <c r="B19" s="5">
        <v>2</v>
      </c>
      <c r="C19" s="17">
        <f>$C$18</f>
        <v>-46194.959625653624</v>
      </c>
      <c r="D19" s="17">
        <f>C19+E19</f>
        <v>-38004.707606936303</v>
      </c>
      <c r="E19" s="8">
        <f t="shared" ref="E19:E22" si="3">$B$12*F18</f>
        <v>8190.2520187173186</v>
      </c>
      <c r="F19" s="18">
        <f>F18+D19</f>
        <v>125800.33276741006</v>
      </c>
      <c r="O19" s="5" t="s">
        <v>26</v>
      </c>
      <c r="P19" s="41" t="s">
        <v>39</v>
      </c>
      <c r="Q19" s="26"/>
      <c r="R19" s="30">
        <f t="shared" ref="R19:AA20" si="4">-C26</f>
        <v>-10000</v>
      </c>
      <c r="S19" s="26">
        <f t="shared" si="4"/>
        <v>-10000</v>
      </c>
      <c r="T19" s="30">
        <f t="shared" si="4"/>
        <v>-10000</v>
      </c>
      <c r="U19" s="26">
        <f t="shared" si="4"/>
        <v>-10000</v>
      </c>
      <c r="V19" s="30">
        <f t="shared" si="4"/>
        <v>-10000</v>
      </c>
      <c r="W19" s="26">
        <f t="shared" si="4"/>
        <v>-10000</v>
      </c>
      <c r="X19" s="30">
        <f t="shared" si="4"/>
        <v>-10000</v>
      </c>
      <c r="Y19" s="26">
        <f t="shared" si="4"/>
        <v>-10000</v>
      </c>
      <c r="Z19" s="30">
        <f t="shared" si="4"/>
        <v>-10000</v>
      </c>
      <c r="AA19" s="18">
        <f t="shared" si="4"/>
        <v>-10000</v>
      </c>
    </row>
    <row r="20" spans="1:27" x14ac:dyDescent="0.25">
      <c r="B20" s="5">
        <v>3</v>
      </c>
      <c r="C20" s="17">
        <f t="shared" ref="C20:C22" si="5">$C$18</f>
        <v>-46194.959625653624</v>
      </c>
      <c r="D20" s="17">
        <f t="shared" ref="D20:D22" si="6">C20+E20</f>
        <v>-39904.942987283124</v>
      </c>
      <c r="E20" s="8">
        <f t="shared" si="3"/>
        <v>6290.0166383705036</v>
      </c>
      <c r="F20" s="18">
        <f t="shared" ref="F20:F22" si="7">F19+D20</f>
        <v>85895.389780126934</v>
      </c>
      <c r="O20" s="5" t="s">
        <v>27</v>
      </c>
      <c r="P20" s="42" t="s">
        <v>39</v>
      </c>
      <c r="Q20" s="26"/>
      <c r="R20" s="30">
        <f t="shared" si="4"/>
        <v>-5000</v>
      </c>
      <c r="S20" s="26">
        <f t="shared" si="4"/>
        <v>-5000</v>
      </c>
      <c r="T20" s="30">
        <f t="shared" si="4"/>
        <v>-5000</v>
      </c>
      <c r="U20" s="26">
        <f t="shared" si="4"/>
        <v>-5000</v>
      </c>
      <c r="V20" s="30">
        <f t="shared" si="4"/>
        <v>-5000</v>
      </c>
      <c r="W20" s="26">
        <f t="shared" si="4"/>
        <v>-5000</v>
      </c>
      <c r="X20" s="30">
        <f t="shared" si="4"/>
        <v>-5000</v>
      </c>
      <c r="Y20" s="26">
        <f t="shared" si="4"/>
        <v>-5000</v>
      </c>
      <c r="Z20" s="30">
        <f t="shared" si="4"/>
        <v>-5000</v>
      </c>
      <c r="AA20" s="18">
        <f t="shared" si="4"/>
        <v>-5000</v>
      </c>
    </row>
    <row r="21" spans="1:27" x14ac:dyDescent="0.25">
      <c r="B21" s="5">
        <v>4</v>
      </c>
      <c r="C21" s="17">
        <f t="shared" si="5"/>
        <v>-46194.959625653624</v>
      </c>
      <c r="D21" s="17">
        <f t="shared" si="6"/>
        <v>-41900.190136647274</v>
      </c>
      <c r="E21" s="8">
        <f t="shared" si="3"/>
        <v>4294.7694890063467</v>
      </c>
      <c r="F21" s="18">
        <f t="shared" si="7"/>
        <v>43995.19964347966</v>
      </c>
      <c r="O21" s="5" t="s">
        <v>43</v>
      </c>
      <c r="P21" s="41" t="s">
        <v>39</v>
      </c>
      <c r="Q21" s="26"/>
      <c r="R21" s="30">
        <f>-E18</f>
        <v>-10000</v>
      </c>
      <c r="S21" s="26">
        <f>-E19</f>
        <v>-8190.2520187173186</v>
      </c>
      <c r="T21" s="30">
        <f>-E20</f>
        <v>-6290.0166383705036</v>
      </c>
      <c r="U21" s="26">
        <f>-E21</f>
        <v>-4294.7694890063467</v>
      </c>
      <c r="V21" s="30">
        <f>-E22</f>
        <v>-2199.7599821739832</v>
      </c>
      <c r="W21" s="26"/>
      <c r="X21" s="30"/>
      <c r="Y21" s="26"/>
      <c r="Z21" s="30"/>
      <c r="AA21" s="18"/>
    </row>
    <row r="22" spans="1:27" x14ac:dyDescent="0.25">
      <c r="B22" s="10">
        <v>5</v>
      </c>
      <c r="C22" s="19">
        <f t="shared" si="5"/>
        <v>-46194.959625653624</v>
      </c>
      <c r="D22" s="19">
        <f t="shared" si="6"/>
        <v>-43995.199643479638</v>
      </c>
      <c r="E22" s="11">
        <f t="shared" si="3"/>
        <v>2199.7599821739832</v>
      </c>
      <c r="F22" s="20">
        <f t="shared" si="7"/>
        <v>0</v>
      </c>
      <c r="O22" s="5" t="s">
        <v>29</v>
      </c>
      <c r="P22" s="41" t="s">
        <v>39</v>
      </c>
      <c r="Q22" s="26"/>
      <c r="R22" s="30"/>
      <c r="S22" s="26"/>
      <c r="T22" s="30"/>
      <c r="U22" s="26"/>
      <c r="V22" s="30"/>
      <c r="W22" s="26">
        <f>0.5*B4</f>
        <v>50000</v>
      </c>
      <c r="X22" s="30"/>
      <c r="Y22" s="26"/>
      <c r="Z22" s="30"/>
      <c r="AA22" s="18"/>
    </row>
    <row r="23" spans="1:27" x14ac:dyDescent="0.25">
      <c r="O23" s="5" t="s">
        <v>28</v>
      </c>
      <c r="P23" s="41" t="s">
        <v>39</v>
      </c>
      <c r="Q23" s="26"/>
      <c r="R23" s="30"/>
      <c r="S23" s="26"/>
      <c r="T23" s="30"/>
      <c r="U23" s="26"/>
      <c r="V23" s="30"/>
      <c r="W23" s="26">
        <f>-H31</f>
        <v>-40000</v>
      </c>
      <c r="X23" s="30"/>
      <c r="Y23" s="26"/>
      <c r="Z23" s="30"/>
      <c r="AA23" s="18">
        <f>-SUM(L31:L32)</f>
        <v>-210000</v>
      </c>
    </row>
    <row r="24" spans="1:27" x14ac:dyDescent="0.25">
      <c r="B24" s="53" t="s">
        <v>41</v>
      </c>
      <c r="C24" s="54"/>
      <c r="D24" s="54"/>
      <c r="E24" s="54"/>
      <c r="F24" s="54"/>
      <c r="G24" s="54"/>
      <c r="H24" s="54"/>
      <c r="I24" s="54"/>
      <c r="J24" s="54"/>
      <c r="K24" s="54"/>
      <c r="L24" s="55"/>
      <c r="O24" s="36" t="s">
        <v>30</v>
      </c>
      <c r="P24" s="40" t="s">
        <v>40</v>
      </c>
      <c r="Q24" s="37">
        <f>SUM(Q16:Q23)</f>
        <v>0</v>
      </c>
      <c r="R24" s="38">
        <f t="shared" ref="R24:AA24" si="8">SUM(R16:R23)</f>
        <v>25000</v>
      </c>
      <c r="S24" s="37">
        <f t="shared" si="8"/>
        <v>40809.747981282679</v>
      </c>
      <c r="T24" s="38">
        <f t="shared" si="8"/>
        <v>59509.983361629493</v>
      </c>
      <c r="U24" s="37">
        <f t="shared" si="8"/>
        <v>63585.230510993657</v>
      </c>
      <c r="V24" s="38">
        <f t="shared" si="8"/>
        <v>67760.240017826014</v>
      </c>
      <c r="W24" s="37">
        <f t="shared" si="8"/>
        <v>82120</v>
      </c>
      <c r="X24" s="38">
        <f t="shared" si="8"/>
        <v>74280</v>
      </c>
      <c r="Y24" s="37">
        <f t="shared" si="8"/>
        <v>76520</v>
      </c>
      <c r="Z24" s="38">
        <f t="shared" si="8"/>
        <v>78760</v>
      </c>
      <c r="AA24" s="39">
        <f t="shared" si="8"/>
        <v>-128920</v>
      </c>
    </row>
    <row r="25" spans="1:27" x14ac:dyDescent="0.25">
      <c r="B25" s="5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7">
        <v>10</v>
      </c>
      <c r="O25" s="5" t="s">
        <v>31</v>
      </c>
      <c r="P25" s="35" t="s">
        <v>39</v>
      </c>
      <c r="Q25" s="26">
        <f>-Q24*0.225</f>
        <v>0</v>
      </c>
      <c r="R25" s="30">
        <f t="shared" ref="R25:AA25" si="9">-R24*0.225</f>
        <v>-5625</v>
      </c>
      <c r="S25" s="26">
        <f t="shared" si="9"/>
        <v>-9182.1932957886038</v>
      </c>
      <c r="T25" s="30">
        <f t="shared" si="9"/>
        <v>-13389.746256366636</v>
      </c>
      <c r="U25" s="26">
        <f t="shared" si="9"/>
        <v>-14306.676864973573</v>
      </c>
      <c r="V25" s="30">
        <f t="shared" si="9"/>
        <v>-15246.054004010854</v>
      </c>
      <c r="W25" s="26">
        <f t="shared" si="9"/>
        <v>-18477</v>
      </c>
      <c r="X25" s="30">
        <f t="shared" si="9"/>
        <v>-16713</v>
      </c>
      <c r="Y25" s="26">
        <f t="shared" si="9"/>
        <v>-17217</v>
      </c>
      <c r="Z25" s="30">
        <f t="shared" si="9"/>
        <v>-17721</v>
      </c>
      <c r="AA25" s="18">
        <f t="shared" si="9"/>
        <v>29007</v>
      </c>
    </row>
    <row r="26" spans="1:27" x14ac:dyDescent="0.25">
      <c r="B26" s="5" t="s">
        <v>1</v>
      </c>
      <c r="C26" s="14">
        <f>$B$4/$B$10</f>
        <v>10000</v>
      </c>
      <c r="D26" s="14">
        <f t="shared" ref="D26:L26" si="10">$B$4/$B$10</f>
        <v>10000</v>
      </c>
      <c r="E26" s="14">
        <f t="shared" si="10"/>
        <v>10000</v>
      </c>
      <c r="F26" s="14">
        <f t="shared" si="10"/>
        <v>10000</v>
      </c>
      <c r="G26" s="14">
        <f t="shared" si="10"/>
        <v>10000</v>
      </c>
      <c r="H26" s="14">
        <f t="shared" si="10"/>
        <v>10000</v>
      </c>
      <c r="I26" s="15">
        <f t="shared" si="10"/>
        <v>10000</v>
      </c>
      <c r="J26" s="15">
        <f t="shared" si="10"/>
        <v>10000</v>
      </c>
      <c r="K26" s="15">
        <f t="shared" si="10"/>
        <v>10000</v>
      </c>
      <c r="L26" s="16">
        <f t="shared" si="10"/>
        <v>10000</v>
      </c>
      <c r="O26" s="36" t="s">
        <v>32</v>
      </c>
      <c r="P26" s="44" t="s">
        <v>40</v>
      </c>
      <c r="Q26" s="37">
        <f>SUM(Q24:Q25)</f>
        <v>0</v>
      </c>
      <c r="R26" s="38">
        <f t="shared" ref="R26:AA26" si="11">SUM(R24:R25)</f>
        <v>19375</v>
      </c>
      <c r="S26" s="37">
        <f t="shared" si="11"/>
        <v>31627.554685494077</v>
      </c>
      <c r="T26" s="38">
        <f t="shared" si="11"/>
        <v>46120.237105262859</v>
      </c>
      <c r="U26" s="37">
        <f t="shared" si="11"/>
        <v>49278.553646020082</v>
      </c>
      <c r="V26" s="38">
        <f t="shared" si="11"/>
        <v>52514.186013815161</v>
      </c>
      <c r="W26" s="37">
        <f t="shared" si="11"/>
        <v>63643</v>
      </c>
      <c r="X26" s="38">
        <f t="shared" si="11"/>
        <v>57567</v>
      </c>
      <c r="Y26" s="37">
        <f t="shared" si="11"/>
        <v>59303</v>
      </c>
      <c r="Z26" s="38">
        <f t="shared" si="11"/>
        <v>61039</v>
      </c>
      <c r="AA26" s="39">
        <f t="shared" si="11"/>
        <v>-99913</v>
      </c>
    </row>
    <row r="27" spans="1:27" x14ac:dyDescent="0.25">
      <c r="B27" s="10" t="s">
        <v>2</v>
      </c>
      <c r="C27" s="11">
        <f>$B$5/$B$11</f>
        <v>5000</v>
      </c>
      <c r="D27" s="11">
        <f t="shared" ref="D27:L27" si="12">$B$5/$B$11</f>
        <v>5000</v>
      </c>
      <c r="E27" s="11">
        <f t="shared" si="12"/>
        <v>5000</v>
      </c>
      <c r="F27" s="11">
        <f t="shared" si="12"/>
        <v>5000</v>
      </c>
      <c r="G27" s="11">
        <f t="shared" si="12"/>
        <v>5000</v>
      </c>
      <c r="H27" s="11">
        <f t="shared" si="12"/>
        <v>5000</v>
      </c>
      <c r="I27" s="11">
        <f t="shared" si="12"/>
        <v>5000</v>
      </c>
      <c r="J27" s="11">
        <f t="shared" si="12"/>
        <v>5000</v>
      </c>
      <c r="K27" s="11">
        <f t="shared" si="12"/>
        <v>5000</v>
      </c>
      <c r="L27" s="12">
        <f t="shared" si="12"/>
        <v>5000</v>
      </c>
      <c r="O27" s="5" t="s">
        <v>26</v>
      </c>
      <c r="P27" s="41" t="s">
        <v>38</v>
      </c>
      <c r="Q27" s="6"/>
      <c r="R27" s="31">
        <f>-R20</f>
        <v>5000</v>
      </c>
      <c r="S27" s="8">
        <f t="shared" ref="S27:AA27" si="13">-S20</f>
        <v>5000</v>
      </c>
      <c r="T27" s="31">
        <f t="shared" si="13"/>
        <v>5000</v>
      </c>
      <c r="U27" s="8">
        <f t="shared" si="13"/>
        <v>5000</v>
      </c>
      <c r="V27" s="31">
        <f t="shared" si="13"/>
        <v>5000</v>
      </c>
      <c r="W27" s="8">
        <f t="shared" si="13"/>
        <v>5000</v>
      </c>
      <c r="X27" s="31">
        <f t="shared" si="13"/>
        <v>5000</v>
      </c>
      <c r="Y27" s="8">
        <f t="shared" si="13"/>
        <v>5000</v>
      </c>
      <c r="Z27" s="31">
        <f t="shared" si="13"/>
        <v>5000</v>
      </c>
      <c r="AA27" s="9">
        <f t="shared" si="13"/>
        <v>5000</v>
      </c>
    </row>
    <row r="28" spans="1:27" x14ac:dyDescent="0.25">
      <c r="O28" s="5" t="s">
        <v>27</v>
      </c>
      <c r="P28" s="41" t="s">
        <v>38</v>
      </c>
      <c r="Q28" s="6"/>
      <c r="R28" s="31">
        <f>-R21</f>
        <v>10000</v>
      </c>
      <c r="S28" s="8">
        <f t="shared" ref="S28:AA28" si="14">-S21</f>
        <v>8190.2520187173186</v>
      </c>
      <c r="T28" s="31">
        <f t="shared" si="14"/>
        <v>6290.0166383705036</v>
      </c>
      <c r="U28" s="8">
        <f t="shared" si="14"/>
        <v>4294.7694890063467</v>
      </c>
      <c r="V28" s="31">
        <f t="shared" si="14"/>
        <v>2199.7599821739832</v>
      </c>
      <c r="W28" s="8">
        <f t="shared" si="14"/>
        <v>0</v>
      </c>
      <c r="X28" s="31">
        <f t="shared" si="14"/>
        <v>0</v>
      </c>
      <c r="Y28" s="8">
        <f t="shared" si="14"/>
        <v>0</v>
      </c>
      <c r="Z28" s="31">
        <f t="shared" si="14"/>
        <v>0</v>
      </c>
      <c r="AA28" s="9">
        <f t="shared" si="14"/>
        <v>0</v>
      </c>
    </row>
    <row r="29" spans="1:27" x14ac:dyDescent="0.25">
      <c r="B29" s="53" t="s">
        <v>28</v>
      </c>
      <c r="C29" s="54"/>
      <c r="D29" s="54"/>
      <c r="E29" s="54"/>
      <c r="F29" s="54"/>
      <c r="G29" s="54"/>
      <c r="H29" s="54"/>
      <c r="I29" s="54"/>
      <c r="J29" s="54"/>
      <c r="K29" s="54"/>
      <c r="L29" s="55"/>
      <c r="O29" s="5" t="s">
        <v>44</v>
      </c>
      <c r="P29" s="41" t="s">
        <v>39</v>
      </c>
      <c r="Q29" s="6"/>
      <c r="R29" s="30">
        <f>D18</f>
        <v>-36194.959625653624</v>
      </c>
      <c r="S29" s="26">
        <f>D19</f>
        <v>-38004.707606936303</v>
      </c>
      <c r="T29" s="30">
        <f>D20</f>
        <v>-39904.942987283124</v>
      </c>
      <c r="U29" s="26">
        <f>D21</f>
        <v>-41900.190136647274</v>
      </c>
      <c r="V29" s="30">
        <f>D22</f>
        <v>-43995.199643479638</v>
      </c>
      <c r="W29" s="6"/>
      <c r="X29" s="28"/>
      <c r="Y29" s="6"/>
      <c r="Z29" s="28"/>
      <c r="AA29" s="7"/>
    </row>
    <row r="30" spans="1:27" x14ac:dyDescent="0.2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7">
        <v>10</v>
      </c>
      <c r="O30" s="5" t="s">
        <v>45</v>
      </c>
      <c r="P30" s="41" t="s">
        <v>39</v>
      </c>
      <c r="Q30" s="8">
        <f>F17</f>
        <v>200000</v>
      </c>
      <c r="R30" s="28"/>
      <c r="S30" s="6"/>
      <c r="T30" s="28"/>
      <c r="U30" s="6"/>
      <c r="V30" s="28"/>
      <c r="W30" s="6"/>
      <c r="X30" s="28"/>
      <c r="Y30" s="6"/>
      <c r="Z30" s="28"/>
      <c r="AA30" s="7"/>
    </row>
    <row r="31" spans="1:27" x14ac:dyDescent="0.25">
      <c r="B31" s="5" t="s">
        <v>1</v>
      </c>
      <c r="C31" s="6"/>
      <c r="D31" s="6"/>
      <c r="E31" s="6"/>
      <c r="F31" s="6"/>
      <c r="G31" s="6"/>
      <c r="H31" s="8">
        <f>B4-SUM(C26:H26)</f>
        <v>40000</v>
      </c>
      <c r="I31" s="6"/>
      <c r="J31" s="6"/>
      <c r="K31" s="6"/>
      <c r="L31" s="9">
        <f>B4-SUM(I26:L26)</f>
        <v>60000</v>
      </c>
      <c r="O31" s="5" t="s">
        <v>33</v>
      </c>
      <c r="P31" s="41" t="s">
        <v>39</v>
      </c>
      <c r="Q31" s="8">
        <f t="shared" ref="Q31:Q32" si="15">-B4</f>
        <v>-100000</v>
      </c>
      <c r="R31" s="28"/>
      <c r="S31" s="6"/>
      <c r="T31" s="28"/>
      <c r="U31" s="6"/>
      <c r="V31" s="28"/>
      <c r="W31" s="6"/>
      <c r="X31" s="28"/>
      <c r="Y31" s="6"/>
      <c r="Z31" s="28"/>
      <c r="AA31" s="7"/>
    </row>
    <row r="32" spans="1:27" x14ac:dyDescent="0.25">
      <c r="B32" s="10" t="s">
        <v>2</v>
      </c>
      <c r="C32" s="13"/>
      <c r="D32" s="13"/>
      <c r="E32" s="13"/>
      <c r="F32" s="13"/>
      <c r="G32" s="13"/>
      <c r="H32" s="13"/>
      <c r="I32" s="13"/>
      <c r="J32" s="13"/>
      <c r="K32" s="13"/>
      <c r="L32" s="12">
        <f>B5-SUM(C27:L27)</f>
        <v>150000</v>
      </c>
      <c r="O32" s="5" t="s">
        <v>2</v>
      </c>
      <c r="P32" s="41" t="s">
        <v>39</v>
      </c>
      <c r="Q32" s="8">
        <f t="shared" si="15"/>
        <v>-200000</v>
      </c>
      <c r="R32" s="28"/>
      <c r="S32" s="6"/>
      <c r="T32" s="28"/>
      <c r="U32" s="6"/>
      <c r="V32" s="28"/>
      <c r="W32" s="6"/>
      <c r="X32" s="28"/>
      <c r="Y32" s="6"/>
      <c r="Z32" s="28"/>
      <c r="AA32" s="7"/>
    </row>
    <row r="33" spans="2:27" x14ac:dyDescent="0.25">
      <c r="O33" s="5" t="s">
        <v>3</v>
      </c>
      <c r="P33" s="41" t="s">
        <v>39</v>
      </c>
      <c r="Q33" s="8">
        <f>-B6</f>
        <v>-80000</v>
      </c>
      <c r="R33" s="28"/>
      <c r="S33" s="6"/>
      <c r="T33" s="28"/>
      <c r="U33" s="6"/>
      <c r="V33" s="28"/>
      <c r="W33" s="6"/>
      <c r="X33" s="28"/>
      <c r="Y33" s="6"/>
      <c r="Z33" s="28"/>
      <c r="AA33" s="7"/>
    </row>
    <row r="34" spans="2:27" x14ac:dyDescent="0.25">
      <c r="O34" s="5" t="s">
        <v>28</v>
      </c>
      <c r="P34" s="41" t="s">
        <v>38</v>
      </c>
      <c r="Q34" s="6"/>
      <c r="R34" s="28"/>
      <c r="S34" s="6"/>
      <c r="T34" s="28"/>
      <c r="U34" s="6"/>
      <c r="V34" s="28"/>
      <c r="W34" s="26">
        <f>-W23</f>
        <v>40000</v>
      </c>
      <c r="X34" s="28"/>
      <c r="Y34" s="6"/>
      <c r="Z34" s="28"/>
      <c r="AA34" s="18">
        <f>-AA23</f>
        <v>210000</v>
      </c>
    </row>
    <row r="35" spans="2:27" x14ac:dyDescent="0.25">
      <c r="B35" s="21"/>
      <c r="C35" s="22">
        <v>1</v>
      </c>
      <c r="D35" s="22">
        <v>2</v>
      </c>
      <c r="E35" s="22">
        <v>3</v>
      </c>
      <c r="F35" s="22">
        <v>4</v>
      </c>
      <c r="G35" s="22">
        <v>5</v>
      </c>
      <c r="H35" s="22">
        <v>6</v>
      </c>
      <c r="I35" s="22">
        <v>7</v>
      </c>
      <c r="J35" s="22">
        <v>8</v>
      </c>
      <c r="K35" s="22">
        <v>9</v>
      </c>
      <c r="L35" s="23">
        <v>10</v>
      </c>
      <c r="O35" s="5" t="s">
        <v>34</v>
      </c>
      <c r="P35" s="43" t="s">
        <v>38</v>
      </c>
      <c r="Q35" s="6"/>
      <c r="R35" s="28"/>
      <c r="S35" s="6"/>
      <c r="T35" s="28"/>
      <c r="U35" s="6"/>
      <c r="V35" s="28"/>
      <c r="W35" s="6"/>
      <c r="X35" s="28"/>
      <c r="Y35" s="6"/>
      <c r="Z35" s="28"/>
      <c r="AA35" s="9">
        <f>SUM(L31:L32)+B6</f>
        <v>290000</v>
      </c>
    </row>
    <row r="36" spans="2:27" x14ac:dyDescent="0.25">
      <c r="B36" s="5" t="s">
        <v>21</v>
      </c>
      <c r="C36" s="6">
        <v>100</v>
      </c>
      <c r="D36" s="6">
        <v>100</v>
      </c>
      <c r="E36" s="6">
        <v>110</v>
      </c>
      <c r="F36" s="6">
        <v>110</v>
      </c>
      <c r="G36" s="6">
        <v>110</v>
      </c>
      <c r="H36" s="6">
        <v>110</v>
      </c>
      <c r="I36" s="6">
        <v>110</v>
      </c>
      <c r="J36" s="6">
        <v>110</v>
      </c>
      <c r="K36" s="6">
        <v>110</v>
      </c>
      <c r="L36" s="7">
        <v>110</v>
      </c>
      <c r="O36" s="45" t="s">
        <v>35</v>
      </c>
      <c r="P36" s="35" t="s">
        <v>40</v>
      </c>
      <c r="Q36" s="46">
        <f>SUM(Q26:Q35)</f>
        <v>-180000</v>
      </c>
      <c r="R36" s="47">
        <f t="shared" ref="R36:AA36" si="16">SUM(R26:R35)</f>
        <v>-1819.9596256536242</v>
      </c>
      <c r="S36" s="46">
        <f t="shared" si="16"/>
        <v>6813.0990972750951</v>
      </c>
      <c r="T36" s="47">
        <f t="shared" si="16"/>
        <v>17505.310756350242</v>
      </c>
      <c r="U36" s="46">
        <f t="shared" si="16"/>
        <v>16673.132998379151</v>
      </c>
      <c r="V36" s="47">
        <f t="shared" si="16"/>
        <v>15718.746352509508</v>
      </c>
      <c r="W36" s="46">
        <f t="shared" si="16"/>
        <v>108643</v>
      </c>
      <c r="X36" s="47">
        <f t="shared" si="16"/>
        <v>62567</v>
      </c>
      <c r="Y36" s="46">
        <f t="shared" si="16"/>
        <v>64303</v>
      </c>
      <c r="Z36" s="47">
        <f t="shared" si="16"/>
        <v>66039</v>
      </c>
      <c r="AA36" s="48">
        <f t="shared" si="16"/>
        <v>405087</v>
      </c>
    </row>
    <row r="37" spans="2:27" x14ac:dyDescent="0.25">
      <c r="B37" s="5" t="s">
        <v>0</v>
      </c>
      <c r="C37" s="6">
        <v>1000</v>
      </c>
      <c r="D37" s="6">
        <f>ROUNDUP(C37*1.2,0)</f>
        <v>1200</v>
      </c>
      <c r="E37" s="6">
        <f>ROUNDUP(D37*1.05,0)</f>
        <v>1260</v>
      </c>
      <c r="F37" s="6">
        <f>ROUNDUP(E37*1.02,0)</f>
        <v>1286</v>
      </c>
      <c r="G37" s="6">
        <f t="shared" ref="G37:L37" si="17">ROUNDUP(F37*1.02,0)</f>
        <v>1312</v>
      </c>
      <c r="H37" s="6">
        <f t="shared" si="17"/>
        <v>1339</v>
      </c>
      <c r="I37" s="6">
        <f t="shared" si="17"/>
        <v>1366</v>
      </c>
      <c r="J37" s="6">
        <f t="shared" si="17"/>
        <v>1394</v>
      </c>
      <c r="K37" s="6">
        <f t="shared" si="17"/>
        <v>1422</v>
      </c>
      <c r="L37" s="6">
        <f t="shared" si="17"/>
        <v>1451</v>
      </c>
    </row>
    <row r="38" spans="2:27" x14ac:dyDescent="0.25">
      <c r="B38" s="5" t="s">
        <v>22</v>
      </c>
      <c r="C38" s="26">
        <f>C37*C36</f>
        <v>100000</v>
      </c>
      <c r="D38" s="26">
        <f t="shared" ref="D38:L38" si="18">D37*D36</f>
        <v>120000</v>
      </c>
      <c r="E38" s="26">
        <f>E37*E36</f>
        <v>138600</v>
      </c>
      <c r="F38" s="26">
        <f>F37*F36</f>
        <v>141460</v>
      </c>
      <c r="G38" s="26">
        <f t="shared" si="18"/>
        <v>144320</v>
      </c>
      <c r="H38" s="26">
        <f t="shared" si="18"/>
        <v>147290</v>
      </c>
      <c r="I38" s="26">
        <f t="shared" si="18"/>
        <v>150260</v>
      </c>
      <c r="J38" s="26">
        <f t="shared" si="18"/>
        <v>153340</v>
      </c>
      <c r="K38" s="26">
        <f t="shared" si="18"/>
        <v>156420</v>
      </c>
      <c r="L38" s="18">
        <f t="shared" si="18"/>
        <v>159610</v>
      </c>
      <c r="R38" s="45" t="s">
        <v>36</v>
      </c>
      <c r="S38" s="48">
        <f>NPV(0.1,R36:AA36)+Q36</f>
        <v>165892.51602966094</v>
      </c>
    </row>
    <row r="39" spans="2:27" x14ac:dyDescent="0.25">
      <c r="B39" s="10" t="s">
        <v>23</v>
      </c>
      <c r="C39" s="11">
        <f>$B$8*C37</f>
        <v>30000</v>
      </c>
      <c r="D39" s="11">
        <f t="shared" ref="D39:L39" si="19">$B$8*D37</f>
        <v>36000</v>
      </c>
      <c r="E39" s="11">
        <f t="shared" si="19"/>
        <v>37800</v>
      </c>
      <c r="F39" s="11">
        <f t="shared" si="19"/>
        <v>38580</v>
      </c>
      <c r="G39" s="11">
        <f t="shared" si="19"/>
        <v>39360</v>
      </c>
      <c r="H39" s="11">
        <f t="shared" si="19"/>
        <v>40170</v>
      </c>
      <c r="I39" s="11">
        <f t="shared" si="19"/>
        <v>40980</v>
      </c>
      <c r="J39" s="11">
        <f t="shared" si="19"/>
        <v>41820</v>
      </c>
      <c r="K39" s="11">
        <f t="shared" si="19"/>
        <v>42660</v>
      </c>
      <c r="L39" s="12">
        <f t="shared" si="19"/>
        <v>43530</v>
      </c>
      <c r="R39" s="27" t="s">
        <v>37</v>
      </c>
      <c r="S39" s="49">
        <f>IRR(Q36:AA36)</f>
        <v>0.19533324596501767</v>
      </c>
    </row>
  </sheetData>
  <mergeCells count="4">
    <mergeCell ref="B15:F15"/>
    <mergeCell ref="B24:L24"/>
    <mergeCell ref="B29:L29"/>
    <mergeCell ref="O14:AA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Desarrollo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 G</dc:creator>
  <cp:lastModifiedBy>Tere G</cp:lastModifiedBy>
  <dcterms:created xsi:type="dcterms:W3CDTF">2016-08-19T01:08:17Z</dcterms:created>
  <dcterms:modified xsi:type="dcterms:W3CDTF">2017-03-30T22:39:38Z</dcterms:modified>
</cp:coreProperties>
</file>