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codeName="ThisWorkbook" defaultThemeVersion="124226"/>
  <bookViews>
    <workbookView xWindow="0" yWindow="0" windowWidth="20490" windowHeight="7530" activeTab="1"/>
  </bookViews>
  <sheets>
    <sheet name="Activos" sheetId="2" r:id="rId1"/>
    <sheet name="Actividad" sheetId="1" r:id="rId2"/>
    <sheet name="Calendarios" sheetId="3" r:id="rId3"/>
    <sheet name="Alternativa 1" sheetId="4" r:id="rId4"/>
    <sheet name="Alternativa 2" sheetId="11" r:id="rId5"/>
    <sheet name="Alternativa 3" sheetId="10" r:id="rId6"/>
    <sheet name="tabla amortización" sheetId="6" r:id="rId7"/>
    <sheet name="tabla amortización 2" sheetId="12" r:id="rId8"/>
    <sheet name="PUNTAJES" sheetId="5" r:id="rId9"/>
    <sheet name="Hoja1" sheetId="14" r:id="rId10"/>
  </sheets>
  <calcPr calcId="124519"/>
</workbook>
</file>

<file path=xl/calcChain.xml><?xml version="1.0" encoding="utf-8"?>
<calcChain xmlns="http://schemas.openxmlformats.org/spreadsheetml/2006/main">
  <c r="R33" i="3"/>
  <c r="P15"/>
  <c r="Q15"/>
  <c r="R15"/>
  <c r="O5"/>
  <c r="H5"/>
  <c r="D5"/>
  <c r="E5"/>
  <c r="F5"/>
  <c r="G5"/>
  <c r="C5"/>
  <c r="B5"/>
  <c r="A5"/>
  <c r="D48" i="1"/>
  <c r="E48"/>
  <c r="F48"/>
  <c r="G48"/>
  <c r="H48"/>
  <c r="I48"/>
  <c r="J48"/>
  <c r="K48"/>
  <c r="L48"/>
  <c r="M48"/>
  <c r="D54"/>
  <c r="E54"/>
  <c r="F54"/>
  <c r="G54"/>
  <c r="H54"/>
  <c r="I54"/>
  <c r="J54"/>
  <c r="K54"/>
  <c r="L54"/>
  <c r="M54"/>
  <c r="E46"/>
  <c r="F46"/>
  <c r="G46"/>
  <c r="H46"/>
  <c r="I46"/>
  <c r="J46"/>
  <c r="K46"/>
  <c r="L46"/>
  <c r="M46"/>
  <c r="D46"/>
  <c r="D45"/>
  <c r="D44"/>
  <c r="D15" i="3" l="1"/>
  <c r="E15"/>
  <c r="F15"/>
  <c r="G15"/>
  <c r="C15"/>
  <c r="B15"/>
  <c r="E6" i="2"/>
  <c r="I15" i="3" l="1"/>
  <c r="K15"/>
  <c r="M15"/>
  <c r="O15"/>
  <c r="J15"/>
  <c r="L15"/>
  <c r="N15"/>
  <c r="H15"/>
  <c r="J12" i="1"/>
  <c r="K12"/>
  <c r="L12"/>
  <c r="M12"/>
  <c r="I12"/>
  <c r="F12"/>
  <c r="G12"/>
  <c r="H12"/>
  <c r="E12"/>
  <c r="D12"/>
  <c r="F3"/>
  <c r="G3" s="1"/>
  <c r="E3"/>
  <c r="E11"/>
  <c r="E15" s="1"/>
  <c r="F11"/>
  <c r="G11"/>
  <c r="G14" s="1"/>
  <c r="D11"/>
  <c r="D14" s="1"/>
  <c r="E14"/>
  <c r="G15" l="1"/>
  <c r="F14"/>
  <c r="H11"/>
  <c r="H14" s="1"/>
  <c r="H3"/>
  <c r="D15"/>
  <c r="H15"/>
  <c r="F15"/>
  <c r="E6" i="10"/>
  <c r="F6"/>
  <c r="G6"/>
  <c r="H6"/>
  <c r="I6"/>
  <c r="J6"/>
  <c r="K6"/>
  <c r="L6"/>
  <c r="M6"/>
  <c r="D6"/>
  <c r="I3" i="1" l="1"/>
  <c r="I11"/>
  <c r="I7" i="10"/>
  <c r="J7"/>
  <c r="K7"/>
  <c r="L7"/>
  <c r="M7"/>
  <c r="E18"/>
  <c r="D11"/>
  <c r="D19" s="1"/>
  <c r="E11"/>
  <c r="F11"/>
  <c r="F19" s="1"/>
  <c r="G11"/>
  <c r="G19" s="1"/>
  <c r="H11"/>
  <c r="H19" s="1"/>
  <c r="I4" i="12"/>
  <c r="I17"/>
  <c r="I16"/>
  <c r="D36" i="10"/>
  <c r="L22"/>
  <c r="K22"/>
  <c r="J22"/>
  <c r="I22"/>
  <c r="G22"/>
  <c r="F22"/>
  <c r="E22"/>
  <c r="D22"/>
  <c r="M20"/>
  <c r="C19"/>
  <c r="J18"/>
  <c r="F18"/>
  <c r="C18"/>
  <c r="M19"/>
  <c r="L11"/>
  <c r="L19" s="1"/>
  <c r="K11"/>
  <c r="K19" s="1"/>
  <c r="J11"/>
  <c r="J19" s="1"/>
  <c r="I11"/>
  <c r="I19" s="1"/>
  <c r="E19"/>
  <c r="M18"/>
  <c r="L18"/>
  <c r="K18"/>
  <c r="I18"/>
  <c r="H18"/>
  <c r="G18"/>
  <c r="D18"/>
  <c r="L4"/>
  <c r="K4"/>
  <c r="J4"/>
  <c r="I4"/>
  <c r="G4"/>
  <c r="F4"/>
  <c r="E4"/>
  <c r="D4"/>
  <c r="C4"/>
  <c r="C14" s="1"/>
  <c r="D22" i="11"/>
  <c r="E22"/>
  <c r="F22"/>
  <c r="G22"/>
  <c r="H22"/>
  <c r="I22"/>
  <c r="J22"/>
  <c r="K22"/>
  <c r="L22"/>
  <c r="M22"/>
  <c r="D22" i="4"/>
  <c r="E22"/>
  <c r="F22"/>
  <c r="G22"/>
  <c r="H22"/>
  <c r="I22"/>
  <c r="J22"/>
  <c r="K22"/>
  <c r="L22"/>
  <c r="M22"/>
  <c r="C22"/>
  <c r="M20" i="11"/>
  <c r="L20"/>
  <c r="L8"/>
  <c r="M8"/>
  <c r="I4" i="6"/>
  <c r="I11" s="1"/>
  <c r="D36" i="11"/>
  <c r="C22"/>
  <c r="J19"/>
  <c r="C19"/>
  <c r="C18"/>
  <c r="M11"/>
  <c r="M19" s="1"/>
  <c r="L11"/>
  <c r="L19" s="1"/>
  <c r="K11"/>
  <c r="K19" s="1"/>
  <c r="J11"/>
  <c r="I11"/>
  <c r="I19" s="1"/>
  <c r="H11"/>
  <c r="H19" s="1"/>
  <c r="G11"/>
  <c r="G19" s="1"/>
  <c r="F11"/>
  <c r="F19" s="1"/>
  <c r="E11"/>
  <c r="E19" s="1"/>
  <c r="D11"/>
  <c r="D19" s="1"/>
  <c r="M10"/>
  <c r="M18" s="1"/>
  <c r="L10"/>
  <c r="L18" s="1"/>
  <c r="K10"/>
  <c r="K18" s="1"/>
  <c r="J10"/>
  <c r="J18" s="1"/>
  <c r="I10"/>
  <c r="I18" s="1"/>
  <c r="H10"/>
  <c r="H18" s="1"/>
  <c r="G10"/>
  <c r="G18" s="1"/>
  <c r="F10"/>
  <c r="F18" s="1"/>
  <c r="E10"/>
  <c r="E18" s="1"/>
  <c r="D10"/>
  <c r="D18" s="1"/>
  <c r="M6"/>
  <c r="L6"/>
  <c r="K6"/>
  <c r="J6"/>
  <c r="I6"/>
  <c r="H6"/>
  <c r="G6"/>
  <c r="F6"/>
  <c r="E6"/>
  <c r="D6"/>
  <c r="M4"/>
  <c r="L4"/>
  <c r="K4"/>
  <c r="J4"/>
  <c r="I4"/>
  <c r="H4"/>
  <c r="G4"/>
  <c r="F4"/>
  <c r="E4"/>
  <c r="D4"/>
  <c r="C4"/>
  <c r="C14" s="1"/>
  <c r="M11" i="4"/>
  <c r="M19" s="1"/>
  <c r="K19"/>
  <c r="C19"/>
  <c r="C18"/>
  <c r="E11"/>
  <c r="E19" s="1"/>
  <c r="F11"/>
  <c r="F19" s="1"/>
  <c r="G11"/>
  <c r="G19" s="1"/>
  <c r="H11"/>
  <c r="H19" s="1"/>
  <c r="I11"/>
  <c r="I19" s="1"/>
  <c r="J11"/>
  <c r="J19" s="1"/>
  <c r="K11"/>
  <c r="L11"/>
  <c r="L19" s="1"/>
  <c r="D11"/>
  <c r="D19" s="1"/>
  <c r="E10"/>
  <c r="E18" s="1"/>
  <c r="F10"/>
  <c r="F18" s="1"/>
  <c r="G10"/>
  <c r="G18" s="1"/>
  <c r="H10"/>
  <c r="H18" s="1"/>
  <c r="I10"/>
  <c r="I18" s="1"/>
  <c r="J10"/>
  <c r="J18" s="1"/>
  <c r="K10"/>
  <c r="K18" s="1"/>
  <c r="L10"/>
  <c r="L18" s="1"/>
  <c r="M10"/>
  <c r="M18" s="1"/>
  <c r="D10"/>
  <c r="D18" s="1"/>
  <c r="M6"/>
  <c r="E6"/>
  <c r="F6"/>
  <c r="G6"/>
  <c r="H6"/>
  <c r="I6"/>
  <c r="J6"/>
  <c r="K6"/>
  <c r="L6"/>
  <c r="D6"/>
  <c r="D4"/>
  <c r="E4"/>
  <c r="F4"/>
  <c r="G4"/>
  <c r="H4"/>
  <c r="I4"/>
  <c r="J4"/>
  <c r="K4"/>
  <c r="L4"/>
  <c r="M4"/>
  <c r="C4"/>
  <c r="N19" i="3"/>
  <c r="I9" i="11" s="1"/>
  <c r="I17" s="1"/>
  <c r="R37" i="3"/>
  <c r="Q37"/>
  <c r="P37"/>
  <c r="O37"/>
  <c r="N37"/>
  <c r="M37"/>
  <c r="L37"/>
  <c r="K37"/>
  <c r="J37"/>
  <c r="I37"/>
  <c r="H37"/>
  <c r="R28"/>
  <c r="Q28"/>
  <c r="P28"/>
  <c r="O28"/>
  <c r="N28"/>
  <c r="M28"/>
  <c r="L28"/>
  <c r="K28"/>
  <c r="J28"/>
  <c r="I28"/>
  <c r="H28"/>
  <c r="R19"/>
  <c r="M9" i="10" s="1"/>
  <c r="M17" s="1"/>
  <c r="Q19" i="3"/>
  <c r="L9" i="10" s="1"/>
  <c r="L17" s="1"/>
  <c r="P19" i="3"/>
  <c r="K9" i="11" s="1"/>
  <c r="K17" s="1"/>
  <c r="O19" i="3"/>
  <c r="J9" i="10" s="1"/>
  <c r="J17" s="1"/>
  <c r="E35" i="1"/>
  <c r="E39" s="1"/>
  <c r="F35"/>
  <c r="F38" s="1"/>
  <c r="G35"/>
  <c r="G39" s="1"/>
  <c r="H35"/>
  <c r="H38" s="1"/>
  <c r="I35"/>
  <c r="I39" s="1"/>
  <c r="J35"/>
  <c r="J38" s="1"/>
  <c r="K35"/>
  <c r="K39" s="1"/>
  <c r="L35"/>
  <c r="L38" s="1"/>
  <c r="M35"/>
  <c r="M39" s="1"/>
  <c r="D35"/>
  <c r="D38" s="1"/>
  <c r="E27"/>
  <c r="E31" s="1"/>
  <c r="F27"/>
  <c r="F31" s="1"/>
  <c r="G27"/>
  <c r="G31" s="1"/>
  <c r="H27"/>
  <c r="H31" s="1"/>
  <c r="I27"/>
  <c r="I31" s="1"/>
  <c r="J27"/>
  <c r="J31" s="1"/>
  <c r="K27"/>
  <c r="K31" s="1"/>
  <c r="L27"/>
  <c r="L31" s="1"/>
  <c r="M27"/>
  <c r="M31" s="1"/>
  <c r="D27"/>
  <c r="D31" s="1"/>
  <c r="E19"/>
  <c r="E23" s="1"/>
  <c r="E53" s="1"/>
  <c r="E5" i="10" s="1"/>
  <c r="F19" i="1"/>
  <c r="F23" s="1"/>
  <c r="G19"/>
  <c r="G23" s="1"/>
  <c r="G53" s="1"/>
  <c r="G5" i="10" s="1"/>
  <c r="H19" i="1"/>
  <c r="H23" s="1"/>
  <c r="I19"/>
  <c r="I23" s="1"/>
  <c r="J19"/>
  <c r="J23" s="1"/>
  <c r="K19"/>
  <c r="K23" s="1"/>
  <c r="L19"/>
  <c r="L23" s="1"/>
  <c r="M19"/>
  <c r="M23" s="1"/>
  <c r="D19"/>
  <c r="D23" s="1"/>
  <c r="I17" i="6"/>
  <c r="I16"/>
  <c r="H11" s="1"/>
  <c r="D36" i="4"/>
  <c r="O27"/>
  <c r="J9" l="1"/>
  <c r="J17" s="1"/>
  <c r="L9"/>
  <c r="L17" s="1"/>
  <c r="J19" i="3"/>
  <c r="E9" i="4" s="1"/>
  <c r="E17" s="1"/>
  <c r="M9" i="11"/>
  <c r="M17" s="1"/>
  <c r="K9" i="10"/>
  <c r="K17" s="1"/>
  <c r="M19" i="3"/>
  <c r="H9" i="10" s="1"/>
  <c r="H17" s="1"/>
  <c r="K19" i="3"/>
  <c r="I19"/>
  <c r="D9" i="10" s="1"/>
  <c r="D17" s="1"/>
  <c r="M9" i="4"/>
  <c r="M17" s="1"/>
  <c r="K9"/>
  <c r="K17" s="1"/>
  <c r="J9" i="11"/>
  <c r="J17" s="1"/>
  <c r="L9"/>
  <c r="L17" s="1"/>
  <c r="I9" i="10"/>
  <c r="I17" s="1"/>
  <c r="I9" i="4"/>
  <c r="I17" s="1"/>
  <c r="E9" i="11"/>
  <c r="E17" s="1"/>
  <c r="E9" i="10"/>
  <c r="E17" s="1"/>
  <c r="D9" i="4"/>
  <c r="D17" s="1"/>
  <c r="H9" i="11"/>
  <c r="H17" s="1"/>
  <c r="E22" i="1"/>
  <c r="G22"/>
  <c r="I22"/>
  <c r="K22"/>
  <c r="M22"/>
  <c r="E30"/>
  <c r="G30"/>
  <c r="I30"/>
  <c r="K30"/>
  <c r="M30"/>
  <c r="E38"/>
  <c r="G38"/>
  <c r="I38"/>
  <c r="K38"/>
  <c r="M38"/>
  <c r="F39"/>
  <c r="F53" s="1"/>
  <c r="H39"/>
  <c r="H53" s="1"/>
  <c r="J39"/>
  <c r="L39"/>
  <c r="D39"/>
  <c r="D53" s="1"/>
  <c r="D22"/>
  <c r="F22"/>
  <c r="H22"/>
  <c r="J22"/>
  <c r="L22"/>
  <c r="D30"/>
  <c r="F30"/>
  <c r="H30"/>
  <c r="J30"/>
  <c r="L30"/>
  <c r="J11"/>
  <c r="J3"/>
  <c r="I15"/>
  <c r="I53" s="1"/>
  <c r="I5" i="10" s="1"/>
  <c r="I14" i="1"/>
  <c r="I52" s="1"/>
  <c r="I3" i="10" s="1"/>
  <c r="I14" s="1"/>
  <c r="I15" s="1"/>
  <c r="I16" s="1"/>
  <c r="I27" s="1"/>
  <c r="I28" s="1"/>
  <c r="I5" i="4"/>
  <c r="G5"/>
  <c r="E5" i="11"/>
  <c r="G5"/>
  <c r="I5"/>
  <c r="E5" i="4"/>
  <c r="C14"/>
  <c r="C15" s="1"/>
  <c r="C21" i="11"/>
  <c r="H11" i="12"/>
  <c r="I11"/>
  <c r="C15" i="10"/>
  <c r="C16" s="1"/>
  <c r="F6" i="6"/>
  <c r="C15" i="11"/>
  <c r="C16" s="1"/>
  <c r="H19" i="3"/>
  <c r="L19"/>
  <c r="C12" i="6"/>
  <c r="C13"/>
  <c r="C14"/>
  <c r="C7"/>
  <c r="C8"/>
  <c r="C9"/>
  <c r="C10"/>
  <c r="C11"/>
  <c r="C9" i="5"/>
  <c r="D9" i="11" l="1"/>
  <c r="D17" s="1"/>
  <c r="H9" i="4"/>
  <c r="H17" s="1"/>
  <c r="C16"/>
  <c r="I3"/>
  <c r="I14" s="1"/>
  <c r="I15" s="1"/>
  <c r="G9" i="11"/>
  <c r="G17" s="1"/>
  <c r="G9" i="10"/>
  <c r="G17" s="1"/>
  <c r="G9" i="4"/>
  <c r="G17" s="1"/>
  <c r="F9" i="10"/>
  <c r="F17" s="1"/>
  <c r="F9" i="11"/>
  <c r="F17" s="1"/>
  <c r="F9" i="4"/>
  <c r="F17" s="1"/>
  <c r="C9" i="11"/>
  <c r="C17" s="1"/>
  <c r="C9" i="10"/>
  <c r="C17" s="1"/>
  <c r="C9" i="4"/>
  <c r="C17" s="1"/>
  <c r="I3" i="11"/>
  <c r="H5" i="10"/>
  <c r="H5" i="11"/>
  <c r="H5" i="4"/>
  <c r="E56" i="1"/>
  <c r="E57" s="1"/>
  <c r="D5" i="11"/>
  <c r="D5" i="4"/>
  <c r="D5" i="10"/>
  <c r="F5"/>
  <c r="F5" i="4"/>
  <c r="F5" i="11"/>
  <c r="F52" i="1"/>
  <c r="G52"/>
  <c r="H52"/>
  <c r="D52"/>
  <c r="E52"/>
  <c r="J14"/>
  <c r="J52" s="1"/>
  <c r="J15"/>
  <c r="J53" s="1"/>
  <c r="K3"/>
  <c r="K11"/>
  <c r="E7" i="6"/>
  <c r="D8" i="11" s="1"/>
  <c r="L20" i="12"/>
  <c r="H7" i="10" s="1"/>
  <c r="J20" i="12"/>
  <c r="F7" i="10" s="1"/>
  <c r="H20" i="12"/>
  <c r="D7" i="10" s="1"/>
  <c r="I20" i="12"/>
  <c r="E7" i="10" s="1"/>
  <c r="K20" i="12"/>
  <c r="G7" i="10" s="1"/>
  <c r="I16" i="4"/>
  <c r="I27" s="1"/>
  <c r="I28" s="1"/>
  <c r="S37" i="3"/>
  <c r="R9"/>
  <c r="E3" i="10" l="1"/>
  <c r="E3" i="11"/>
  <c r="E3" i="4"/>
  <c r="E14" s="1"/>
  <c r="E15" s="1"/>
  <c r="E16" s="1"/>
  <c r="E27" s="1"/>
  <c r="E28" s="1"/>
  <c r="H3" i="10"/>
  <c r="H14" s="1"/>
  <c r="H15" s="1"/>
  <c r="H16" s="1"/>
  <c r="H27" s="1"/>
  <c r="H28" s="1"/>
  <c r="H3" i="4"/>
  <c r="H14" s="1"/>
  <c r="H15" s="1"/>
  <c r="H16" s="1"/>
  <c r="H27" s="1"/>
  <c r="H28" s="1"/>
  <c r="H3" i="11"/>
  <c r="F3" i="10"/>
  <c r="F3" i="4"/>
  <c r="F14" s="1"/>
  <c r="F15" s="1"/>
  <c r="F16" s="1"/>
  <c r="F27" s="1"/>
  <c r="F28" s="1"/>
  <c r="F3" i="11"/>
  <c r="E14" i="10"/>
  <c r="E15" s="1"/>
  <c r="E16" s="1"/>
  <c r="E27" s="1"/>
  <c r="E28" s="1"/>
  <c r="F14"/>
  <c r="F15" s="1"/>
  <c r="D3"/>
  <c r="D3" i="4"/>
  <c r="D14" s="1"/>
  <c r="D15" s="1"/>
  <c r="D16" s="1"/>
  <c r="D27" s="1"/>
  <c r="D28" s="1"/>
  <c r="D3" i="11"/>
  <c r="D14" s="1"/>
  <c r="D15" s="1"/>
  <c r="D16" s="1"/>
  <c r="G3" i="10"/>
  <c r="G3" i="11"/>
  <c r="G3" i="4"/>
  <c r="G14" s="1"/>
  <c r="G15" s="1"/>
  <c r="G16" s="1"/>
  <c r="G27" s="1"/>
  <c r="G28" s="1"/>
  <c r="C23" i="10"/>
  <c r="C23" i="4"/>
  <c r="C23" i="11"/>
  <c r="G14" i="10"/>
  <c r="G15" s="1"/>
  <c r="G16" s="1"/>
  <c r="G27" s="1"/>
  <c r="G28" s="1"/>
  <c r="D14"/>
  <c r="D15" s="1"/>
  <c r="D16" s="1"/>
  <c r="D27" s="1"/>
  <c r="D28" s="1"/>
  <c r="L11" i="1"/>
  <c r="L3"/>
  <c r="M11" s="1"/>
  <c r="J3" i="10"/>
  <c r="J3" i="4"/>
  <c r="J3" i="11"/>
  <c r="K14" i="1"/>
  <c r="K52" s="1"/>
  <c r="K15"/>
  <c r="K53" s="1"/>
  <c r="J5" i="4"/>
  <c r="J5" i="10"/>
  <c r="J14" s="1"/>
  <c r="J15" s="1"/>
  <c r="J16" s="1"/>
  <c r="J27" s="1"/>
  <c r="J28" s="1"/>
  <c r="J5" i="11"/>
  <c r="F16" i="10"/>
  <c r="F27" s="1"/>
  <c r="F28" s="1"/>
  <c r="D7" i="6"/>
  <c r="M23" i="11" l="1"/>
  <c r="C27"/>
  <c r="C28" s="1"/>
  <c r="C29" s="1"/>
  <c r="M23" i="10"/>
  <c r="C27"/>
  <c r="C28" s="1"/>
  <c r="C29" s="1"/>
  <c r="D29" s="1"/>
  <c r="E29" s="1"/>
  <c r="M23" i="4"/>
  <c r="C27"/>
  <c r="C28" s="1"/>
  <c r="C29" s="1"/>
  <c r="D29" s="1"/>
  <c r="E29" s="1"/>
  <c r="F29" s="1"/>
  <c r="G29" s="1"/>
  <c r="H29" s="1"/>
  <c r="I29" s="1"/>
  <c r="K5"/>
  <c r="K5" i="11"/>
  <c r="K5" i="10"/>
  <c r="L14" i="1"/>
  <c r="L52" s="1"/>
  <c r="L15"/>
  <c r="L53" s="1"/>
  <c r="K3" i="10"/>
  <c r="K3" i="11"/>
  <c r="K3" i="4"/>
  <c r="K14" s="1"/>
  <c r="K15" s="1"/>
  <c r="K16" s="1"/>
  <c r="K27" s="1"/>
  <c r="K28" s="1"/>
  <c r="M15" i="1"/>
  <c r="M53" s="1"/>
  <c r="M14"/>
  <c r="M52" s="1"/>
  <c r="J14" i="4"/>
  <c r="J15" s="1"/>
  <c r="J16" s="1"/>
  <c r="J27" s="1"/>
  <c r="F29" i="10"/>
  <c r="G29" s="1"/>
  <c r="H29" s="1"/>
  <c r="I29" s="1"/>
  <c r="J29" s="1"/>
  <c r="D20" i="11"/>
  <c r="D27" s="1"/>
  <c r="F7" i="6"/>
  <c r="P52" i="1"/>
  <c r="C7" i="5" s="1"/>
  <c r="J28" i="4" l="1"/>
  <c r="L5"/>
  <c r="L5" i="10"/>
  <c r="L5" i="11"/>
  <c r="K14" i="10"/>
  <c r="K15" s="1"/>
  <c r="K16" s="1"/>
  <c r="K27" s="1"/>
  <c r="M3"/>
  <c r="M3" i="11"/>
  <c r="M3" i="4"/>
  <c r="M5" i="10"/>
  <c r="M5" i="4"/>
  <c r="M5" i="11"/>
  <c r="L3" i="10"/>
  <c r="L3" i="11"/>
  <c r="L14" s="1"/>
  <c r="L15" s="1"/>
  <c r="L16" s="1"/>
  <c r="L27" s="1"/>
  <c r="L3" i="4"/>
  <c r="L14" s="1"/>
  <c r="L15" s="1"/>
  <c r="L16" s="1"/>
  <c r="L27" s="1"/>
  <c r="D28" i="11"/>
  <c r="E8" i="6"/>
  <c r="O25" i="11"/>
  <c r="C5" i="5" s="1"/>
  <c r="O25" i="10"/>
  <c r="C6" i="5" s="1"/>
  <c r="M24" i="4" l="1"/>
  <c r="L28"/>
  <c r="J29"/>
  <c r="K29" s="1"/>
  <c r="M14"/>
  <c r="M15" s="1"/>
  <c r="M16" s="1"/>
  <c r="M14" i="10"/>
  <c r="M15" s="1"/>
  <c r="M16" s="1"/>
  <c r="M24" i="11"/>
  <c r="L28"/>
  <c r="K28" i="10"/>
  <c r="M14" i="11"/>
  <c r="M15" s="1"/>
  <c r="M16" s="1"/>
  <c r="L14" i="10"/>
  <c r="L15" s="1"/>
  <c r="L16" s="1"/>
  <c r="L27" s="1"/>
  <c r="D29" i="11"/>
  <c r="D8" i="6"/>
  <c r="E8" i="11"/>
  <c r="E14" s="1"/>
  <c r="C4" i="5"/>
  <c r="H9" i="3"/>
  <c r="S28"/>
  <c r="S19"/>
  <c r="T10"/>
  <c r="T42" l="1"/>
  <c r="C8" i="5" s="1"/>
  <c r="C11" s="1"/>
  <c r="M27" i="11"/>
  <c r="M28" s="1"/>
  <c r="L29" i="4"/>
  <c r="K29" i="10"/>
  <c r="M27" i="4"/>
  <c r="M24" i="10"/>
  <c r="L28"/>
  <c r="M27"/>
  <c r="M28" s="1"/>
  <c r="E20" i="11"/>
  <c r="F8" i="6"/>
  <c r="E9" s="1"/>
  <c r="E15" i="11"/>
  <c r="E16" s="1"/>
  <c r="E27" s="1"/>
  <c r="I9" i="3"/>
  <c r="J9"/>
  <c r="K9"/>
  <c r="L9"/>
  <c r="M9"/>
  <c r="N9"/>
  <c r="O9"/>
  <c r="P9"/>
  <c r="Q9"/>
  <c r="C34" i="10" l="1"/>
  <c r="M28" i="4"/>
  <c r="E34"/>
  <c r="E34" i="10"/>
  <c r="L29"/>
  <c r="M29" s="1"/>
  <c r="E28" i="11"/>
  <c r="D9" i="6"/>
  <c r="F8" i="11"/>
  <c r="F14" s="1"/>
  <c r="F15" s="1"/>
  <c r="F16" s="1"/>
  <c r="C34" i="4" l="1"/>
  <c r="M29"/>
  <c r="F9" i="6"/>
  <c r="E10" s="1"/>
  <c r="F20" i="11"/>
  <c r="E29"/>
  <c r="F27"/>
  <c r="F28" l="1"/>
  <c r="F29" s="1"/>
  <c r="D10" i="6"/>
  <c r="G8" i="11"/>
  <c r="G14" s="1"/>
  <c r="G15" s="1"/>
  <c r="G16" s="1"/>
  <c r="F10" i="6" l="1"/>
  <c r="E11" s="1"/>
  <c r="G20" i="11"/>
  <c r="G27"/>
  <c r="D11" i="6" l="1"/>
  <c r="H8" i="11"/>
  <c r="H14" s="1"/>
  <c r="H15" s="1"/>
  <c r="H16" s="1"/>
  <c r="G28"/>
  <c r="G29" l="1"/>
  <c r="F11" i="6"/>
  <c r="E12" s="1"/>
  <c r="H20" i="11"/>
  <c r="H27"/>
  <c r="H28" l="1"/>
  <c r="H29" s="1"/>
  <c r="D12" i="6"/>
  <c r="I8" i="11"/>
  <c r="I14" s="1"/>
  <c r="I15" s="1"/>
  <c r="I16" s="1"/>
  <c r="F12" i="6" l="1"/>
  <c r="E13" s="1"/>
  <c r="I20" i="11"/>
  <c r="I27"/>
  <c r="I28" s="1"/>
  <c r="I29" s="1"/>
  <c r="D13" i="6" l="1"/>
  <c r="J8" i="11"/>
  <c r="J14" s="1"/>
  <c r="J15" s="1"/>
  <c r="J16" s="1"/>
  <c r="F13" i="6" l="1"/>
  <c r="J20" i="11"/>
  <c r="J27"/>
  <c r="J28" s="1"/>
  <c r="J29" s="1"/>
  <c r="E14" i="6" l="1"/>
  <c r="D14" l="1"/>
  <c r="K8" i="11"/>
  <c r="K14" s="1"/>
  <c r="K15" s="1"/>
  <c r="K16" s="1"/>
  <c r="K20" l="1"/>
  <c r="F14" i="6"/>
  <c r="K27" i="11"/>
  <c r="K28" l="1"/>
  <c r="E34"/>
  <c r="C34" l="1"/>
  <c r="K29"/>
  <c r="L29" s="1"/>
  <c r="M29" s="1"/>
</calcChain>
</file>

<file path=xl/sharedStrings.xml><?xml version="1.0" encoding="utf-8"?>
<sst xmlns="http://schemas.openxmlformats.org/spreadsheetml/2006/main" count="307" uniqueCount="103">
  <si>
    <t>Unidad</t>
  </si>
  <si>
    <t>Año</t>
  </si>
  <si>
    <t>Unidades a vender</t>
  </si>
  <si>
    <t>c/u</t>
  </si>
  <si>
    <t>Precio de venta</t>
  </si>
  <si>
    <t>$</t>
  </si>
  <si>
    <t>costo variable</t>
  </si>
  <si>
    <t>activo</t>
  </si>
  <si>
    <t>cantidad</t>
  </si>
  <si>
    <t>costo unitario</t>
  </si>
  <si>
    <t>valor de liquidación</t>
  </si>
  <si>
    <t>años</t>
  </si>
  <si>
    <t>% valor original</t>
  </si>
  <si>
    <t>Activo</t>
  </si>
  <si>
    <t>Valor Adquisición</t>
  </si>
  <si>
    <t xml:space="preserve">Vida útil depreciación </t>
  </si>
  <si>
    <t>Vida útil real (años)</t>
  </si>
  <si>
    <t>Valor de venta al término de vida útil real</t>
  </si>
  <si>
    <t>Inversiones por año</t>
  </si>
  <si>
    <t>numero</t>
  </si>
  <si>
    <t xml:space="preserve"> ($)</t>
  </si>
  <si>
    <t>(años)</t>
  </si>
  <si>
    <t>(% valor original)</t>
  </si>
  <si>
    <t>Depreciación por año</t>
  </si>
  <si>
    <t>Valor libro por año</t>
  </si>
  <si>
    <t>Utilidad</t>
  </si>
  <si>
    <t>Utilidad Neta</t>
  </si>
  <si>
    <t>Flujo de proyecto</t>
  </si>
  <si>
    <t xml:space="preserve">Impuesto </t>
  </si>
  <si>
    <t>Total</t>
  </si>
  <si>
    <t>vida contable</t>
  </si>
  <si>
    <t>vida real</t>
  </si>
  <si>
    <t>TASA IMP</t>
  </si>
  <si>
    <t>PUNTAJE</t>
  </si>
  <si>
    <t>VAN</t>
  </si>
  <si>
    <t>PRI</t>
  </si>
  <si>
    <t>Calendarios</t>
  </si>
  <si>
    <t>PUNTAJES</t>
  </si>
  <si>
    <t>TOTAL</t>
  </si>
  <si>
    <t>Puntaje Tabla</t>
  </si>
  <si>
    <t>Tabla</t>
  </si>
  <si>
    <t>En esta hoja realice lo necesario para construir la tabla de amortización</t>
  </si>
  <si>
    <t>total</t>
  </si>
  <si>
    <t>Demandas/ temporada</t>
  </si>
  <si>
    <t>KIWIS</t>
  </si>
  <si>
    <t>Duraznos</t>
  </si>
  <si>
    <t>Cerezas</t>
  </si>
  <si>
    <t>Ciruelas</t>
  </si>
  <si>
    <t>ACTIVIDAD TOTAL</t>
  </si>
  <si>
    <t>INGRESOS TOTALES</t>
  </si>
  <si>
    <t>COSTOS TOTALES</t>
  </si>
  <si>
    <t>Año de adquisición</t>
  </si>
  <si>
    <t>Calibradora Unitec 3000</t>
  </si>
  <si>
    <t>Periodo</t>
  </si>
  <si>
    <t>Cuota</t>
  </si>
  <si>
    <t>Amortización</t>
  </si>
  <si>
    <t>Interes</t>
  </si>
  <si>
    <t>Saldo</t>
  </si>
  <si>
    <t>Datos</t>
  </si>
  <si>
    <t>Flujo Alternativa 1</t>
  </si>
  <si>
    <t>Flujo Alternativa 2</t>
  </si>
  <si>
    <t>Flujo Alternativa 3</t>
  </si>
  <si>
    <t>Actividad</t>
  </si>
  <si>
    <t>costo total</t>
  </si>
  <si>
    <t>Ingreso total</t>
  </si>
  <si>
    <t>+</t>
  </si>
  <si>
    <t>Ingreso por venta</t>
  </si>
  <si>
    <t>Venta de activo</t>
  </si>
  <si>
    <t>Costos Variables</t>
  </si>
  <si>
    <t>Costos Fijos</t>
  </si>
  <si>
    <t>Leasing</t>
  </si>
  <si>
    <t>Valor Libro+</t>
  </si>
  <si>
    <t>Amortización-</t>
  </si>
  <si>
    <t>Inversión Prestamo+</t>
  </si>
  <si>
    <t>Capital de trabajo-</t>
  </si>
  <si>
    <t>Capital de trabajo se recupera al final</t>
  </si>
  <si>
    <t>Valor de desecho +</t>
  </si>
  <si>
    <t>Valor de desecho positivo al final</t>
  </si>
  <si>
    <t>Valor de desecho</t>
  </si>
  <si>
    <t>(Flujo sin venta ni inversion)-Depreciacion/Trema</t>
  </si>
  <si>
    <t>TREMA</t>
  </si>
  <si>
    <t>VP*((i*(1+i)^n)/((i+1)^n) - 1)</t>
  </si>
  <si>
    <t>Numerador</t>
  </si>
  <si>
    <t>Denominador</t>
  </si>
  <si>
    <t>COSTOS FIJOS</t>
  </si>
  <si>
    <t>Venta de activo por año</t>
  </si>
  <si>
    <t>Depreciación Equipos Antiguos</t>
  </si>
  <si>
    <t>Depreciación equipos nuevos</t>
  </si>
  <si>
    <t>Valor libro equipos nuevos</t>
  </si>
  <si>
    <t>Depreciacion equipos antiguos</t>
  </si>
  <si>
    <t>Costos op. Totales</t>
  </si>
  <si>
    <t>Costo Capital</t>
  </si>
  <si>
    <t>Inversion Maquinaria nueva-</t>
  </si>
  <si>
    <t>LEASING</t>
  </si>
  <si>
    <t>ESTA ES LA MEJOR OPCION, YA QUE EL VAN ES SUPEROR A LAS OTRAS ALTERNATIVAS</t>
  </si>
  <si>
    <t>El proyecto que se selecciona es la alternativa 3</t>
  </si>
  <si>
    <t>Progr</t>
  </si>
  <si>
    <t>Licencia de Software</t>
  </si>
  <si>
    <t>Costo Fijo</t>
  </si>
  <si>
    <t>Programadores</t>
  </si>
  <si>
    <t>C/Min</t>
  </si>
  <si>
    <t>Diseñador</t>
  </si>
  <si>
    <t>Administrativo</t>
  </si>
</sst>
</file>

<file path=xl/styles.xml><?xml version="1.0" encoding="utf-8"?>
<styleSheet xmlns="http://schemas.openxmlformats.org/spreadsheetml/2006/main">
  <numFmts count="3">
    <numFmt numFmtId="8" formatCode="&quot;$&quot;#,##0.00;[Red]&quot;$&quot;\-#,##0.00"/>
    <numFmt numFmtId="42" formatCode="_ &quot;$&quot;* #,##0_ ;_ &quot;$&quot;* \-#,##0_ ;_ &quot;$&quot;* &quot;-&quot;_ ;_ @_ "/>
    <numFmt numFmtId="164" formatCode="#,##0_ ;[Red]\-#,##0\ "/>
  </numFmts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20"/>
      <color theme="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2" fontId="27" fillId="0" borderId="0" applyFont="0" applyFill="0" applyBorder="0" applyAlignment="0" applyProtection="0"/>
    <xf numFmtId="9" fontId="27" fillId="0" borderId="0" applyFont="0" applyFill="0" applyBorder="0" applyAlignment="0" applyProtection="0"/>
  </cellStyleXfs>
  <cellXfs count="130">
    <xf numFmtId="0" fontId="0" fillId="0" borderId="0" xfId="0"/>
    <xf numFmtId="164" fontId="0" fillId="0" borderId="8" xfId="0" applyNumberFormat="1" applyBorder="1" applyAlignment="1">
      <alignment horizontal="center" vertical="center"/>
    </xf>
    <xf numFmtId="3" fontId="0" fillId="0" borderId="8" xfId="0" applyNumberFormat="1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right" vertical="center"/>
    </xf>
    <xf numFmtId="3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vertical="center"/>
    </xf>
    <xf numFmtId="3" fontId="0" fillId="0" borderId="17" xfId="0" applyNumberFormat="1" applyBorder="1" applyAlignment="1">
      <alignment horizontal="center"/>
    </xf>
    <xf numFmtId="3" fontId="0" fillId="0" borderId="16" xfId="0" applyNumberFormat="1" applyBorder="1" applyAlignment="1">
      <alignment vertical="center"/>
    </xf>
    <xf numFmtId="3" fontId="0" fillId="0" borderId="17" xfId="0" applyNumberFormat="1" applyBorder="1" applyAlignment="1">
      <alignment vertical="center"/>
    </xf>
    <xf numFmtId="0" fontId="3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3" fontId="4" fillId="0" borderId="9" xfId="0" applyNumberFormat="1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5" fillId="0" borderId="14" xfId="0" applyFont="1" applyBorder="1" applyAlignment="1">
      <alignment horizontal="right" vertical="center"/>
    </xf>
    <xf numFmtId="0" fontId="0" fillId="0" borderId="0" xfId="0" applyBorder="1"/>
    <xf numFmtId="164" fontId="0" fillId="0" borderId="0" xfId="0" applyNumberFormat="1" applyFill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0" fontId="0" fillId="0" borderId="8" xfId="0" applyBorder="1"/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left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164" fontId="0" fillId="0" borderId="18" xfId="0" applyNumberForma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9" fillId="0" borderId="24" xfId="0" applyFont="1" applyBorder="1"/>
    <xf numFmtId="0" fontId="9" fillId="0" borderId="2" xfId="0" applyFont="1" applyBorder="1"/>
    <xf numFmtId="0" fontId="0" fillId="0" borderId="12" xfId="0" applyBorder="1"/>
    <xf numFmtId="0" fontId="0" fillId="0" borderId="14" xfId="0" applyBorder="1"/>
    <xf numFmtId="0" fontId="0" fillId="0" borderId="11" xfId="0" applyBorder="1"/>
    <xf numFmtId="0" fontId="0" fillId="0" borderId="0" xfId="0" applyFill="1"/>
    <xf numFmtId="0" fontId="6" fillId="0" borderId="0" xfId="0" applyFont="1" applyFill="1"/>
    <xf numFmtId="0" fontId="10" fillId="6" borderId="0" xfId="0" applyFont="1" applyFill="1"/>
    <xf numFmtId="0" fontId="9" fillId="0" borderId="0" xfId="0" applyFont="1" applyBorder="1"/>
    <xf numFmtId="0" fontId="9" fillId="0" borderId="25" xfId="0" applyFont="1" applyBorder="1"/>
    <xf numFmtId="0" fontId="6" fillId="4" borderId="8" xfId="0" applyFont="1" applyFill="1" applyBorder="1" applyAlignment="1">
      <alignment horizontal="center" vertical="center"/>
    </xf>
    <xf numFmtId="0" fontId="18" fillId="0" borderId="0" xfId="0" applyFont="1"/>
    <xf numFmtId="0" fontId="20" fillId="0" borderId="8" xfId="0" applyFont="1" applyBorder="1" applyAlignment="1">
      <alignment vertical="center"/>
    </xf>
    <xf numFmtId="3" fontId="20" fillId="0" borderId="8" xfId="0" applyNumberFormat="1" applyFont="1" applyBorder="1" applyAlignment="1">
      <alignment horizontal="right" vertical="center"/>
    </xf>
    <xf numFmtId="0" fontId="6" fillId="8" borderId="8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left" vertical="center"/>
    </xf>
    <xf numFmtId="0" fontId="21" fillId="7" borderId="8" xfId="0" applyFont="1" applyFill="1" applyBorder="1" applyAlignment="1">
      <alignment horizontal="center" vertical="center"/>
    </xf>
    <xf numFmtId="0" fontId="21" fillId="7" borderId="8" xfId="0" applyFont="1" applyFill="1" applyBorder="1" applyAlignment="1">
      <alignment horizontal="center" vertical="center" wrapText="1"/>
    </xf>
    <xf numFmtId="0" fontId="22" fillId="9" borderId="8" xfId="0" applyFont="1" applyFill="1" applyBorder="1" applyAlignment="1">
      <alignment vertical="center"/>
    </xf>
    <xf numFmtId="0" fontId="22" fillId="0" borderId="8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3" fontId="23" fillId="0" borderId="8" xfId="0" applyNumberFormat="1" applyFont="1" applyBorder="1" applyAlignment="1">
      <alignment horizontal="center" vertical="center"/>
    </xf>
    <xf numFmtId="9" fontId="23" fillId="0" borderId="8" xfId="0" applyNumberFormat="1" applyFont="1" applyBorder="1" applyAlignment="1">
      <alignment horizontal="center" vertical="center"/>
    </xf>
    <xf numFmtId="164" fontId="8" fillId="4" borderId="26" xfId="0" applyNumberFormat="1" applyFont="1" applyFill="1" applyBorder="1" applyAlignment="1">
      <alignment horizontal="center"/>
    </xf>
    <xf numFmtId="164" fontId="8" fillId="4" borderId="27" xfId="0" applyNumberFormat="1" applyFont="1" applyFill="1" applyBorder="1" applyAlignment="1">
      <alignment horizontal="center"/>
    </xf>
    <xf numFmtId="164" fontId="8" fillId="4" borderId="28" xfId="0" applyNumberFormat="1" applyFont="1" applyFill="1" applyBorder="1" applyAlignment="1">
      <alignment horizontal="center"/>
    </xf>
    <xf numFmtId="0" fontId="9" fillId="10" borderId="15" xfId="0" applyFont="1" applyFill="1" applyBorder="1" applyAlignment="1">
      <alignment horizontal="center" vertical="center"/>
    </xf>
    <xf numFmtId="0" fontId="0" fillId="11" borderId="0" xfId="0" applyFill="1"/>
    <xf numFmtId="0" fontId="0" fillId="11" borderId="8" xfId="0" applyFill="1" applyBorder="1"/>
    <xf numFmtId="0" fontId="19" fillId="11" borderId="8" xfId="0" applyFont="1" applyFill="1" applyBorder="1"/>
    <xf numFmtId="0" fontId="19" fillId="11" borderId="8" xfId="0" applyFont="1" applyFill="1" applyBorder="1" applyAlignment="1">
      <alignment horizontal="center" vertical="center"/>
    </xf>
    <xf numFmtId="0" fontId="10" fillId="11" borderId="0" xfId="0" applyFont="1" applyFill="1"/>
    <xf numFmtId="0" fontId="14" fillId="11" borderId="0" xfId="0" applyFont="1" applyFill="1" applyAlignment="1">
      <alignment horizontal="center"/>
    </xf>
    <xf numFmtId="0" fontId="13" fillId="11" borderId="0" xfId="0" applyFont="1" applyFill="1"/>
    <xf numFmtId="0" fontId="11" fillId="11" borderId="0" xfId="0" applyFont="1" applyFill="1"/>
    <xf numFmtId="0" fontId="6" fillId="11" borderId="0" xfId="0" applyFont="1" applyFill="1"/>
    <xf numFmtId="0" fontId="12" fillId="11" borderId="0" xfId="0" applyFont="1" applyFill="1"/>
    <xf numFmtId="0" fontId="11" fillId="11" borderId="0" xfId="0" applyFont="1" applyFill="1" applyAlignment="1">
      <alignment horizontal="center"/>
    </xf>
    <xf numFmtId="0" fontId="17" fillId="11" borderId="0" xfId="0" applyFont="1" applyFill="1" applyAlignment="1"/>
    <xf numFmtId="0" fontId="26" fillId="11" borderId="0" xfId="0" applyFont="1" applyFill="1" applyAlignment="1"/>
    <xf numFmtId="0" fontId="14" fillId="11" borderId="0" xfId="0" applyFont="1" applyFill="1" applyAlignment="1"/>
    <xf numFmtId="0" fontId="25" fillId="11" borderId="8" xfId="0" applyFont="1" applyFill="1" applyBorder="1"/>
    <xf numFmtId="0" fontId="25" fillId="11" borderId="8" xfId="0" applyFont="1" applyFill="1" applyBorder="1" applyAlignment="1">
      <alignment horizontal="center" vertical="center"/>
    </xf>
    <xf numFmtId="0" fontId="0" fillId="2" borderId="0" xfId="0" applyFill="1"/>
    <xf numFmtId="0" fontId="2" fillId="0" borderId="22" xfId="0" applyFont="1" applyBorder="1" applyAlignment="1">
      <alignment horizontal="center" vertical="center"/>
    </xf>
    <xf numFmtId="3" fontId="0" fillId="0" borderId="23" xfId="0" applyNumberFormat="1" applyBorder="1" applyAlignment="1">
      <alignment vertical="center"/>
    </xf>
    <xf numFmtId="3" fontId="0" fillId="0" borderId="29" xfId="0" applyNumberFormat="1" applyBorder="1" applyAlignment="1">
      <alignment vertical="center"/>
    </xf>
    <xf numFmtId="0" fontId="6" fillId="8" borderId="8" xfId="0" applyFont="1" applyFill="1" applyBorder="1" applyAlignment="1">
      <alignment horizontal="center" vertical="center"/>
    </xf>
    <xf numFmtId="9" fontId="0" fillId="0" borderId="0" xfId="0" applyNumberFormat="1"/>
    <xf numFmtId="42" fontId="0" fillId="0" borderId="8" xfId="1" applyFont="1" applyBorder="1"/>
    <xf numFmtId="9" fontId="0" fillId="0" borderId="8" xfId="2" applyFont="1" applyBorder="1"/>
    <xf numFmtId="42" fontId="0" fillId="0" borderId="8" xfId="0" applyNumberFormat="1" applyBorder="1"/>
    <xf numFmtId="8" fontId="0" fillId="0" borderId="0" xfId="0" applyNumberFormat="1"/>
    <xf numFmtId="42" fontId="0" fillId="0" borderId="8" xfId="1" applyFont="1" applyBorder="1" applyAlignment="1">
      <alignment horizontal="center" vertical="center"/>
    </xf>
    <xf numFmtId="10" fontId="0" fillId="5" borderId="0" xfId="0" applyNumberFormat="1" applyFill="1"/>
    <xf numFmtId="0" fontId="3" fillId="0" borderId="35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9" fillId="12" borderId="1" xfId="0" applyFont="1" applyFill="1" applyBorder="1"/>
    <xf numFmtId="0" fontId="15" fillId="12" borderId="15" xfId="0" applyFont="1" applyFill="1" applyBorder="1"/>
    <xf numFmtId="164" fontId="16" fillId="12" borderId="20" xfId="0" applyNumberFormat="1" applyFont="1" applyFill="1" applyBorder="1" applyAlignment="1">
      <alignment horizontal="center"/>
    </xf>
    <xf numFmtId="164" fontId="1" fillId="12" borderId="3" xfId="0" applyNumberFormat="1" applyFont="1" applyFill="1" applyBorder="1" applyAlignment="1">
      <alignment horizontal="center"/>
    </xf>
    <xf numFmtId="164" fontId="0" fillId="0" borderId="0" xfId="0" applyNumberFormat="1"/>
    <xf numFmtId="0" fontId="1" fillId="12" borderId="0" xfId="0" applyFont="1" applyFill="1"/>
    <xf numFmtId="42" fontId="1" fillId="12" borderId="0" xfId="1" applyFont="1" applyFill="1"/>
    <xf numFmtId="164" fontId="1" fillId="10" borderId="37" xfId="0" applyNumberFormat="1" applyFont="1" applyFill="1" applyBorder="1" applyAlignment="1">
      <alignment horizontal="center" vertical="center"/>
    </xf>
    <xf numFmtId="42" fontId="1" fillId="0" borderId="8" xfId="0" applyNumberFormat="1" applyFont="1" applyBorder="1"/>
    <xf numFmtId="42" fontId="0" fillId="0" borderId="5" xfId="0" applyNumberFormat="1" applyBorder="1"/>
    <xf numFmtId="0" fontId="9" fillId="0" borderId="15" xfId="0" applyFont="1" applyFill="1" applyBorder="1"/>
    <xf numFmtId="42" fontId="28" fillId="0" borderId="7" xfId="0" applyNumberFormat="1" applyFont="1" applyBorder="1"/>
    <xf numFmtId="42" fontId="28" fillId="0" borderId="8" xfId="0" applyNumberFormat="1" applyFont="1" applyBorder="1"/>
    <xf numFmtId="0" fontId="9" fillId="12" borderId="24" xfId="0" applyFont="1" applyFill="1" applyBorder="1"/>
    <xf numFmtId="0" fontId="9" fillId="12" borderId="6" xfId="0" applyFont="1" applyFill="1" applyBorder="1"/>
    <xf numFmtId="0" fontId="9" fillId="0" borderId="6" xfId="0" applyFont="1" applyFill="1" applyBorder="1"/>
    <xf numFmtId="0" fontId="9" fillId="0" borderId="24" xfId="0" applyFont="1" applyFill="1" applyBorder="1"/>
    <xf numFmtId="42" fontId="0" fillId="0" borderId="0" xfId="0" applyNumberFormat="1"/>
    <xf numFmtId="0" fontId="6" fillId="4" borderId="8" xfId="0" applyFont="1" applyFill="1" applyBorder="1" applyAlignment="1">
      <alignment horizontal="center" vertical="center"/>
    </xf>
    <xf numFmtId="0" fontId="21" fillId="7" borderId="8" xfId="0" applyFont="1" applyFill="1" applyBorder="1" applyAlignment="1">
      <alignment horizontal="center" vertical="center" wrapText="1"/>
    </xf>
    <xf numFmtId="0" fontId="24" fillId="11" borderId="13" xfId="0" applyFont="1" applyFill="1" applyBorder="1" applyAlignment="1">
      <alignment horizontal="center" vertical="center"/>
    </xf>
    <xf numFmtId="0" fontId="24" fillId="11" borderId="1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7" fillId="4" borderId="33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/>
    </xf>
    <xf numFmtId="0" fontId="1" fillId="12" borderId="31" xfId="0" applyFont="1" applyFill="1" applyBorder="1" applyAlignment="1">
      <alignment horizontal="center"/>
    </xf>
    <xf numFmtId="0" fontId="1" fillId="12" borderId="38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42" fontId="0" fillId="0" borderId="0" xfId="1" applyFont="1" applyBorder="1"/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42" fontId="6" fillId="3" borderId="8" xfId="1" applyFont="1" applyFill="1" applyBorder="1" applyAlignment="1">
      <alignment horizontal="center" vertical="center"/>
    </xf>
  </cellXfs>
  <cellStyles count="3">
    <cellStyle name="Moneda [0]" xfId="1" builtinId="7"/>
    <cellStyle name="Normal" xfId="0" builtinId="0"/>
    <cellStyle name="Porcentual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2"/>
  <dimension ref="B4:H15"/>
  <sheetViews>
    <sheetView showGridLines="0" topLeftCell="A2" workbookViewId="0">
      <selection activeCell="B7" sqref="B7"/>
    </sheetView>
  </sheetViews>
  <sheetFormatPr baseColWidth="10" defaultColWidth="8.85546875" defaultRowHeight="15"/>
  <cols>
    <col min="1" max="1" width="2.5703125" customWidth="1"/>
    <col min="2" max="2" width="22.140625" bestFit="1" customWidth="1"/>
    <col min="3" max="3" width="13.140625" customWidth="1"/>
    <col min="4" max="4" width="11.140625" bestFit="1" customWidth="1"/>
    <col min="5" max="5" width="12.42578125" customWidth="1"/>
    <col min="6" max="6" width="13.5703125" customWidth="1"/>
    <col min="7" max="7" width="15.5703125" customWidth="1"/>
    <col min="8" max="8" width="14.5703125" bestFit="1" customWidth="1"/>
    <col min="9" max="9" width="23.28515625" bestFit="1" customWidth="1"/>
    <col min="10" max="10" width="16.42578125" bestFit="1" customWidth="1"/>
  </cols>
  <sheetData>
    <row r="4" spans="2:8" ht="27" customHeight="1">
      <c r="B4" s="109" t="s">
        <v>7</v>
      </c>
      <c r="C4" s="109" t="s">
        <v>51</v>
      </c>
      <c r="D4" s="48" t="s">
        <v>8</v>
      </c>
      <c r="E4" s="48" t="s">
        <v>9</v>
      </c>
      <c r="F4" s="48" t="s">
        <v>30</v>
      </c>
      <c r="G4" s="48" t="s">
        <v>31</v>
      </c>
      <c r="H4" s="48" t="s">
        <v>10</v>
      </c>
    </row>
    <row r="5" spans="2:8">
      <c r="B5" s="109"/>
      <c r="C5" s="109"/>
      <c r="D5" s="47" t="s">
        <v>3</v>
      </c>
      <c r="E5" s="47" t="s">
        <v>5</v>
      </c>
      <c r="F5" s="47" t="s">
        <v>11</v>
      </c>
      <c r="G5" s="47" t="s">
        <v>11</v>
      </c>
      <c r="H5" s="47" t="s">
        <v>12</v>
      </c>
    </row>
    <row r="6" spans="2:8">
      <c r="B6" s="49" t="s">
        <v>97</v>
      </c>
      <c r="C6" s="50">
        <v>0</v>
      </c>
      <c r="D6" s="51">
        <v>1</v>
      </c>
      <c r="E6" s="52">
        <f>715*15000</f>
        <v>10725000</v>
      </c>
      <c r="F6" s="51">
        <v>7</v>
      </c>
      <c r="G6" s="51">
        <v>7</v>
      </c>
      <c r="H6" s="53">
        <v>0</v>
      </c>
    </row>
    <row r="7" spans="2:8">
      <c r="B7" s="49"/>
      <c r="C7" s="50"/>
      <c r="D7" s="51"/>
      <c r="E7" s="52"/>
      <c r="F7" s="51"/>
      <c r="G7" s="51"/>
      <c r="H7" s="53"/>
    </row>
    <row r="8" spans="2:8">
      <c r="B8" s="49"/>
      <c r="C8" s="50"/>
      <c r="D8" s="51"/>
      <c r="E8" s="52"/>
      <c r="F8" s="51"/>
      <c r="G8" s="51"/>
      <c r="H8" s="53"/>
    </row>
    <row r="9" spans="2:8">
      <c r="B9" s="49"/>
      <c r="C9" s="50"/>
      <c r="D9" s="51"/>
      <c r="E9" s="52"/>
      <c r="F9" s="51"/>
      <c r="G9" s="51"/>
      <c r="H9" s="53"/>
    </row>
    <row r="12" spans="2:8" ht="30">
      <c r="B12" s="109" t="s">
        <v>7</v>
      </c>
      <c r="C12" s="48" t="s">
        <v>8</v>
      </c>
      <c r="D12" s="48" t="s">
        <v>9</v>
      </c>
      <c r="E12" s="48" t="s">
        <v>30</v>
      </c>
      <c r="F12" s="48" t="s">
        <v>31</v>
      </c>
      <c r="G12" s="48" t="s">
        <v>10</v>
      </c>
    </row>
    <row r="13" spans="2:8">
      <c r="B13" s="109"/>
      <c r="C13" s="47" t="s">
        <v>3</v>
      </c>
      <c r="D13" s="47" t="s">
        <v>5</v>
      </c>
      <c r="E13" s="47" t="s">
        <v>11</v>
      </c>
      <c r="F13" s="47" t="s">
        <v>11</v>
      </c>
      <c r="G13" s="47" t="s">
        <v>12</v>
      </c>
    </row>
    <row r="14" spans="2:8">
      <c r="B14" s="49"/>
      <c r="C14" s="51"/>
      <c r="D14" s="52"/>
      <c r="E14" s="51"/>
      <c r="F14" s="51"/>
      <c r="G14" s="53"/>
    </row>
    <row r="15" spans="2:8">
      <c r="B15" s="49"/>
      <c r="C15" s="51"/>
      <c r="D15" s="52"/>
      <c r="E15" s="51"/>
      <c r="F15" s="51"/>
      <c r="G15" s="53"/>
    </row>
  </sheetData>
  <mergeCells count="3">
    <mergeCell ref="B4:B5"/>
    <mergeCell ref="C4:C5"/>
    <mergeCell ref="B12:B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"/>
  <dimension ref="B2:P57"/>
  <sheetViews>
    <sheetView showGridLines="0" tabSelected="1" topLeftCell="A32" workbookViewId="0">
      <selection activeCell="B47" sqref="B47"/>
    </sheetView>
  </sheetViews>
  <sheetFormatPr baseColWidth="10" defaultColWidth="8.85546875" defaultRowHeight="15"/>
  <cols>
    <col min="1" max="1" width="3.85546875" customWidth="1"/>
    <col min="2" max="2" width="19.140625" bestFit="1" customWidth="1"/>
    <col min="3" max="3" width="9.42578125" bestFit="1" customWidth="1"/>
    <col min="4" max="13" width="14.5703125" bestFit="1" customWidth="1"/>
    <col min="16" max="16" width="15.5703125" customWidth="1"/>
  </cols>
  <sheetData>
    <row r="2" spans="2:14">
      <c r="B2" s="43" t="s">
        <v>43</v>
      </c>
      <c r="C2" s="47">
        <v>1</v>
      </c>
      <c r="D2" s="47">
        <v>2</v>
      </c>
      <c r="E2" s="47">
        <v>3</v>
      </c>
      <c r="F2" s="47">
        <v>4</v>
      </c>
      <c r="G2" s="47">
        <v>5</v>
      </c>
      <c r="H2" s="47">
        <v>6</v>
      </c>
      <c r="I2" s="47">
        <v>7</v>
      </c>
      <c r="J2" s="47">
        <v>8</v>
      </c>
      <c r="K2" s="47">
        <v>9</v>
      </c>
      <c r="L2" s="47">
        <v>10</v>
      </c>
    </row>
    <row r="3" spans="2:14">
      <c r="B3" s="43" t="s">
        <v>96</v>
      </c>
      <c r="C3" s="44">
        <v>2000</v>
      </c>
      <c r="D3" s="44">
        <v>5000</v>
      </c>
      <c r="E3" s="44">
        <f>D3+D3*15%</f>
        <v>5750</v>
      </c>
      <c r="F3" s="44">
        <f t="shared" ref="F3:L3" si="0">E3+E3*15%</f>
        <v>6612.5</v>
      </c>
      <c r="G3" s="44">
        <f t="shared" si="0"/>
        <v>7604.375</v>
      </c>
      <c r="H3" s="44">
        <f t="shared" si="0"/>
        <v>8745.03125</v>
      </c>
      <c r="I3" s="44">
        <f t="shared" si="0"/>
        <v>10056.785937500001</v>
      </c>
      <c r="J3" s="44">
        <f t="shared" si="0"/>
        <v>11565.303828125001</v>
      </c>
      <c r="K3" s="44">
        <f t="shared" si="0"/>
        <v>13300.099402343751</v>
      </c>
      <c r="L3" s="44">
        <f t="shared" si="0"/>
        <v>15295.114312695314</v>
      </c>
    </row>
    <row r="4" spans="2:14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</row>
    <row r="5" spans="2:14">
      <c r="B5" s="43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2:14">
      <c r="B6" s="43"/>
      <c r="C6" s="44"/>
      <c r="D6" s="44"/>
      <c r="E6" s="44"/>
      <c r="F6" s="44"/>
      <c r="G6" s="44"/>
      <c r="H6" s="44"/>
      <c r="I6" s="44"/>
      <c r="J6" s="44"/>
      <c r="K6" s="44"/>
      <c r="L6" s="44"/>
    </row>
    <row r="9" spans="2:14">
      <c r="B9" s="112" t="s">
        <v>44</v>
      </c>
      <c r="C9" s="113" t="s">
        <v>0</v>
      </c>
      <c r="D9" s="113" t="s">
        <v>1</v>
      </c>
      <c r="E9" s="113"/>
      <c r="F9" s="113"/>
      <c r="G9" s="113"/>
      <c r="H9" s="113"/>
      <c r="I9" s="113"/>
      <c r="J9" s="113"/>
      <c r="K9" s="113"/>
      <c r="L9" s="113"/>
      <c r="M9" s="113"/>
    </row>
    <row r="10" spans="2:14">
      <c r="B10" s="112"/>
      <c r="C10" s="113"/>
      <c r="D10" s="25">
        <v>1</v>
      </c>
      <c r="E10" s="25">
        <v>2</v>
      </c>
      <c r="F10" s="25">
        <v>3</v>
      </c>
      <c r="G10" s="25">
        <v>4</v>
      </c>
      <c r="H10" s="25">
        <v>5</v>
      </c>
      <c r="I10" s="25">
        <v>6</v>
      </c>
      <c r="J10" s="25">
        <v>7</v>
      </c>
      <c r="K10" s="25">
        <v>8</v>
      </c>
      <c r="L10" s="25">
        <v>9</v>
      </c>
      <c r="M10" s="25">
        <v>10</v>
      </c>
    </row>
    <row r="11" spans="2:14">
      <c r="B11" s="24" t="s">
        <v>2</v>
      </c>
      <c r="C11" s="23" t="s">
        <v>3</v>
      </c>
      <c r="D11" s="44">
        <f>C3</f>
        <v>2000</v>
      </c>
      <c r="E11" s="44">
        <f t="shared" ref="E11:M11" si="1">D3</f>
        <v>5000</v>
      </c>
      <c r="F11" s="44">
        <f t="shared" si="1"/>
        <v>5750</v>
      </c>
      <c r="G11" s="44">
        <f t="shared" si="1"/>
        <v>6612.5</v>
      </c>
      <c r="H11" s="44">
        <f t="shared" si="1"/>
        <v>7604.375</v>
      </c>
      <c r="I11" s="44">
        <f t="shared" si="1"/>
        <v>8745.03125</v>
      </c>
      <c r="J11" s="44">
        <f t="shared" si="1"/>
        <v>10056.785937500001</v>
      </c>
      <c r="K11" s="44">
        <f t="shared" si="1"/>
        <v>11565.303828125001</v>
      </c>
      <c r="L11" s="44">
        <f t="shared" si="1"/>
        <v>13300.099402343751</v>
      </c>
      <c r="M11" s="44">
        <f t="shared" si="1"/>
        <v>15295.114312695314</v>
      </c>
    </row>
    <row r="12" spans="2:14">
      <c r="B12" s="24" t="s">
        <v>4</v>
      </c>
      <c r="C12" s="23" t="s">
        <v>5</v>
      </c>
      <c r="D12" s="84">
        <f>40*715</f>
        <v>28600</v>
      </c>
      <c r="E12" s="84">
        <f>50*715</f>
        <v>35750</v>
      </c>
      <c r="F12" s="84">
        <f t="shared" ref="F12:H12" si="2">50*715</f>
        <v>35750</v>
      </c>
      <c r="G12" s="84">
        <f t="shared" si="2"/>
        <v>35750</v>
      </c>
      <c r="H12" s="84">
        <f t="shared" si="2"/>
        <v>35750</v>
      </c>
      <c r="I12" s="84">
        <f>715*40</f>
        <v>28600</v>
      </c>
      <c r="J12" s="84">
        <f t="shared" ref="J12:M12" si="3">715*40</f>
        <v>28600</v>
      </c>
      <c r="K12" s="84">
        <f t="shared" si="3"/>
        <v>28600</v>
      </c>
      <c r="L12" s="84">
        <f t="shared" si="3"/>
        <v>28600</v>
      </c>
      <c r="M12" s="84">
        <f t="shared" si="3"/>
        <v>28600</v>
      </c>
      <c r="N12" s="74"/>
    </row>
    <row r="13" spans="2:14">
      <c r="B13" s="24" t="s">
        <v>6</v>
      </c>
      <c r="C13" s="23" t="s">
        <v>5</v>
      </c>
      <c r="D13" s="84">
        <v>150</v>
      </c>
      <c r="E13" s="84">
        <v>150</v>
      </c>
      <c r="F13" s="84">
        <v>150</v>
      </c>
      <c r="G13" s="84">
        <v>150</v>
      </c>
      <c r="H13" s="84">
        <v>150</v>
      </c>
      <c r="I13" s="84">
        <v>150</v>
      </c>
      <c r="J13" s="84">
        <v>150</v>
      </c>
      <c r="K13" s="84">
        <v>150</v>
      </c>
      <c r="L13" s="84">
        <v>150</v>
      </c>
      <c r="M13" s="84">
        <v>150</v>
      </c>
      <c r="N13" s="74"/>
    </row>
    <row r="14" spans="2:14">
      <c r="B14" s="24" t="s">
        <v>64</v>
      </c>
      <c r="C14" s="23" t="s">
        <v>5</v>
      </c>
      <c r="D14" s="84">
        <f>D11*D12</f>
        <v>57200000</v>
      </c>
      <c r="E14" s="84">
        <f t="shared" ref="E14:M14" si="4">E11*E12</f>
        <v>178750000</v>
      </c>
      <c r="F14" s="84">
        <f t="shared" si="4"/>
        <v>205562500</v>
      </c>
      <c r="G14" s="84">
        <f t="shared" si="4"/>
        <v>236396875</v>
      </c>
      <c r="H14" s="84">
        <f t="shared" si="4"/>
        <v>271856406.25</v>
      </c>
      <c r="I14" s="84">
        <f t="shared" si="4"/>
        <v>250107893.75</v>
      </c>
      <c r="J14" s="84">
        <f t="shared" si="4"/>
        <v>287624077.8125</v>
      </c>
      <c r="K14" s="84">
        <f t="shared" si="4"/>
        <v>330767689.484375</v>
      </c>
      <c r="L14" s="84">
        <f t="shared" si="4"/>
        <v>380382842.9070313</v>
      </c>
      <c r="M14" s="84">
        <f t="shared" si="4"/>
        <v>437440269.343086</v>
      </c>
      <c r="N14" s="58"/>
    </row>
    <row r="15" spans="2:14">
      <c r="B15" s="24" t="s">
        <v>63</v>
      </c>
      <c r="C15" s="23" t="s">
        <v>5</v>
      </c>
      <c r="D15" s="80">
        <f>D13*D11</f>
        <v>300000</v>
      </c>
      <c r="E15" s="80">
        <f t="shared" ref="E15:M15" si="5">E13*E11</f>
        <v>750000</v>
      </c>
      <c r="F15" s="80">
        <f t="shared" si="5"/>
        <v>862500</v>
      </c>
      <c r="G15" s="80">
        <f t="shared" si="5"/>
        <v>991875</v>
      </c>
      <c r="H15" s="80">
        <f t="shared" si="5"/>
        <v>1140656.25</v>
      </c>
      <c r="I15" s="80">
        <f t="shared" si="5"/>
        <v>1311754.6875</v>
      </c>
      <c r="J15" s="80">
        <f t="shared" si="5"/>
        <v>1508517.890625</v>
      </c>
      <c r="K15" s="80">
        <f t="shared" si="5"/>
        <v>1734795.5742187502</v>
      </c>
      <c r="L15" s="80">
        <f t="shared" si="5"/>
        <v>1995014.9103515625</v>
      </c>
      <c r="M15" s="80">
        <f t="shared" si="5"/>
        <v>2294267.1469042972</v>
      </c>
      <c r="N15" s="58"/>
    </row>
    <row r="16" spans="2:14">
      <c r="B16" s="16"/>
      <c r="C16" s="16"/>
      <c r="D16" s="17"/>
      <c r="E16" s="17"/>
      <c r="F16" s="17"/>
      <c r="G16" s="17"/>
      <c r="H16" s="17"/>
      <c r="I16" s="17"/>
      <c r="J16" s="17"/>
      <c r="K16" s="17"/>
      <c r="L16" s="17"/>
      <c r="M16" s="17"/>
    </row>
    <row r="17" spans="2:14">
      <c r="B17" s="112" t="s">
        <v>45</v>
      </c>
      <c r="C17" s="113" t="s">
        <v>0</v>
      </c>
      <c r="D17" s="113" t="s">
        <v>1</v>
      </c>
      <c r="E17" s="113"/>
      <c r="F17" s="113"/>
      <c r="G17" s="113"/>
      <c r="H17" s="113"/>
      <c r="I17" s="113"/>
      <c r="J17" s="113"/>
      <c r="K17" s="113"/>
      <c r="L17" s="113"/>
      <c r="M17" s="113"/>
    </row>
    <row r="18" spans="2:14">
      <c r="B18" s="112"/>
      <c r="C18" s="113"/>
      <c r="D18" s="41">
        <v>1</v>
      </c>
      <c r="E18" s="41">
        <v>2</v>
      </c>
      <c r="F18" s="41">
        <v>3</v>
      </c>
      <c r="G18" s="41">
        <v>4</v>
      </c>
      <c r="H18" s="41">
        <v>5</v>
      </c>
      <c r="I18" s="41">
        <v>6</v>
      </c>
      <c r="J18" s="41">
        <v>7</v>
      </c>
      <c r="K18" s="41">
        <v>8</v>
      </c>
      <c r="L18" s="41">
        <v>9</v>
      </c>
      <c r="M18" s="41">
        <v>10</v>
      </c>
    </row>
    <row r="19" spans="2:14">
      <c r="B19" s="24" t="s">
        <v>2</v>
      </c>
      <c r="C19" s="23" t="s">
        <v>3</v>
      </c>
      <c r="D19" s="44">
        <f>C4*1000</f>
        <v>0</v>
      </c>
      <c r="E19" s="44">
        <f t="shared" ref="E19:M19" si="6">D4*1000</f>
        <v>0</v>
      </c>
      <c r="F19" s="44">
        <f t="shared" si="6"/>
        <v>0</v>
      </c>
      <c r="G19" s="44">
        <f t="shared" si="6"/>
        <v>0</v>
      </c>
      <c r="H19" s="44">
        <f t="shared" si="6"/>
        <v>0</v>
      </c>
      <c r="I19" s="44">
        <f t="shared" si="6"/>
        <v>0</v>
      </c>
      <c r="J19" s="44">
        <f t="shared" si="6"/>
        <v>0</v>
      </c>
      <c r="K19" s="44">
        <f t="shared" si="6"/>
        <v>0</v>
      </c>
      <c r="L19" s="44">
        <f t="shared" si="6"/>
        <v>0</v>
      </c>
      <c r="M19" s="44">
        <f t="shared" si="6"/>
        <v>0</v>
      </c>
    </row>
    <row r="20" spans="2:14">
      <c r="B20" s="24" t="s">
        <v>4</v>
      </c>
      <c r="C20" s="23" t="s">
        <v>5</v>
      </c>
      <c r="D20" s="84">
        <v>150</v>
      </c>
      <c r="E20" s="84">
        <v>150</v>
      </c>
      <c r="F20" s="84">
        <v>150</v>
      </c>
      <c r="G20" s="84">
        <v>150</v>
      </c>
      <c r="H20" s="84">
        <v>150</v>
      </c>
      <c r="I20" s="84">
        <v>150</v>
      </c>
      <c r="J20" s="84">
        <v>150</v>
      </c>
      <c r="K20" s="84">
        <v>150</v>
      </c>
      <c r="L20" s="84">
        <v>150</v>
      </c>
      <c r="M20" s="84">
        <v>150</v>
      </c>
      <c r="N20" s="74"/>
    </row>
    <row r="21" spans="2:14">
      <c r="B21" s="24" t="s">
        <v>6</v>
      </c>
      <c r="C21" s="23" t="s">
        <v>5</v>
      </c>
      <c r="D21" s="84">
        <v>100</v>
      </c>
      <c r="E21" s="84">
        <v>100</v>
      </c>
      <c r="F21" s="84">
        <v>100</v>
      </c>
      <c r="G21" s="84">
        <v>100</v>
      </c>
      <c r="H21" s="84">
        <v>100</v>
      </c>
      <c r="I21" s="84">
        <v>100</v>
      </c>
      <c r="J21" s="84">
        <v>100</v>
      </c>
      <c r="K21" s="84">
        <v>100</v>
      </c>
      <c r="L21" s="84">
        <v>100</v>
      </c>
      <c r="M21" s="84">
        <v>100</v>
      </c>
      <c r="N21" s="74"/>
    </row>
    <row r="22" spans="2:14">
      <c r="B22" s="24" t="s">
        <v>64</v>
      </c>
      <c r="C22" s="23" t="s">
        <v>5</v>
      </c>
      <c r="D22" s="84">
        <f>D19*D20</f>
        <v>0</v>
      </c>
      <c r="E22" s="84">
        <f t="shared" ref="E22:M22" si="7">E19*E20</f>
        <v>0</v>
      </c>
      <c r="F22" s="84">
        <f t="shared" si="7"/>
        <v>0</v>
      </c>
      <c r="G22" s="84">
        <f t="shared" si="7"/>
        <v>0</v>
      </c>
      <c r="H22" s="84">
        <f t="shared" si="7"/>
        <v>0</v>
      </c>
      <c r="I22" s="84">
        <f t="shared" si="7"/>
        <v>0</v>
      </c>
      <c r="J22" s="84">
        <f t="shared" si="7"/>
        <v>0</v>
      </c>
      <c r="K22" s="84">
        <f t="shared" si="7"/>
        <v>0</v>
      </c>
      <c r="L22" s="84">
        <f t="shared" si="7"/>
        <v>0</v>
      </c>
      <c r="M22" s="84">
        <f t="shared" si="7"/>
        <v>0</v>
      </c>
      <c r="N22" s="58"/>
    </row>
    <row r="23" spans="2:14">
      <c r="B23" s="24" t="s">
        <v>63</v>
      </c>
      <c r="C23" s="23" t="s">
        <v>5</v>
      </c>
      <c r="D23" s="80">
        <f>D21*D19</f>
        <v>0</v>
      </c>
      <c r="E23" s="80">
        <f t="shared" ref="E23:M23" si="8">E21*E19</f>
        <v>0</v>
      </c>
      <c r="F23" s="80">
        <f t="shared" si="8"/>
        <v>0</v>
      </c>
      <c r="G23" s="80">
        <f t="shared" si="8"/>
        <v>0</v>
      </c>
      <c r="H23" s="80">
        <f t="shared" si="8"/>
        <v>0</v>
      </c>
      <c r="I23" s="80">
        <f t="shared" si="8"/>
        <v>0</v>
      </c>
      <c r="J23" s="80">
        <f t="shared" si="8"/>
        <v>0</v>
      </c>
      <c r="K23" s="80">
        <f t="shared" si="8"/>
        <v>0</v>
      </c>
      <c r="L23" s="80">
        <f t="shared" si="8"/>
        <v>0</v>
      </c>
      <c r="M23" s="80">
        <f t="shared" si="8"/>
        <v>0</v>
      </c>
      <c r="N23" s="58"/>
    </row>
    <row r="25" spans="2:14">
      <c r="B25" s="112" t="s">
        <v>46</v>
      </c>
      <c r="C25" s="113" t="s">
        <v>0</v>
      </c>
      <c r="D25" s="113" t="s">
        <v>1</v>
      </c>
      <c r="E25" s="113"/>
      <c r="F25" s="113"/>
      <c r="G25" s="113"/>
      <c r="H25" s="113"/>
      <c r="I25" s="113"/>
      <c r="J25" s="113"/>
      <c r="K25" s="113"/>
      <c r="L25" s="113"/>
      <c r="M25" s="113"/>
    </row>
    <row r="26" spans="2:14">
      <c r="B26" s="112"/>
      <c r="C26" s="113"/>
      <c r="D26" s="41">
        <v>1</v>
      </c>
      <c r="E26" s="41">
        <v>2</v>
      </c>
      <c r="F26" s="41">
        <v>3</v>
      </c>
      <c r="G26" s="41">
        <v>4</v>
      </c>
      <c r="H26" s="41">
        <v>5</v>
      </c>
      <c r="I26" s="41">
        <v>6</v>
      </c>
      <c r="J26" s="41">
        <v>7</v>
      </c>
      <c r="K26" s="41">
        <v>8</v>
      </c>
      <c r="L26" s="41">
        <v>9</v>
      </c>
      <c r="M26" s="41">
        <v>10</v>
      </c>
    </row>
    <row r="27" spans="2:14">
      <c r="B27" s="24" t="s">
        <v>2</v>
      </c>
      <c r="C27" s="23" t="s">
        <v>3</v>
      </c>
      <c r="D27" s="44">
        <f>C5*1000</f>
        <v>0</v>
      </c>
      <c r="E27" s="44">
        <f t="shared" ref="E27:M27" si="9">D5*1000</f>
        <v>0</v>
      </c>
      <c r="F27" s="44">
        <f t="shared" si="9"/>
        <v>0</v>
      </c>
      <c r="G27" s="44">
        <f t="shared" si="9"/>
        <v>0</v>
      </c>
      <c r="H27" s="44">
        <f t="shared" si="9"/>
        <v>0</v>
      </c>
      <c r="I27" s="44">
        <f t="shared" si="9"/>
        <v>0</v>
      </c>
      <c r="J27" s="44">
        <f t="shared" si="9"/>
        <v>0</v>
      </c>
      <c r="K27" s="44">
        <f t="shared" si="9"/>
        <v>0</v>
      </c>
      <c r="L27" s="44">
        <f t="shared" si="9"/>
        <v>0</v>
      </c>
      <c r="M27" s="44">
        <f t="shared" si="9"/>
        <v>0</v>
      </c>
    </row>
    <row r="28" spans="2:14">
      <c r="B28" s="24" t="s">
        <v>4</v>
      </c>
      <c r="C28" s="23" t="s">
        <v>5</v>
      </c>
      <c r="D28" s="84">
        <v>75</v>
      </c>
      <c r="E28" s="84">
        <v>75</v>
      </c>
      <c r="F28" s="84">
        <v>75</v>
      </c>
      <c r="G28" s="84">
        <v>75</v>
      </c>
      <c r="H28" s="84">
        <v>75</v>
      </c>
      <c r="I28" s="84">
        <v>75</v>
      </c>
      <c r="J28" s="84">
        <v>75</v>
      </c>
      <c r="K28" s="84">
        <v>75</v>
      </c>
      <c r="L28" s="84">
        <v>75</v>
      </c>
      <c r="M28" s="84">
        <v>75</v>
      </c>
      <c r="N28" s="74"/>
    </row>
    <row r="29" spans="2:14">
      <c r="B29" s="24" t="s">
        <v>6</v>
      </c>
      <c r="C29" s="23" t="s">
        <v>5</v>
      </c>
      <c r="D29" s="84">
        <v>50</v>
      </c>
      <c r="E29" s="84">
        <v>50</v>
      </c>
      <c r="F29" s="84">
        <v>50</v>
      </c>
      <c r="G29" s="84">
        <v>50</v>
      </c>
      <c r="H29" s="84">
        <v>50</v>
      </c>
      <c r="I29" s="84">
        <v>50</v>
      </c>
      <c r="J29" s="84">
        <v>50</v>
      </c>
      <c r="K29" s="84">
        <v>50</v>
      </c>
      <c r="L29" s="84">
        <v>50</v>
      </c>
      <c r="M29" s="84">
        <v>50</v>
      </c>
      <c r="N29" s="74"/>
    </row>
    <row r="30" spans="2:14">
      <c r="B30" s="24" t="s">
        <v>64</v>
      </c>
      <c r="C30" s="23" t="s">
        <v>5</v>
      </c>
      <c r="D30" s="84">
        <f>D27*D28</f>
        <v>0</v>
      </c>
      <c r="E30" s="84">
        <f t="shared" ref="E30:M30" si="10">E27*E28</f>
        <v>0</v>
      </c>
      <c r="F30" s="84">
        <f t="shared" si="10"/>
        <v>0</v>
      </c>
      <c r="G30" s="84">
        <f t="shared" si="10"/>
        <v>0</v>
      </c>
      <c r="H30" s="84">
        <f t="shared" si="10"/>
        <v>0</v>
      </c>
      <c r="I30" s="84">
        <f t="shared" si="10"/>
        <v>0</v>
      </c>
      <c r="J30" s="84">
        <f t="shared" si="10"/>
        <v>0</v>
      </c>
      <c r="K30" s="84">
        <f t="shared" si="10"/>
        <v>0</v>
      </c>
      <c r="L30" s="84">
        <f t="shared" si="10"/>
        <v>0</v>
      </c>
      <c r="M30" s="84">
        <f t="shared" si="10"/>
        <v>0</v>
      </c>
      <c r="N30" s="58"/>
    </row>
    <row r="31" spans="2:14">
      <c r="B31" s="24" t="s">
        <v>63</v>
      </c>
      <c r="C31" s="23" t="s">
        <v>5</v>
      </c>
      <c r="D31" s="80">
        <f>D29*D27</f>
        <v>0</v>
      </c>
      <c r="E31" s="80">
        <f t="shared" ref="E31:M31" si="11">E29*E27</f>
        <v>0</v>
      </c>
      <c r="F31" s="80">
        <f t="shared" si="11"/>
        <v>0</v>
      </c>
      <c r="G31" s="80">
        <f t="shared" si="11"/>
        <v>0</v>
      </c>
      <c r="H31" s="80">
        <f t="shared" si="11"/>
        <v>0</v>
      </c>
      <c r="I31" s="80">
        <f t="shared" si="11"/>
        <v>0</v>
      </c>
      <c r="J31" s="80">
        <f t="shared" si="11"/>
        <v>0</v>
      </c>
      <c r="K31" s="80">
        <f t="shared" si="11"/>
        <v>0</v>
      </c>
      <c r="L31" s="80">
        <f t="shared" si="11"/>
        <v>0</v>
      </c>
      <c r="M31" s="80">
        <f t="shared" si="11"/>
        <v>0</v>
      </c>
      <c r="N31" s="58"/>
    </row>
    <row r="33" spans="2:14">
      <c r="B33" s="112" t="s">
        <v>47</v>
      </c>
      <c r="C33" s="113" t="s">
        <v>0</v>
      </c>
      <c r="D33" s="113" t="s">
        <v>1</v>
      </c>
      <c r="E33" s="113"/>
      <c r="F33" s="113"/>
      <c r="G33" s="113"/>
      <c r="H33" s="113"/>
      <c r="I33" s="113"/>
      <c r="J33" s="113"/>
      <c r="K33" s="113"/>
      <c r="L33" s="113"/>
      <c r="M33" s="113"/>
    </row>
    <row r="34" spans="2:14">
      <c r="B34" s="112"/>
      <c r="C34" s="113"/>
      <c r="D34" s="41">
        <v>1</v>
      </c>
      <c r="E34" s="41">
        <v>2</v>
      </c>
      <c r="F34" s="41">
        <v>3</v>
      </c>
      <c r="G34" s="41">
        <v>4</v>
      </c>
      <c r="H34" s="41">
        <v>5</v>
      </c>
      <c r="I34" s="41">
        <v>6</v>
      </c>
      <c r="J34" s="41">
        <v>7</v>
      </c>
      <c r="K34" s="41">
        <v>8</v>
      </c>
      <c r="L34" s="41">
        <v>9</v>
      </c>
      <c r="M34" s="41">
        <v>10</v>
      </c>
    </row>
    <row r="35" spans="2:14">
      <c r="B35" s="24" t="s">
        <v>2</v>
      </c>
      <c r="C35" s="23" t="s">
        <v>3</v>
      </c>
      <c r="D35" s="44">
        <f>C6*1000</f>
        <v>0</v>
      </c>
      <c r="E35" s="44">
        <f t="shared" ref="E35:M35" si="12">D6*1000</f>
        <v>0</v>
      </c>
      <c r="F35" s="44">
        <f t="shared" si="12"/>
        <v>0</v>
      </c>
      <c r="G35" s="44">
        <f t="shared" si="12"/>
        <v>0</v>
      </c>
      <c r="H35" s="44">
        <f t="shared" si="12"/>
        <v>0</v>
      </c>
      <c r="I35" s="44">
        <f t="shared" si="12"/>
        <v>0</v>
      </c>
      <c r="J35" s="44">
        <f t="shared" si="12"/>
        <v>0</v>
      </c>
      <c r="K35" s="44">
        <f t="shared" si="12"/>
        <v>0</v>
      </c>
      <c r="L35" s="44">
        <f t="shared" si="12"/>
        <v>0</v>
      </c>
      <c r="M35" s="44">
        <f t="shared" si="12"/>
        <v>0</v>
      </c>
    </row>
    <row r="36" spans="2:14">
      <c r="B36" s="24" t="s">
        <v>4</v>
      </c>
      <c r="C36" s="23" t="s">
        <v>5</v>
      </c>
      <c r="D36" s="84">
        <v>175</v>
      </c>
      <c r="E36" s="84">
        <v>175</v>
      </c>
      <c r="F36" s="84">
        <v>175</v>
      </c>
      <c r="G36" s="84">
        <v>175</v>
      </c>
      <c r="H36" s="84">
        <v>175</v>
      </c>
      <c r="I36" s="84">
        <v>175</v>
      </c>
      <c r="J36" s="84">
        <v>175</v>
      </c>
      <c r="K36" s="84">
        <v>175</v>
      </c>
      <c r="L36" s="84">
        <v>175</v>
      </c>
      <c r="M36" s="84">
        <v>175</v>
      </c>
      <c r="N36" s="74"/>
    </row>
    <row r="37" spans="2:14">
      <c r="B37" s="24" t="s">
        <v>6</v>
      </c>
      <c r="C37" s="23" t="s">
        <v>5</v>
      </c>
      <c r="D37" s="84">
        <v>150</v>
      </c>
      <c r="E37" s="84">
        <v>150</v>
      </c>
      <c r="F37" s="84">
        <v>150</v>
      </c>
      <c r="G37" s="84">
        <v>150</v>
      </c>
      <c r="H37" s="84">
        <v>150</v>
      </c>
      <c r="I37" s="84">
        <v>150</v>
      </c>
      <c r="J37" s="84">
        <v>150</v>
      </c>
      <c r="K37" s="84">
        <v>150</v>
      </c>
      <c r="L37" s="84">
        <v>150</v>
      </c>
      <c r="M37" s="84">
        <v>150</v>
      </c>
      <c r="N37" s="74"/>
    </row>
    <row r="38" spans="2:14">
      <c r="B38" s="24" t="s">
        <v>64</v>
      </c>
      <c r="C38" s="23" t="s">
        <v>5</v>
      </c>
      <c r="D38" s="84">
        <f>D35*D36</f>
        <v>0</v>
      </c>
      <c r="E38" s="84">
        <f t="shared" ref="E38:M38" si="13">E35*E36</f>
        <v>0</v>
      </c>
      <c r="F38" s="84">
        <f t="shared" si="13"/>
        <v>0</v>
      </c>
      <c r="G38" s="84">
        <f t="shared" si="13"/>
        <v>0</v>
      </c>
      <c r="H38" s="84">
        <f t="shared" si="13"/>
        <v>0</v>
      </c>
      <c r="I38" s="84">
        <f t="shared" si="13"/>
        <v>0</v>
      </c>
      <c r="J38" s="84">
        <f t="shared" si="13"/>
        <v>0</v>
      </c>
      <c r="K38" s="84">
        <f t="shared" si="13"/>
        <v>0</v>
      </c>
      <c r="L38" s="84">
        <f t="shared" si="13"/>
        <v>0</v>
      </c>
      <c r="M38" s="84">
        <f t="shared" si="13"/>
        <v>0</v>
      </c>
      <c r="N38" s="74"/>
    </row>
    <row r="39" spans="2:14">
      <c r="B39" s="24" t="s">
        <v>63</v>
      </c>
      <c r="C39" s="23" t="s">
        <v>5</v>
      </c>
      <c r="D39" s="80">
        <f>D37*D35</f>
        <v>0</v>
      </c>
      <c r="E39" s="80">
        <f t="shared" ref="E39:M39" si="14">E37*E35</f>
        <v>0</v>
      </c>
      <c r="F39" s="80">
        <f t="shared" si="14"/>
        <v>0</v>
      </c>
      <c r="G39" s="80">
        <f t="shared" si="14"/>
        <v>0</v>
      </c>
      <c r="H39" s="80">
        <f t="shared" si="14"/>
        <v>0</v>
      </c>
      <c r="I39" s="80">
        <f t="shared" si="14"/>
        <v>0</v>
      </c>
      <c r="J39" s="80">
        <f t="shared" si="14"/>
        <v>0</v>
      </c>
      <c r="K39" s="80">
        <f t="shared" si="14"/>
        <v>0</v>
      </c>
      <c r="L39" s="80">
        <f t="shared" si="14"/>
        <v>0</v>
      </c>
      <c r="M39" s="80">
        <f t="shared" si="14"/>
        <v>0</v>
      </c>
      <c r="N39" s="74"/>
    </row>
    <row r="40" spans="2:14">
      <c r="B40" s="127"/>
      <c r="C40" s="128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74"/>
    </row>
    <row r="41" spans="2:14">
      <c r="B41" s="112" t="s">
        <v>98</v>
      </c>
      <c r="C41" s="113" t="s">
        <v>100</v>
      </c>
      <c r="D41" s="113" t="s">
        <v>1</v>
      </c>
      <c r="E41" s="113"/>
      <c r="F41" s="113"/>
      <c r="G41" s="113"/>
      <c r="H41" s="113"/>
      <c r="I41" s="113"/>
      <c r="J41" s="113"/>
      <c r="K41" s="113"/>
      <c r="L41" s="113"/>
      <c r="M41" s="113"/>
      <c r="N41" s="74"/>
    </row>
    <row r="42" spans="2:14">
      <c r="B42" s="112"/>
      <c r="C42" s="113"/>
      <c r="D42" s="108">
        <v>1</v>
      </c>
      <c r="E42" s="108">
        <v>2</v>
      </c>
      <c r="F42" s="108">
        <v>3</v>
      </c>
      <c r="G42" s="108">
        <v>4</v>
      </c>
      <c r="H42" s="108">
        <v>5</v>
      </c>
      <c r="I42" s="108">
        <v>6</v>
      </c>
      <c r="J42" s="108">
        <v>7</v>
      </c>
      <c r="K42" s="108">
        <v>8</v>
      </c>
      <c r="L42" s="108">
        <v>9</v>
      </c>
      <c r="M42" s="108">
        <v>10</v>
      </c>
      <c r="N42" s="74"/>
    </row>
    <row r="43" spans="2:14">
      <c r="B43" s="24" t="s">
        <v>2</v>
      </c>
      <c r="C43" s="23" t="s">
        <v>3</v>
      </c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74"/>
    </row>
    <row r="44" spans="2:14">
      <c r="B44" s="24" t="s">
        <v>99</v>
      </c>
      <c r="C44" s="129">
        <v>200000</v>
      </c>
      <c r="D44" s="84">
        <f>2*C44</f>
        <v>400000</v>
      </c>
      <c r="E44" s="84"/>
      <c r="F44" s="84"/>
      <c r="G44" s="84"/>
      <c r="H44" s="84"/>
      <c r="I44" s="84"/>
      <c r="J44" s="84"/>
      <c r="K44" s="84"/>
      <c r="L44" s="84"/>
      <c r="M44" s="84"/>
      <c r="N44" s="74"/>
    </row>
    <row r="45" spans="2:14">
      <c r="B45" s="24" t="s">
        <v>101</v>
      </c>
      <c r="C45" s="129">
        <v>650000</v>
      </c>
      <c r="D45" s="84">
        <f>4*C45</f>
        <v>2600000</v>
      </c>
      <c r="E45" s="84"/>
      <c r="F45" s="84"/>
      <c r="G45" s="84"/>
      <c r="H45" s="84"/>
      <c r="I45" s="84"/>
      <c r="J45" s="84"/>
      <c r="K45" s="84"/>
      <c r="L45" s="84"/>
      <c r="M45" s="84"/>
      <c r="N45" s="74"/>
    </row>
    <row r="46" spans="2:14">
      <c r="B46" s="24" t="s">
        <v>102</v>
      </c>
      <c r="C46" s="129">
        <v>600000</v>
      </c>
      <c r="D46" s="84">
        <f>12*$C$46</f>
        <v>7200000</v>
      </c>
      <c r="E46" s="84">
        <f t="shared" ref="E46:M46" si="15">12*$C$46</f>
        <v>7200000</v>
      </c>
      <c r="F46" s="84">
        <f t="shared" si="15"/>
        <v>7200000</v>
      </c>
      <c r="G46" s="84">
        <f t="shared" si="15"/>
        <v>7200000</v>
      </c>
      <c r="H46" s="84">
        <f t="shared" si="15"/>
        <v>7200000</v>
      </c>
      <c r="I46" s="84">
        <f t="shared" si="15"/>
        <v>7200000</v>
      </c>
      <c r="J46" s="84">
        <f t="shared" si="15"/>
        <v>7200000</v>
      </c>
      <c r="K46" s="84">
        <f t="shared" si="15"/>
        <v>7200000</v>
      </c>
      <c r="L46" s="84">
        <f t="shared" si="15"/>
        <v>7200000</v>
      </c>
      <c r="M46" s="84">
        <f t="shared" si="15"/>
        <v>7200000</v>
      </c>
      <c r="N46" s="74"/>
    </row>
    <row r="47" spans="2:14">
      <c r="B47" s="24"/>
      <c r="C47" s="129"/>
      <c r="D47" s="84">
        <v>0</v>
      </c>
      <c r="E47" s="84"/>
      <c r="F47" s="84"/>
      <c r="G47" s="84"/>
      <c r="H47" s="84"/>
      <c r="I47" s="84"/>
      <c r="J47" s="84"/>
      <c r="K47" s="84"/>
      <c r="L47" s="84"/>
      <c r="M47" s="84"/>
      <c r="N47" s="74"/>
    </row>
    <row r="48" spans="2:14">
      <c r="B48" s="24" t="s">
        <v>63</v>
      </c>
      <c r="C48" s="129" t="s">
        <v>5</v>
      </c>
      <c r="D48" s="80">
        <f>SUM(D44:D47)</f>
        <v>10200000</v>
      </c>
      <c r="E48" s="80">
        <f t="shared" ref="E48:M48" si="16">SUM(E44:E46)</f>
        <v>7200000</v>
      </c>
      <c r="F48" s="80">
        <f t="shared" si="16"/>
        <v>7200000</v>
      </c>
      <c r="G48" s="80">
        <f t="shared" si="16"/>
        <v>7200000</v>
      </c>
      <c r="H48" s="80">
        <f t="shared" si="16"/>
        <v>7200000</v>
      </c>
      <c r="I48" s="80">
        <f t="shared" si="16"/>
        <v>7200000</v>
      </c>
      <c r="J48" s="80">
        <f t="shared" si="16"/>
        <v>7200000</v>
      </c>
      <c r="K48" s="80">
        <f t="shared" si="16"/>
        <v>7200000</v>
      </c>
      <c r="L48" s="80">
        <f t="shared" si="16"/>
        <v>7200000</v>
      </c>
      <c r="M48" s="80">
        <f t="shared" si="16"/>
        <v>7200000</v>
      </c>
      <c r="N48" s="74"/>
    </row>
    <row r="50" spans="2:16">
      <c r="B50" s="114" t="s">
        <v>48</v>
      </c>
      <c r="C50" s="115" t="s">
        <v>0</v>
      </c>
      <c r="D50" s="115" t="s">
        <v>1</v>
      </c>
      <c r="E50" s="115"/>
      <c r="F50" s="115"/>
      <c r="G50" s="115"/>
      <c r="H50" s="115"/>
      <c r="I50" s="115"/>
      <c r="J50" s="115"/>
      <c r="K50" s="115"/>
      <c r="L50" s="115"/>
      <c r="M50" s="115"/>
    </row>
    <row r="51" spans="2:16">
      <c r="B51" s="114"/>
      <c r="C51" s="115"/>
      <c r="D51" s="45">
        <v>1</v>
      </c>
      <c r="E51" s="45">
        <v>2</v>
      </c>
      <c r="F51" s="45">
        <v>3</v>
      </c>
      <c r="G51" s="45">
        <v>4</v>
      </c>
      <c r="H51" s="45">
        <v>5</v>
      </c>
      <c r="I51" s="45">
        <v>6</v>
      </c>
      <c r="J51" s="45">
        <v>7</v>
      </c>
      <c r="K51" s="45">
        <v>8</v>
      </c>
      <c r="L51" s="45">
        <v>9</v>
      </c>
      <c r="M51" s="45">
        <v>10</v>
      </c>
      <c r="P51" s="59" t="s">
        <v>33</v>
      </c>
    </row>
    <row r="52" spans="2:16">
      <c r="B52" s="46" t="s">
        <v>49</v>
      </c>
      <c r="C52" s="45" t="s">
        <v>3</v>
      </c>
      <c r="D52" s="44">
        <f>SUM(D14+D22+D30+D38)</f>
        <v>57200000</v>
      </c>
      <c r="E52" s="44">
        <f t="shared" ref="E52:M52" si="17">SUM(E14+E22+E30+E38)</f>
        <v>178750000</v>
      </c>
      <c r="F52" s="44">
        <f t="shared" si="17"/>
        <v>205562500</v>
      </c>
      <c r="G52" s="44">
        <f t="shared" si="17"/>
        <v>236396875</v>
      </c>
      <c r="H52" s="44">
        <f t="shared" si="17"/>
        <v>271856406.25</v>
      </c>
      <c r="I52" s="44">
        <f t="shared" si="17"/>
        <v>250107893.75</v>
      </c>
      <c r="J52" s="44">
        <f t="shared" si="17"/>
        <v>287624077.8125</v>
      </c>
      <c r="K52" s="44">
        <f t="shared" si="17"/>
        <v>330767689.484375</v>
      </c>
      <c r="L52" s="44">
        <f t="shared" si="17"/>
        <v>380382842.9070313</v>
      </c>
      <c r="M52" s="44">
        <f t="shared" si="17"/>
        <v>437440269.343086</v>
      </c>
      <c r="N52" s="58"/>
      <c r="P52" s="110">
        <f>SUM(N14:N15,N22:N23,N30:N31,N38:N39,N52:N53)</f>
        <v>0</v>
      </c>
    </row>
    <row r="53" spans="2:16">
      <c r="B53" s="46" t="s">
        <v>50</v>
      </c>
      <c r="C53" s="45" t="s">
        <v>5</v>
      </c>
      <c r="D53" s="1">
        <f>SUM(D15+D23+D31+D39)</f>
        <v>300000</v>
      </c>
      <c r="E53" s="1">
        <f t="shared" ref="E53:M53" si="18">SUM(E15+E23+E31+E39)</f>
        <v>750000</v>
      </c>
      <c r="F53" s="1">
        <f t="shared" si="18"/>
        <v>862500</v>
      </c>
      <c r="G53" s="1">
        <f t="shared" si="18"/>
        <v>991875</v>
      </c>
      <c r="H53" s="1">
        <f t="shared" si="18"/>
        <v>1140656.25</v>
      </c>
      <c r="I53" s="1">
        <f t="shared" si="18"/>
        <v>1311754.6875</v>
      </c>
      <c r="J53" s="1">
        <f t="shared" si="18"/>
        <v>1508517.890625</v>
      </c>
      <c r="K53" s="1">
        <f t="shared" si="18"/>
        <v>1734795.5742187502</v>
      </c>
      <c r="L53" s="1">
        <f t="shared" si="18"/>
        <v>1995014.9103515625</v>
      </c>
      <c r="M53" s="1">
        <f t="shared" si="18"/>
        <v>2294267.1469042972</v>
      </c>
      <c r="N53" s="58"/>
      <c r="P53" s="111"/>
    </row>
    <row r="54" spans="2:16">
      <c r="B54" s="46" t="s">
        <v>84</v>
      </c>
      <c r="C54" s="78" t="s">
        <v>5</v>
      </c>
      <c r="D54" s="1">
        <f>D48</f>
        <v>10200000</v>
      </c>
      <c r="E54" s="1">
        <f t="shared" ref="E54:M54" si="19">E48</f>
        <v>7200000</v>
      </c>
      <c r="F54" s="1">
        <f t="shared" si="19"/>
        <v>7200000</v>
      </c>
      <c r="G54" s="1">
        <f t="shared" si="19"/>
        <v>7200000</v>
      </c>
      <c r="H54" s="1">
        <f t="shared" si="19"/>
        <v>7200000</v>
      </c>
      <c r="I54" s="1">
        <f t="shared" si="19"/>
        <v>7200000</v>
      </c>
      <c r="J54" s="1">
        <f t="shared" si="19"/>
        <v>7200000</v>
      </c>
      <c r="K54" s="1">
        <f t="shared" si="19"/>
        <v>7200000</v>
      </c>
      <c r="L54" s="1">
        <f t="shared" si="19"/>
        <v>7200000</v>
      </c>
      <c r="M54" s="1">
        <f t="shared" si="19"/>
        <v>7200000</v>
      </c>
    </row>
    <row r="56" spans="2:16">
      <c r="D56" t="s">
        <v>90</v>
      </c>
      <c r="E56" s="94">
        <f>D53+D54</f>
        <v>10500000</v>
      </c>
      <c r="F56">
        <v>11</v>
      </c>
    </row>
    <row r="57" spans="2:16">
      <c r="D57" s="95" t="s">
        <v>91</v>
      </c>
      <c r="E57" s="96">
        <f>(E56*F57)/F56</f>
        <v>6681818.1818181816</v>
      </c>
      <c r="F57">
        <v>7</v>
      </c>
    </row>
  </sheetData>
  <mergeCells count="19">
    <mergeCell ref="B41:B42"/>
    <mergeCell ref="C41:C42"/>
    <mergeCell ref="D41:M41"/>
    <mergeCell ref="P52:P53"/>
    <mergeCell ref="B9:B10"/>
    <mergeCell ref="C9:C10"/>
    <mergeCell ref="D9:M9"/>
    <mergeCell ref="B17:B18"/>
    <mergeCell ref="C17:C18"/>
    <mergeCell ref="D17:M17"/>
    <mergeCell ref="B50:B51"/>
    <mergeCell ref="C50:C51"/>
    <mergeCell ref="D50:M50"/>
    <mergeCell ref="B25:B26"/>
    <mergeCell ref="C25:C26"/>
    <mergeCell ref="D25:M25"/>
    <mergeCell ref="B33:B34"/>
    <mergeCell ref="C33:C34"/>
    <mergeCell ref="D33:M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T42"/>
  <sheetViews>
    <sheetView showGridLines="0" zoomScale="70" zoomScaleNormal="70" workbookViewId="0">
      <selection activeCell="R34" sqref="R34"/>
    </sheetView>
  </sheetViews>
  <sheetFormatPr baseColWidth="10" defaultRowHeight="15"/>
  <cols>
    <col min="2" max="2" width="29.28515625" bestFit="1" customWidth="1"/>
    <col min="3" max="3" width="12.5703125" customWidth="1"/>
    <col min="4" max="4" width="13.28515625" customWidth="1"/>
    <col min="5" max="5" width="12.140625" bestFit="1" customWidth="1"/>
    <col min="7" max="7" width="16.7109375" customWidth="1"/>
    <col min="8" max="9" width="14.28515625" bestFit="1" customWidth="1"/>
    <col min="10" max="15" width="13.140625" bestFit="1" customWidth="1"/>
    <col min="16" max="16" width="13.42578125" customWidth="1"/>
    <col min="17" max="17" width="13.140625" bestFit="1" customWidth="1"/>
    <col min="18" max="19" width="13.42578125" customWidth="1"/>
  </cols>
  <sheetData>
    <row r="1" spans="1:20" ht="15.75" thickBot="1"/>
    <row r="2" spans="1:20" ht="38.25">
      <c r="A2" s="109" t="s">
        <v>51</v>
      </c>
      <c r="B2" s="116" t="s">
        <v>13</v>
      </c>
      <c r="C2" s="3" t="s">
        <v>8</v>
      </c>
      <c r="D2" s="3" t="s">
        <v>14</v>
      </c>
      <c r="E2" s="3" t="s">
        <v>15</v>
      </c>
      <c r="F2" s="3" t="s">
        <v>16</v>
      </c>
      <c r="G2" s="20" t="s">
        <v>17</v>
      </c>
      <c r="H2" s="119" t="s">
        <v>18</v>
      </c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</row>
    <row r="3" spans="1:20" ht="25.5">
      <c r="A3" s="109"/>
      <c r="B3" s="117"/>
      <c r="C3" s="86"/>
      <c r="D3" s="86"/>
      <c r="E3" s="86"/>
      <c r="F3" s="86"/>
      <c r="G3" s="87"/>
      <c r="H3" s="88">
        <v>2017</v>
      </c>
      <c r="I3" s="89">
        <v>2018</v>
      </c>
      <c r="J3" s="88">
        <v>2019</v>
      </c>
      <c r="K3" s="89">
        <v>2020</v>
      </c>
      <c r="L3" s="88">
        <v>2021</v>
      </c>
      <c r="M3" s="89">
        <v>2022</v>
      </c>
      <c r="N3" s="88">
        <v>2023</v>
      </c>
      <c r="O3" s="89">
        <v>2024</v>
      </c>
      <c r="P3" s="88">
        <v>2025</v>
      </c>
      <c r="Q3" s="89">
        <v>2026</v>
      </c>
      <c r="R3" s="88">
        <v>2027</v>
      </c>
    </row>
    <row r="4" spans="1:20" ht="18.75" customHeight="1" thickBot="1">
      <c r="A4" s="109"/>
      <c r="B4" s="118"/>
      <c r="C4" s="10" t="s">
        <v>19</v>
      </c>
      <c r="D4" s="10" t="s">
        <v>20</v>
      </c>
      <c r="E4" s="10" t="s">
        <v>21</v>
      </c>
      <c r="F4" s="10" t="s">
        <v>21</v>
      </c>
      <c r="G4" s="21" t="s">
        <v>22</v>
      </c>
      <c r="H4" s="27">
        <v>0</v>
      </c>
      <c r="I4" s="11">
        <v>1</v>
      </c>
      <c r="J4" s="11">
        <v>2</v>
      </c>
      <c r="K4" s="11">
        <v>3</v>
      </c>
      <c r="L4" s="11">
        <v>4</v>
      </c>
      <c r="M4" s="11">
        <v>5</v>
      </c>
      <c r="N4" s="11">
        <v>6</v>
      </c>
      <c r="O4" s="11">
        <v>7</v>
      </c>
      <c r="P4" s="11">
        <v>8</v>
      </c>
      <c r="Q4" s="11">
        <v>9</v>
      </c>
      <c r="R4" s="75">
        <v>10</v>
      </c>
      <c r="S4" s="62" t="s">
        <v>37</v>
      </c>
    </row>
    <row r="5" spans="1:20">
      <c r="A5" s="50">
        <f>Activos!C6</f>
        <v>0</v>
      </c>
      <c r="B5" s="49" t="str">
        <f>Activos!B6</f>
        <v>Licencia de Software</v>
      </c>
      <c r="C5" s="51">
        <f>Activos!D6</f>
        <v>1</v>
      </c>
      <c r="D5" s="51">
        <f>Activos!E6</f>
        <v>10725000</v>
      </c>
      <c r="E5" s="51">
        <f>Activos!F6</f>
        <v>7</v>
      </c>
      <c r="F5" s="51">
        <f>Activos!G6</f>
        <v>7</v>
      </c>
      <c r="G5" s="51">
        <f>Activos!H6</f>
        <v>0</v>
      </c>
      <c r="H5" s="8">
        <f>D5</f>
        <v>10725000</v>
      </c>
      <c r="I5" s="9"/>
      <c r="J5" s="9"/>
      <c r="K5" s="9"/>
      <c r="L5" s="9"/>
      <c r="M5" s="9"/>
      <c r="N5" s="9"/>
      <c r="O5" s="7">
        <f>D5</f>
        <v>10725000</v>
      </c>
      <c r="P5" s="8"/>
      <c r="Q5" s="9"/>
      <c r="R5" s="76"/>
      <c r="S5" s="62"/>
    </row>
    <row r="6" spans="1:20">
      <c r="A6" s="50"/>
      <c r="B6" s="49"/>
      <c r="C6" s="51"/>
      <c r="D6" s="52"/>
      <c r="E6" s="51"/>
      <c r="F6" s="51"/>
      <c r="G6" s="53"/>
      <c r="H6" s="8"/>
      <c r="I6" s="2"/>
      <c r="J6" s="2"/>
      <c r="K6" s="2"/>
      <c r="L6" s="2"/>
      <c r="M6" s="2"/>
      <c r="N6" s="2"/>
      <c r="O6" s="16"/>
      <c r="P6" s="2"/>
      <c r="Q6" s="2"/>
      <c r="R6" s="77"/>
      <c r="S6" s="62"/>
    </row>
    <row r="7" spans="1:20">
      <c r="A7" s="50"/>
      <c r="B7" s="49"/>
      <c r="C7" s="51"/>
      <c r="D7" s="52"/>
      <c r="E7" s="51"/>
      <c r="F7" s="51"/>
      <c r="G7" s="53"/>
      <c r="H7" s="8"/>
      <c r="I7" s="2"/>
      <c r="J7" s="2"/>
      <c r="K7" s="2"/>
      <c r="L7" s="2"/>
      <c r="M7" s="2"/>
      <c r="N7" s="2"/>
      <c r="O7" s="19"/>
      <c r="P7" s="2"/>
      <c r="Q7" s="2"/>
      <c r="R7" s="77"/>
      <c r="S7" s="62"/>
    </row>
    <row r="8" spans="1:20">
      <c r="A8" s="50"/>
      <c r="B8" s="49"/>
      <c r="C8" s="51"/>
      <c r="D8" s="52"/>
      <c r="E8" s="51"/>
      <c r="F8" s="51"/>
      <c r="G8" s="53"/>
      <c r="H8" s="8"/>
      <c r="I8" s="2"/>
      <c r="J8" s="2"/>
      <c r="K8" s="2"/>
      <c r="L8" s="2"/>
      <c r="M8" s="2"/>
      <c r="N8" s="2"/>
      <c r="O8" s="2"/>
      <c r="P8" s="2"/>
      <c r="Q8" s="2"/>
      <c r="R8" s="77"/>
      <c r="S8" s="62"/>
    </row>
    <row r="9" spans="1:20" ht="43.5" customHeight="1" thickBot="1">
      <c r="B9" s="15" t="s">
        <v>29</v>
      </c>
      <c r="C9" s="4"/>
      <c r="D9" s="5"/>
      <c r="E9" s="6"/>
      <c r="F9" s="6"/>
      <c r="G9" s="22"/>
      <c r="H9" s="18">
        <f t="shared" ref="H9:Q9" si="0">SUM(H5:H8)</f>
        <v>10725000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10725000</v>
      </c>
      <c r="P9" s="12">
        <f t="shared" si="0"/>
        <v>0</v>
      </c>
      <c r="Q9" s="12">
        <f t="shared" si="0"/>
        <v>0</v>
      </c>
      <c r="R9" s="12">
        <f t="shared" ref="R9" si="1">SUM(R5:R8)</f>
        <v>0</v>
      </c>
      <c r="S9" s="62"/>
    </row>
    <row r="10" spans="1:20" ht="7.5" customHeight="1">
      <c r="T10" s="63">
        <f>SUM(S5:S9)</f>
        <v>0</v>
      </c>
    </row>
    <row r="11" spans="1:20" ht="15.75" thickBot="1"/>
    <row r="12" spans="1:20" ht="38.25">
      <c r="A12" s="109" t="s">
        <v>51</v>
      </c>
      <c r="B12" s="116" t="s">
        <v>13</v>
      </c>
      <c r="C12" s="3" t="s">
        <v>8</v>
      </c>
      <c r="D12" s="3" t="s">
        <v>14</v>
      </c>
      <c r="E12" s="3" t="s">
        <v>15</v>
      </c>
      <c r="F12" s="3" t="s">
        <v>16</v>
      </c>
      <c r="G12" s="20" t="s">
        <v>17</v>
      </c>
      <c r="H12" s="119" t="s">
        <v>23</v>
      </c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</row>
    <row r="13" spans="1:20" ht="25.5">
      <c r="A13" s="109"/>
      <c r="B13" s="117"/>
      <c r="C13" s="86"/>
      <c r="D13" s="86"/>
      <c r="E13" s="86"/>
      <c r="F13" s="86"/>
      <c r="G13" s="87"/>
      <c r="H13" s="88">
        <v>2017</v>
      </c>
      <c r="I13" s="89">
        <v>2018</v>
      </c>
      <c r="J13" s="88">
        <v>2019</v>
      </c>
      <c r="K13" s="89">
        <v>2020</v>
      </c>
      <c r="L13" s="88">
        <v>2021</v>
      </c>
      <c r="M13" s="89">
        <v>2022</v>
      </c>
      <c r="N13" s="88">
        <v>2023</v>
      </c>
      <c r="O13" s="89">
        <v>2024</v>
      </c>
      <c r="P13" s="88">
        <v>2025</v>
      </c>
      <c r="Q13" s="89">
        <v>2026</v>
      </c>
      <c r="R13" s="88">
        <v>2027</v>
      </c>
      <c r="S13" s="62" t="s">
        <v>37</v>
      </c>
    </row>
    <row r="14" spans="1:20" ht="18.75" thickBot="1">
      <c r="A14" s="109"/>
      <c r="B14" s="118"/>
      <c r="C14" s="10" t="s">
        <v>19</v>
      </c>
      <c r="D14" s="10" t="s">
        <v>20</v>
      </c>
      <c r="E14" s="10" t="s">
        <v>21</v>
      </c>
      <c r="F14" s="10" t="s">
        <v>21</v>
      </c>
      <c r="G14" s="21" t="s">
        <v>22</v>
      </c>
      <c r="H14" s="27">
        <v>0</v>
      </c>
      <c r="I14" s="11">
        <v>1</v>
      </c>
      <c r="J14" s="11">
        <v>2</v>
      </c>
      <c r="K14" s="11">
        <v>3</v>
      </c>
      <c r="L14" s="11">
        <v>4</v>
      </c>
      <c r="M14" s="11">
        <v>5</v>
      </c>
      <c r="N14" s="11">
        <v>6</v>
      </c>
      <c r="O14" s="11">
        <v>7</v>
      </c>
      <c r="P14" s="11">
        <v>8</v>
      </c>
      <c r="Q14" s="11">
        <v>9</v>
      </c>
      <c r="R14" s="75">
        <v>10</v>
      </c>
      <c r="S14" s="62"/>
    </row>
    <row r="15" spans="1:20">
      <c r="A15" s="50">
        <v>0</v>
      </c>
      <c r="B15" s="49" t="str">
        <f>Activos!B6</f>
        <v>Licencia de Software</v>
      </c>
      <c r="C15" s="51">
        <f>Activos!D6</f>
        <v>1</v>
      </c>
      <c r="D15" s="51">
        <f>Activos!E6</f>
        <v>10725000</v>
      </c>
      <c r="E15" s="51">
        <f>Activos!F6</f>
        <v>7</v>
      </c>
      <c r="F15" s="51">
        <f>Activos!G6</f>
        <v>7</v>
      </c>
      <c r="G15" s="51">
        <f>Activos!H6</f>
        <v>0</v>
      </c>
      <c r="H15" s="8">
        <f>$D$15/$E$15</f>
        <v>1532142.857142857</v>
      </c>
      <c r="I15" s="8">
        <f t="shared" ref="I15:R15" si="2">$D$15/$E$15</f>
        <v>1532142.857142857</v>
      </c>
      <c r="J15" s="8">
        <f t="shared" si="2"/>
        <v>1532142.857142857</v>
      </c>
      <c r="K15" s="8">
        <f t="shared" si="2"/>
        <v>1532142.857142857</v>
      </c>
      <c r="L15" s="8">
        <f t="shared" si="2"/>
        <v>1532142.857142857</v>
      </c>
      <c r="M15" s="8">
        <f t="shared" si="2"/>
        <v>1532142.857142857</v>
      </c>
      <c r="N15" s="8">
        <f t="shared" si="2"/>
        <v>1532142.857142857</v>
      </c>
      <c r="O15" s="8">
        <f t="shared" si="2"/>
        <v>1532142.857142857</v>
      </c>
      <c r="P15" s="8">
        <f t="shared" si="2"/>
        <v>1532142.857142857</v>
      </c>
      <c r="Q15" s="8">
        <f t="shared" si="2"/>
        <v>1532142.857142857</v>
      </c>
      <c r="R15" s="8">
        <f t="shared" si="2"/>
        <v>1532142.857142857</v>
      </c>
      <c r="S15" s="62"/>
    </row>
    <row r="16" spans="1:20">
      <c r="A16" s="50"/>
      <c r="B16" s="49"/>
      <c r="C16" s="51"/>
      <c r="D16" s="52"/>
      <c r="E16" s="51"/>
      <c r="F16" s="51"/>
      <c r="G16" s="53"/>
      <c r="H16" s="8"/>
      <c r="I16" s="8"/>
      <c r="J16" s="8"/>
      <c r="K16" s="8"/>
      <c r="L16" s="8"/>
      <c r="M16" s="8"/>
      <c r="N16" s="2"/>
      <c r="O16" s="16"/>
      <c r="P16" s="2"/>
      <c r="Q16" s="2"/>
      <c r="R16" s="77"/>
      <c r="S16" s="62"/>
    </row>
    <row r="17" spans="1:19">
      <c r="A17" s="50"/>
      <c r="B17" s="49"/>
      <c r="C17" s="51"/>
      <c r="D17" s="52"/>
      <c r="E17" s="51"/>
      <c r="F17" s="51"/>
      <c r="G17" s="53"/>
      <c r="H17" s="8"/>
      <c r="I17" s="8"/>
      <c r="J17" s="8"/>
      <c r="K17" s="8"/>
      <c r="L17" s="8"/>
      <c r="M17" s="2"/>
      <c r="N17" s="2"/>
      <c r="O17" s="19"/>
      <c r="P17" s="2"/>
      <c r="Q17" s="2"/>
      <c r="R17" s="77"/>
      <c r="S17" s="62"/>
    </row>
    <row r="18" spans="1:19">
      <c r="A18" s="50"/>
      <c r="B18" s="49"/>
      <c r="C18" s="51"/>
      <c r="D18" s="52"/>
      <c r="E18" s="51"/>
      <c r="F18" s="51"/>
      <c r="G18" s="53"/>
      <c r="H18" s="8"/>
      <c r="I18" s="8"/>
      <c r="J18" s="8"/>
      <c r="K18" s="8"/>
      <c r="L18" s="8"/>
      <c r="M18" s="8"/>
      <c r="N18" s="2"/>
      <c r="O18" s="2"/>
      <c r="P18" s="2"/>
      <c r="Q18" s="2"/>
      <c r="R18" s="77"/>
      <c r="S18" s="62"/>
    </row>
    <row r="19" spans="1:19" ht="30" customHeight="1" thickBot="1">
      <c r="B19" s="15" t="s">
        <v>29</v>
      </c>
      <c r="C19" s="4"/>
      <c r="D19" s="5"/>
      <c r="E19" s="6"/>
      <c r="F19" s="6"/>
      <c r="G19" s="22"/>
      <c r="H19" s="18">
        <f t="shared" ref="H19:R19" si="3">SUM(H15:H18)</f>
        <v>1532142.857142857</v>
      </c>
      <c r="I19" s="12">
        <f t="shared" si="3"/>
        <v>1532142.857142857</v>
      </c>
      <c r="J19" s="12">
        <f t="shared" si="3"/>
        <v>1532142.857142857</v>
      </c>
      <c r="K19" s="12">
        <f t="shared" si="3"/>
        <v>1532142.857142857</v>
      </c>
      <c r="L19" s="12">
        <f t="shared" si="3"/>
        <v>1532142.857142857</v>
      </c>
      <c r="M19" s="12">
        <f t="shared" si="3"/>
        <v>1532142.857142857</v>
      </c>
      <c r="N19" s="12">
        <f t="shared" si="3"/>
        <v>1532142.857142857</v>
      </c>
      <c r="O19" s="12">
        <f t="shared" si="3"/>
        <v>1532142.857142857</v>
      </c>
      <c r="P19" s="12">
        <f t="shared" si="3"/>
        <v>1532142.857142857</v>
      </c>
      <c r="Q19" s="12">
        <f t="shared" si="3"/>
        <v>1532142.857142857</v>
      </c>
      <c r="R19" s="12">
        <f t="shared" si="3"/>
        <v>1532142.857142857</v>
      </c>
      <c r="S19" s="63">
        <f>SUM(S14:S18)</f>
        <v>0</v>
      </c>
    </row>
    <row r="20" spans="1:19" ht="11.25" customHeight="1" thickBot="1"/>
    <row r="21" spans="1:19" ht="38.25">
      <c r="A21" s="109" t="s">
        <v>51</v>
      </c>
      <c r="B21" s="116" t="s">
        <v>13</v>
      </c>
      <c r="C21" s="3" t="s">
        <v>8</v>
      </c>
      <c r="D21" s="3" t="s">
        <v>14</v>
      </c>
      <c r="E21" s="3" t="s">
        <v>15</v>
      </c>
      <c r="F21" s="3" t="s">
        <v>16</v>
      </c>
      <c r="G21" s="20" t="s">
        <v>17</v>
      </c>
      <c r="H21" s="119" t="s">
        <v>24</v>
      </c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</row>
    <row r="22" spans="1:19" ht="25.5">
      <c r="A22" s="109"/>
      <c r="B22" s="117"/>
      <c r="C22" s="86"/>
      <c r="D22" s="86"/>
      <c r="E22" s="86"/>
      <c r="F22" s="86"/>
      <c r="G22" s="87"/>
      <c r="H22" s="88">
        <v>2017</v>
      </c>
      <c r="I22" s="89">
        <v>2018</v>
      </c>
      <c r="J22" s="88">
        <v>2019</v>
      </c>
      <c r="K22" s="89">
        <v>2020</v>
      </c>
      <c r="L22" s="88">
        <v>2021</v>
      </c>
      <c r="M22" s="89">
        <v>2022</v>
      </c>
      <c r="N22" s="88">
        <v>2023</v>
      </c>
      <c r="O22" s="89">
        <v>2024</v>
      </c>
      <c r="P22" s="88">
        <v>2025</v>
      </c>
      <c r="Q22" s="89">
        <v>2026</v>
      </c>
      <c r="R22" s="88">
        <v>2027</v>
      </c>
      <c r="S22" s="62" t="s">
        <v>37</v>
      </c>
    </row>
    <row r="23" spans="1:19" ht="18.75" thickBot="1">
      <c r="A23" s="109"/>
      <c r="B23" s="118"/>
      <c r="C23" s="10" t="s">
        <v>19</v>
      </c>
      <c r="D23" s="10" t="s">
        <v>20</v>
      </c>
      <c r="E23" s="10" t="s">
        <v>21</v>
      </c>
      <c r="F23" s="10" t="s">
        <v>21</v>
      </c>
      <c r="G23" s="21" t="s">
        <v>22</v>
      </c>
      <c r="H23" s="27">
        <v>0</v>
      </c>
      <c r="I23" s="11">
        <v>1</v>
      </c>
      <c r="J23" s="11">
        <v>2</v>
      </c>
      <c r="K23" s="11">
        <v>3</v>
      </c>
      <c r="L23" s="11">
        <v>4</v>
      </c>
      <c r="M23" s="11">
        <v>5</v>
      </c>
      <c r="N23" s="11">
        <v>6</v>
      </c>
      <c r="O23" s="11">
        <v>7</v>
      </c>
      <c r="P23" s="11">
        <v>8</v>
      </c>
      <c r="Q23" s="11">
        <v>9</v>
      </c>
      <c r="R23" s="75">
        <v>10</v>
      </c>
      <c r="S23" s="62"/>
    </row>
    <row r="24" spans="1:19">
      <c r="A24" s="50">
        <v>2016</v>
      </c>
      <c r="B24" s="49" t="s">
        <v>52</v>
      </c>
      <c r="C24" s="51">
        <v>3</v>
      </c>
      <c r="D24" s="52">
        <v>50000000</v>
      </c>
      <c r="E24" s="51">
        <v>7</v>
      </c>
      <c r="F24" s="51">
        <v>15</v>
      </c>
      <c r="G24" s="53">
        <v>0.25</v>
      </c>
      <c r="H24" s="8"/>
      <c r="I24" s="9"/>
      <c r="J24" s="9"/>
      <c r="K24" s="9"/>
      <c r="L24" s="9"/>
      <c r="M24" s="9"/>
      <c r="N24" s="9"/>
      <c r="O24" s="7"/>
      <c r="P24" s="8"/>
      <c r="Q24" s="9"/>
      <c r="R24" s="76"/>
      <c r="S24" s="62"/>
    </row>
    <row r="25" spans="1:19">
      <c r="A25" s="50"/>
      <c r="B25" s="49"/>
      <c r="C25" s="51"/>
      <c r="D25" s="52"/>
      <c r="E25" s="51"/>
      <c r="F25" s="51"/>
      <c r="G25" s="53"/>
      <c r="H25" s="8"/>
      <c r="I25" s="2"/>
      <c r="J25" s="2"/>
      <c r="K25" s="2"/>
      <c r="L25" s="2"/>
      <c r="M25" s="2"/>
      <c r="N25" s="2"/>
      <c r="O25" s="16"/>
      <c r="P25" s="2"/>
      <c r="Q25" s="2"/>
      <c r="R25" s="77"/>
      <c r="S25" s="62"/>
    </row>
    <row r="26" spans="1:19">
      <c r="A26" s="50"/>
      <c r="B26" s="49"/>
      <c r="C26" s="51"/>
      <c r="D26" s="52"/>
      <c r="E26" s="51"/>
      <c r="F26" s="51"/>
      <c r="G26" s="53"/>
      <c r="H26" s="8"/>
      <c r="I26" s="2"/>
      <c r="J26" s="2"/>
      <c r="K26" s="2"/>
      <c r="L26" s="2"/>
      <c r="M26" s="2"/>
      <c r="N26" s="2"/>
      <c r="O26" s="19"/>
      <c r="P26" s="2"/>
      <c r="Q26" s="2"/>
      <c r="R26" s="77"/>
      <c r="S26" s="62"/>
    </row>
    <row r="27" spans="1:19">
      <c r="A27" s="50"/>
      <c r="B27" s="49"/>
      <c r="C27" s="51"/>
      <c r="D27" s="52"/>
      <c r="E27" s="51"/>
      <c r="F27" s="51"/>
      <c r="G27" s="53"/>
      <c r="H27" s="8"/>
      <c r="I27" s="2"/>
      <c r="J27" s="2"/>
      <c r="K27" s="2"/>
      <c r="L27" s="2"/>
      <c r="M27" s="2"/>
      <c r="N27" s="2"/>
      <c r="O27" s="2"/>
      <c r="P27" s="2"/>
      <c r="Q27" s="2"/>
      <c r="R27" s="77"/>
      <c r="S27" s="62"/>
    </row>
    <row r="28" spans="1:19" ht="35.25" customHeight="1" thickBot="1">
      <c r="B28" s="15" t="s">
        <v>29</v>
      </c>
      <c r="C28" s="4"/>
      <c r="D28" s="5"/>
      <c r="E28" s="6"/>
      <c r="F28" s="6"/>
      <c r="G28" s="22"/>
      <c r="H28" s="18">
        <f t="shared" ref="H28:R28" si="4">SUM(H24:H27)</f>
        <v>0</v>
      </c>
      <c r="I28" s="12">
        <f t="shared" si="4"/>
        <v>0</v>
      </c>
      <c r="J28" s="12">
        <f t="shared" si="4"/>
        <v>0</v>
      </c>
      <c r="K28" s="12">
        <f t="shared" si="4"/>
        <v>0</v>
      </c>
      <c r="L28" s="12">
        <f t="shared" si="4"/>
        <v>0</v>
      </c>
      <c r="M28" s="12">
        <f t="shared" si="4"/>
        <v>0</v>
      </c>
      <c r="N28" s="12">
        <f t="shared" si="4"/>
        <v>0</v>
      </c>
      <c r="O28" s="12">
        <f t="shared" si="4"/>
        <v>0</v>
      </c>
      <c r="P28" s="12">
        <f t="shared" si="4"/>
        <v>0</v>
      </c>
      <c r="Q28" s="12">
        <f t="shared" si="4"/>
        <v>0</v>
      </c>
      <c r="R28" s="12">
        <f t="shared" si="4"/>
        <v>0</v>
      </c>
      <c r="S28" s="63">
        <f>SUM(S23:S27)</f>
        <v>0</v>
      </c>
    </row>
    <row r="29" spans="1:19" ht="10.5" customHeight="1" thickBot="1"/>
    <row r="30" spans="1:19" ht="38.25">
      <c r="A30" s="109" t="s">
        <v>51</v>
      </c>
      <c r="B30" s="116" t="s">
        <v>13</v>
      </c>
      <c r="C30" s="3" t="s">
        <v>8</v>
      </c>
      <c r="D30" s="3" t="s">
        <v>14</v>
      </c>
      <c r="E30" s="3" t="s">
        <v>15</v>
      </c>
      <c r="F30" s="3" t="s">
        <v>16</v>
      </c>
      <c r="G30" s="20" t="s">
        <v>17</v>
      </c>
      <c r="H30" s="119" t="s">
        <v>85</v>
      </c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</row>
    <row r="31" spans="1:19" ht="25.5">
      <c r="A31" s="109"/>
      <c r="B31" s="117"/>
      <c r="C31" s="86"/>
      <c r="D31" s="86"/>
      <c r="E31" s="86"/>
      <c r="F31" s="86"/>
      <c r="G31" s="87"/>
      <c r="H31" s="88">
        <v>2017</v>
      </c>
      <c r="I31" s="89">
        <v>2018</v>
      </c>
      <c r="J31" s="88">
        <v>2019</v>
      </c>
      <c r="K31" s="89">
        <v>2020</v>
      </c>
      <c r="L31" s="88">
        <v>2021</v>
      </c>
      <c r="M31" s="89">
        <v>2022</v>
      </c>
      <c r="N31" s="88">
        <v>2023</v>
      </c>
      <c r="O31" s="89">
        <v>2024</v>
      </c>
      <c r="P31" s="88">
        <v>2025</v>
      </c>
      <c r="Q31" s="89">
        <v>2026</v>
      </c>
      <c r="R31" s="88">
        <v>2027</v>
      </c>
      <c r="S31" s="62" t="s">
        <v>37</v>
      </c>
    </row>
    <row r="32" spans="1:19" ht="18.75" thickBot="1">
      <c r="A32" s="109"/>
      <c r="B32" s="118"/>
      <c r="C32" s="10" t="s">
        <v>19</v>
      </c>
      <c r="D32" s="10" t="s">
        <v>20</v>
      </c>
      <c r="E32" s="10" t="s">
        <v>21</v>
      </c>
      <c r="F32" s="10" t="s">
        <v>21</v>
      </c>
      <c r="G32" s="21" t="s">
        <v>22</v>
      </c>
      <c r="H32" s="27">
        <v>0</v>
      </c>
      <c r="I32" s="11">
        <v>1</v>
      </c>
      <c r="J32" s="11">
        <v>2</v>
      </c>
      <c r="K32" s="11">
        <v>3</v>
      </c>
      <c r="L32" s="11">
        <v>4</v>
      </c>
      <c r="M32" s="11">
        <v>5</v>
      </c>
      <c r="N32" s="11">
        <v>6</v>
      </c>
      <c r="O32" s="11">
        <v>7</v>
      </c>
      <c r="P32" s="11">
        <v>8</v>
      </c>
      <c r="Q32" s="11">
        <v>9</v>
      </c>
      <c r="R32" s="75">
        <v>10</v>
      </c>
      <c r="S32" s="62"/>
    </row>
    <row r="33" spans="1:20">
      <c r="A33" s="50">
        <v>2016</v>
      </c>
      <c r="B33" s="49" t="s">
        <v>52</v>
      </c>
      <c r="C33" s="51">
        <v>3</v>
      </c>
      <c r="D33" s="52">
        <v>50000000</v>
      </c>
      <c r="E33" s="51">
        <v>7</v>
      </c>
      <c r="F33" s="51">
        <v>15</v>
      </c>
      <c r="G33" s="53">
        <v>0.25</v>
      </c>
      <c r="H33" s="8"/>
      <c r="I33" s="9"/>
      <c r="J33" s="9"/>
      <c r="K33" s="9"/>
      <c r="L33" s="9"/>
      <c r="M33" s="9"/>
      <c r="N33" s="9"/>
      <c r="O33" s="7"/>
      <c r="P33" s="8"/>
      <c r="Q33" s="9"/>
      <c r="R33" s="76">
        <f>R15*4</f>
        <v>6128571.4285714282</v>
      </c>
      <c r="S33" s="62"/>
    </row>
    <row r="34" spans="1:20">
      <c r="A34" s="50"/>
      <c r="B34" s="49"/>
      <c r="C34" s="51"/>
      <c r="D34" s="52"/>
      <c r="E34" s="51"/>
      <c r="F34" s="51"/>
      <c r="G34" s="53"/>
      <c r="H34" s="8"/>
      <c r="I34" s="2"/>
      <c r="J34" s="2"/>
      <c r="K34" s="2"/>
      <c r="L34" s="2"/>
      <c r="M34" s="2"/>
      <c r="N34" s="2"/>
      <c r="O34" s="16"/>
      <c r="P34" s="2"/>
      <c r="Q34" s="2"/>
      <c r="R34" s="77"/>
      <c r="S34" s="62"/>
    </row>
    <row r="35" spans="1:20">
      <c r="A35" s="50"/>
      <c r="B35" s="49"/>
      <c r="C35" s="51"/>
      <c r="D35" s="52"/>
      <c r="E35" s="51"/>
      <c r="F35" s="51"/>
      <c r="G35" s="53"/>
      <c r="H35" s="8"/>
      <c r="I35" s="2"/>
      <c r="J35" s="2"/>
      <c r="K35" s="2"/>
      <c r="L35" s="2"/>
      <c r="M35" s="2"/>
      <c r="N35" s="2"/>
      <c r="O35" s="19"/>
      <c r="P35" s="2"/>
      <c r="Q35" s="2"/>
      <c r="R35" s="77"/>
      <c r="S35" s="62"/>
    </row>
    <row r="36" spans="1:20">
      <c r="A36" s="50"/>
      <c r="B36" s="49"/>
      <c r="C36" s="51"/>
      <c r="D36" s="52"/>
      <c r="E36" s="51"/>
      <c r="F36" s="51"/>
      <c r="G36" s="53"/>
      <c r="H36" s="8"/>
      <c r="I36" s="2"/>
      <c r="J36" s="2"/>
      <c r="K36" s="2"/>
      <c r="L36" s="2"/>
      <c r="M36" s="2"/>
      <c r="N36" s="2"/>
      <c r="O36" s="2"/>
      <c r="P36" s="2"/>
      <c r="Q36" s="2"/>
      <c r="R36" s="77"/>
      <c r="S36" s="62"/>
    </row>
    <row r="37" spans="1:20" ht="24" thickBot="1">
      <c r="B37" s="15" t="s">
        <v>29</v>
      </c>
      <c r="C37" s="4"/>
      <c r="D37" s="5"/>
      <c r="E37" s="6"/>
      <c r="F37" s="6"/>
      <c r="G37" s="22"/>
      <c r="H37" s="18">
        <f t="shared" ref="H37:R37" si="5">SUM(H33:H36)</f>
        <v>0</v>
      </c>
      <c r="I37" s="12">
        <f t="shared" si="5"/>
        <v>0</v>
      </c>
      <c r="J37" s="12">
        <f t="shared" si="5"/>
        <v>0</v>
      </c>
      <c r="K37" s="12">
        <f t="shared" si="5"/>
        <v>0</v>
      </c>
      <c r="L37" s="12">
        <f t="shared" si="5"/>
        <v>0</v>
      </c>
      <c r="M37" s="12">
        <f t="shared" si="5"/>
        <v>0</v>
      </c>
      <c r="N37" s="12">
        <f t="shared" si="5"/>
        <v>0</v>
      </c>
      <c r="O37" s="12">
        <f t="shared" si="5"/>
        <v>0</v>
      </c>
      <c r="P37" s="12">
        <f t="shared" si="5"/>
        <v>0</v>
      </c>
      <c r="Q37" s="12">
        <f t="shared" si="5"/>
        <v>0</v>
      </c>
      <c r="R37" s="12">
        <f t="shared" si="5"/>
        <v>6128571.4285714282</v>
      </c>
      <c r="S37" s="63">
        <f>SUM(S32:S36)</f>
        <v>0</v>
      </c>
    </row>
    <row r="42" spans="1:20" ht="31.5">
      <c r="T42" s="64">
        <f>SUM(S37,S28,S19,T10)</f>
        <v>0</v>
      </c>
    </row>
  </sheetData>
  <mergeCells count="12">
    <mergeCell ref="A30:A32"/>
    <mergeCell ref="B30:B32"/>
    <mergeCell ref="H2:S2"/>
    <mergeCell ref="H30:S30"/>
    <mergeCell ref="H21:S21"/>
    <mergeCell ref="H12:S12"/>
    <mergeCell ref="A2:A4"/>
    <mergeCell ref="A12:A14"/>
    <mergeCell ref="B12:B14"/>
    <mergeCell ref="A21:A23"/>
    <mergeCell ref="B21:B23"/>
    <mergeCell ref="B2:B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5"/>
  <dimension ref="A1:Q38"/>
  <sheetViews>
    <sheetView showGridLines="0" zoomScale="70" zoomScaleNormal="70" workbookViewId="0">
      <selection activeCell="C15" sqref="C15"/>
    </sheetView>
  </sheetViews>
  <sheetFormatPr baseColWidth="10" defaultRowHeight="15"/>
  <cols>
    <col min="2" max="2" width="39.85546875" customWidth="1"/>
    <col min="3" max="3" width="22.5703125" bestFit="1" customWidth="1"/>
    <col min="4" max="4" width="21.7109375" bestFit="1" customWidth="1"/>
    <col min="5" max="5" width="22.140625" bestFit="1" customWidth="1"/>
    <col min="6" max="6" width="21" bestFit="1" customWidth="1"/>
    <col min="7" max="7" width="20.28515625" bestFit="1" customWidth="1"/>
    <col min="8" max="8" width="19.7109375" bestFit="1" customWidth="1"/>
    <col min="9" max="9" width="18.28515625" bestFit="1" customWidth="1"/>
    <col min="10" max="12" width="18.7109375" bestFit="1" customWidth="1"/>
    <col min="13" max="13" width="20.28515625" bestFit="1" customWidth="1"/>
  </cols>
  <sheetData>
    <row r="1" spans="1:14" ht="15.75" thickBot="1"/>
    <row r="2" spans="1:14" ht="16.5" thickBot="1">
      <c r="A2" s="16"/>
      <c r="B2" s="39"/>
      <c r="C2" s="54">
        <v>0</v>
      </c>
      <c r="D2" s="55">
        <v>1</v>
      </c>
      <c r="E2" s="55">
        <v>2</v>
      </c>
      <c r="F2" s="55">
        <v>3</v>
      </c>
      <c r="G2" s="55">
        <v>4</v>
      </c>
      <c r="H2" s="55">
        <v>5</v>
      </c>
      <c r="I2" s="55">
        <v>6</v>
      </c>
      <c r="J2" s="55">
        <v>7</v>
      </c>
      <c r="K2" s="55">
        <v>8</v>
      </c>
      <c r="L2" s="55">
        <v>9</v>
      </c>
      <c r="M2" s="56">
        <v>10</v>
      </c>
      <c r="N2" s="66" t="s">
        <v>33</v>
      </c>
    </row>
    <row r="3" spans="1:14" ht="15.75">
      <c r="A3" t="s">
        <v>65</v>
      </c>
      <c r="B3" s="29" t="s">
        <v>66</v>
      </c>
      <c r="C3" s="28"/>
      <c r="D3" s="28">
        <f>Actividad!D52</f>
        <v>57200000</v>
      </c>
      <c r="E3" s="28">
        <f>Actividad!E52</f>
        <v>178750000</v>
      </c>
      <c r="F3" s="28">
        <f>Actividad!F52</f>
        <v>205562500</v>
      </c>
      <c r="G3" s="28">
        <f>Actividad!G52</f>
        <v>236396875</v>
      </c>
      <c r="H3" s="28">
        <f>Actividad!H52</f>
        <v>271856406.25</v>
      </c>
      <c r="I3" s="28">
        <f>Actividad!I52</f>
        <v>250107893.75</v>
      </c>
      <c r="J3" s="28">
        <f>Actividad!J52</f>
        <v>287624077.8125</v>
      </c>
      <c r="K3" s="28">
        <f>Actividad!K52</f>
        <v>330767689.484375</v>
      </c>
      <c r="L3" s="28">
        <f>Actividad!L52</f>
        <v>380382842.9070313</v>
      </c>
      <c r="M3" s="28">
        <f>Actividad!M52</f>
        <v>437440269.343086</v>
      </c>
      <c r="N3" s="66"/>
    </row>
    <row r="4" spans="1:14" ht="15.75">
      <c r="A4" t="s">
        <v>65</v>
      </c>
      <c r="B4" s="30" t="s">
        <v>67</v>
      </c>
      <c r="C4" s="13" t="e">
        <f>#REF!</f>
        <v>#REF!</v>
      </c>
      <c r="D4" s="13" t="e">
        <f>#REF!</f>
        <v>#REF!</v>
      </c>
      <c r="E4" s="13" t="e">
        <f>#REF!</f>
        <v>#REF!</v>
      </c>
      <c r="F4" s="13" t="e">
        <f>#REF!</f>
        <v>#REF!</v>
      </c>
      <c r="G4" s="13" t="e">
        <f>#REF!</f>
        <v>#REF!</v>
      </c>
      <c r="H4" s="13" t="e">
        <f>#REF!</f>
        <v>#REF!</v>
      </c>
      <c r="I4" s="13" t="e">
        <f>#REF!</f>
        <v>#REF!</v>
      </c>
      <c r="J4" s="13" t="e">
        <f>#REF!</f>
        <v>#REF!</v>
      </c>
      <c r="K4" s="13" t="e">
        <f>#REF!</f>
        <v>#REF!</v>
      </c>
      <c r="L4" s="13" t="e">
        <f>#REF!</f>
        <v>#REF!</v>
      </c>
      <c r="M4" s="13" t="e">
        <f>#REF!</f>
        <v>#REF!</v>
      </c>
      <c r="N4" s="66"/>
    </row>
    <row r="5" spans="1:14" ht="15.75">
      <c r="B5" s="30" t="s">
        <v>68</v>
      </c>
      <c r="C5" s="13"/>
      <c r="D5" s="13">
        <f>-Actividad!D53</f>
        <v>-300000</v>
      </c>
      <c r="E5" s="13">
        <f>-Actividad!E53</f>
        <v>-750000</v>
      </c>
      <c r="F5" s="13">
        <f>-Actividad!F53</f>
        <v>-862500</v>
      </c>
      <c r="G5" s="13">
        <f>-Actividad!G53</f>
        <v>-991875</v>
      </c>
      <c r="H5" s="13">
        <f>-Actividad!H53</f>
        <v>-1140656.25</v>
      </c>
      <c r="I5" s="13">
        <f>-Actividad!I53</f>
        <v>-1311754.6875</v>
      </c>
      <c r="J5" s="13">
        <f>-Actividad!J53</f>
        <v>-1508517.890625</v>
      </c>
      <c r="K5" s="13">
        <f>-Actividad!K53</f>
        <v>-1734795.5742187502</v>
      </c>
      <c r="L5" s="13">
        <f>-Actividad!L53</f>
        <v>-1995014.9103515625</v>
      </c>
      <c r="M5" s="13">
        <f>-Actividad!M53</f>
        <v>-2294267.1469042972</v>
      </c>
      <c r="N5" s="66"/>
    </row>
    <row r="6" spans="1:14" ht="15.75">
      <c r="B6" s="30" t="s">
        <v>69</v>
      </c>
      <c r="C6" s="13"/>
      <c r="D6" s="13">
        <f>-Actividad!D54</f>
        <v>-10200000</v>
      </c>
      <c r="E6" s="13">
        <f>-Actividad!E54</f>
        <v>-7200000</v>
      </c>
      <c r="F6" s="13">
        <f>-Actividad!F54</f>
        <v>-7200000</v>
      </c>
      <c r="G6" s="13">
        <f>-Actividad!G54</f>
        <v>-7200000</v>
      </c>
      <c r="H6" s="13">
        <f>-Actividad!H54</f>
        <v>-7200000</v>
      </c>
      <c r="I6" s="13">
        <f>-Actividad!I54</f>
        <v>-7200000</v>
      </c>
      <c r="J6" s="13">
        <f>-Actividad!J54</f>
        <v>-7200000</v>
      </c>
      <c r="K6" s="13">
        <f>-Actividad!K54</f>
        <v>-7200000</v>
      </c>
      <c r="L6" s="13">
        <f>-Actividad!L54</f>
        <v>-7200000</v>
      </c>
      <c r="M6" s="13">
        <f>-Actividad!M54</f>
        <v>-7200000</v>
      </c>
      <c r="N6" s="66"/>
    </row>
    <row r="7" spans="1:14" ht="15.75">
      <c r="B7" s="30" t="s">
        <v>70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66"/>
    </row>
    <row r="8" spans="1:14" ht="15.75">
      <c r="B8" s="30" t="s">
        <v>56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66"/>
    </row>
    <row r="9" spans="1:14" ht="15.75">
      <c r="B9" s="31" t="s">
        <v>86</v>
      </c>
      <c r="C9" s="28">
        <f>-Calendarios!H19</f>
        <v>-1532142.857142857</v>
      </c>
      <c r="D9" s="28">
        <f>-Calendarios!I19</f>
        <v>-1532142.857142857</v>
      </c>
      <c r="E9" s="28">
        <f>-Calendarios!J19</f>
        <v>-1532142.857142857</v>
      </c>
      <c r="F9" s="28">
        <f>-Calendarios!K19</f>
        <v>-1532142.857142857</v>
      </c>
      <c r="G9" s="28">
        <f>-Calendarios!L19</f>
        <v>-1532142.857142857</v>
      </c>
      <c r="H9" s="28">
        <f>-Calendarios!M19</f>
        <v>-1532142.857142857</v>
      </c>
      <c r="I9" s="28">
        <f>-Calendarios!N19</f>
        <v>-1532142.857142857</v>
      </c>
      <c r="J9" s="28">
        <f>-Calendarios!O19</f>
        <v>-1532142.857142857</v>
      </c>
      <c r="K9" s="28">
        <f>-Calendarios!P19</f>
        <v>-1532142.857142857</v>
      </c>
      <c r="L9" s="28">
        <f>-Calendarios!Q19</f>
        <v>-1532142.857142857</v>
      </c>
      <c r="M9" s="28">
        <f>-Calendarios!R19</f>
        <v>-1532142.857142857</v>
      </c>
      <c r="N9" s="66"/>
    </row>
    <row r="10" spans="1:14" ht="15.75">
      <c r="B10" s="31" t="s">
        <v>87</v>
      </c>
      <c r="C10" s="28"/>
      <c r="D10" s="28" t="e">
        <f>-#REF!</f>
        <v>#REF!</v>
      </c>
      <c r="E10" s="28" t="e">
        <f>-#REF!</f>
        <v>#REF!</v>
      </c>
      <c r="F10" s="28" t="e">
        <f>-#REF!</f>
        <v>#REF!</v>
      </c>
      <c r="G10" s="28" t="e">
        <f>-#REF!</f>
        <v>#REF!</v>
      </c>
      <c r="H10" s="28" t="e">
        <f>-#REF!</f>
        <v>#REF!</v>
      </c>
      <c r="I10" s="28" t="e">
        <f>-#REF!</f>
        <v>#REF!</v>
      </c>
      <c r="J10" s="28" t="e">
        <f>-#REF!</f>
        <v>#REF!</v>
      </c>
      <c r="K10" s="28" t="e">
        <f>-#REF!</f>
        <v>#REF!</v>
      </c>
      <c r="L10" s="28" t="e">
        <f>-#REF!</f>
        <v>#REF!</v>
      </c>
      <c r="M10" s="28" t="e">
        <f>-#REF!</f>
        <v>#REF!</v>
      </c>
      <c r="N10" s="66"/>
    </row>
    <row r="11" spans="1:14" ht="15.75">
      <c r="B11" s="31" t="s">
        <v>88</v>
      </c>
      <c r="C11" s="28"/>
      <c r="D11" s="28" t="e">
        <f>#REF!</f>
        <v>#REF!</v>
      </c>
      <c r="E11" s="28" t="e">
        <f>#REF!</f>
        <v>#REF!</v>
      </c>
      <c r="F11" s="28" t="e">
        <f>#REF!</f>
        <v>#REF!</v>
      </c>
      <c r="G11" s="28" t="e">
        <f>#REF!</f>
        <v>#REF!</v>
      </c>
      <c r="H11" s="28" t="e">
        <f>#REF!</f>
        <v>#REF!</v>
      </c>
      <c r="I11" s="28" t="e">
        <f>#REF!</f>
        <v>#REF!</v>
      </c>
      <c r="J11" s="28" t="e">
        <f>#REF!</f>
        <v>#REF!</v>
      </c>
      <c r="K11" s="28" t="e">
        <f>#REF!</f>
        <v>#REF!</v>
      </c>
      <c r="L11" s="28" t="e">
        <f>#REF!</f>
        <v>#REF!</v>
      </c>
      <c r="M11" s="28" t="e">
        <f>-#REF!</f>
        <v>#REF!</v>
      </c>
      <c r="N11" s="66"/>
    </row>
    <row r="12" spans="1:14" ht="15.75">
      <c r="B12" s="31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66"/>
    </row>
    <row r="13" spans="1:14" ht="16.5" thickBot="1">
      <c r="B13" s="40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66"/>
    </row>
    <row r="14" spans="1:14" ht="24" customHeight="1">
      <c r="A14" t="s">
        <v>32</v>
      </c>
      <c r="B14" s="90" t="s">
        <v>25</v>
      </c>
      <c r="C14" s="93" t="e">
        <f>SUM(C3:C13)</f>
        <v>#REF!</v>
      </c>
      <c r="D14" s="93" t="e">
        <f t="shared" ref="D14:M14" si="0">SUM(D3:D13)</f>
        <v>#REF!</v>
      </c>
      <c r="E14" s="93" t="e">
        <f t="shared" si="0"/>
        <v>#REF!</v>
      </c>
      <c r="F14" s="93" t="e">
        <f t="shared" si="0"/>
        <v>#REF!</v>
      </c>
      <c r="G14" s="93" t="e">
        <f t="shared" si="0"/>
        <v>#REF!</v>
      </c>
      <c r="H14" s="93" t="e">
        <f t="shared" si="0"/>
        <v>#REF!</v>
      </c>
      <c r="I14" s="93" t="e">
        <f t="shared" si="0"/>
        <v>#REF!</v>
      </c>
      <c r="J14" s="93" t="e">
        <f>SUM(J3:J13)</f>
        <v>#REF!</v>
      </c>
      <c r="K14" s="93" t="e">
        <f t="shared" si="0"/>
        <v>#REF!</v>
      </c>
      <c r="L14" s="93" t="e">
        <f t="shared" si="0"/>
        <v>#REF!</v>
      </c>
      <c r="M14" s="93" t="e">
        <f t="shared" si="0"/>
        <v>#REF!</v>
      </c>
      <c r="N14" s="66"/>
    </row>
    <row r="15" spans="1:14" ht="23.25" customHeight="1" thickBot="1">
      <c r="A15" s="85">
        <v>0.22500000000000001</v>
      </c>
      <c r="B15" s="32" t="s">
        <v>28</v>
      </c>
      <c r="C15" s="14" t="e">
        <f>-C14*$A$15</f>
        <v>#REF!</v>
      </c>
      <c r="D15" s="14" t="e">
        <f>-D14*$A$15</f>
        <v>#REF!</v>
      </c>
      <c r="E15" s="14" t="e">
        <f t="shared" ref="E15:M15" si="1">-E14*$A$15</f>
        <v>#REF!</v>
      </c>
      <c r="F15" s="14" t="e">
        <f t="shared" si="1"/>
        <v>#REF!</v>
      </c>
      <c r="G15" s="14" t="e">
        <f t="shared" si="1"/>
        <v>#REF!</v>
      </c>
      <c r="H15" s="14" t="e">
        <f t="shared" si="1"/>
        <v>#REF!</v>
      </c>
      <c r="I15" s="14" t="e">
        <f t="shared" si="1"/>
        <v>#REF!</v>
      </c>
      <c r="J15" s="14" t="e">
        <f t="shared" si="1"/>
        <v>#REF!</v>
      </c>
      <c r="K15" s="14" t="e">
        <f t="shared" si="1"/>
        <v>#REF!</v>
      </c>
      <c r="L15" s="14" t="e">
        <f t="shared" si="1"/>
        <v>#REF!</v>
      </c>
      <c r="M15" s="14" t="e">
        <f t="shared" si="1"/>
        <v>#REF!</v>
      </c>
      <c r="N15" s="66"/>
    </row>
    <row r="16" spans="1:14" ht="24.75" customHeight="1" thickBot="1">
      <c r="B16" s="91" t="s">
        <v>26</v>
      </c>
      <c r="C16" s="92" t="e">
        <f>SUM(C14:C15)</f>
        <v>#REF!</v>
      </c>
      <c r="D16" s="92" t="e">
        <f t="shared" ref="D16:M16" si="2">SUM(D14:D15)</f>
        <v>#REF!</v>
      </c>
      <c r="E16" s="92" t="e">
        <f t="shared" si="2"/>
        <v>#REF!</v>
      </c>
      <c r="F16" s="92" t="e">
        <f t="shared" si="2"/>
        <v>#REF!</v>
      </c>
      <c r="G16" s="92" t="e">
        <f t="shared" si="2"/>
        <v>#REF!</v>
      </c>
      <c r="H16" s="92" t="e">
        <f t="shared" si="2"/>
        <v>#REF!</v>
      </c>
      <c r="I16" s="92" t="e">
        <f t="shared" si="2"/>
        <v>#REF!</v>
      </c>
      <c r="J16" s="92" t="e">
        <f t="shared" si="2"/>
        <v>#REF!</v>
      </c>
      <c r="K16" s="92" t="e">
        <f t="shared" si="2"/>
        <v>#REF!</v>
      </c>
      <c r="L16" s="92" t="e">
        <f t="shared" si="2"/>
        <v>#REF!</v>
      </c>
      <c r="M16" s="92" t="e">
        <f t="shared" si="2"/>
        <v>#REF!</v>
      </c>
      <c r="N16" s="66"/>
    </row>
    <row r="17" spans="1:17" ht="16.5" customHeight="1">
      <c r="B17" s="31" t="s">
        <v>89</v>
      </c>
      <c r="C17" s="28">
        <f>-C9</f>
        <v>1532142.857142857</v>
      </c>
      <c r="D17" s="28">
        <f t="shared" ref="D17:M17" si="3">-D9</f>
        <v>1532142.857142857</v>
      </c>
      <c r="E17" s="28">
        <f t="shared" si="3"/>
        <v>1532142.857142857</v>
      </c>
      <c r="F17" s="28">
        <f t="shared" si="3"/>
        <v>1532142.857142857</v>
      </c>
      <c r="G17" s="28">
        <f t="shared" si="3"/>
        <v>1532142.857142857</v>
      </c>
      <c r="H17" s="28">
        <f t="shared" si="3"/>
        <v>1532142.857142857</v>
      </c>
      <c r="I17" s="28">
        <f t="shared" si="3"/>
        <v>1532142.857142857</v>
      </c>
      <c r="J17" s="28">
        <f t="shared" si="3"/>
        <v>1532142.857142857</v>
      </c>
      <c r="K17" s="28">
        <f t="shared" si="3"/>
        <v>1532142.857142857</v>
      </c>
      <c r="L17" s="28">
        <f t="shared" si="3"/>
        <v>1532142.857142857</v>
      </c>
      <c r="M17" s="28">
        <f t="shared" si="3"/>
        <v>1532142.857142857</v>
      </c>
      <c r="N17" s="66"/>
    </row>
    <row r="18" spans="1:17" ht="16.5" customHeight="1">
      <c r="B18" s="31" t="s">
        <v>87</v>
      </c>
      <c r="C18" s="28">
        <f>-C10</f>
        <v>0</v>
      </c>
      <c r="D18" s="28" t="e">
        <f t="shared" ref="D18:M18" si="4">-D10</f>
        <v>#REF!</v>
      </c>
      <c r="E18" s="28" t="e">
        <f t="shared" si="4"/>
        <v>#REF!</v>
      </c>
      <c r="F18" s="28" t="e">
        <f t="shared" si="4"/>
        <v>#REF!</v>
      </c>
      <c r="G18" s="28" t="e">
        <f t="shared" si="4"/>
        <v>#REF!</v>
      </c>
      <c r="H18" s="28" t="e">
        <f t="shared" si="4"/>
        <v>#REF!</v>
      </c>
      <c r="I18" s="28" t="e">
        <f t="shared" si="4"/>
        <v>#REF!</v>
      </c>
      <c r="J18" s="28" t="e">
        <f t="shared" si="4"/>
        <v>#REF!</v>
      </c>
      <c r="K18" s="28" t="e">
        <f t="shared" si="4"/>
        <v>#REF!</v>
      </c>
      <c r="L18" s="28" t="e">
        <f t="shared" si="4"/>
        <v>#REF!</v>
      </c>
      <c r="M18" s="28" t="e">
        <f t="shared" si="4"/>
        <v>#REF!</v>
      </c>
      <c r="N18" s="66"/>
    </row>
    <row r="19" spans="1:17" ht="16.5" customHeight="1">
      <c r="B19" s="31" t="s">
        <v>71</v>
      </c>
      <c r="C19" s="28">
        <f>-C11</f>
        <v>0</v>
      </c>
      <c r="D19" s="28" t="e">
        <f t="shared" ref="D19:M19" si="5">-D11</f>
        <v>#REF!</v>
      </c>
      <c r="E19" s="28" t="e">
        <f t="shared" si="5"/>
        <v>#REF!</v>
      </c>
      <c r="F19" s="28" t="e">
        <f t="shared" si="5"/>
        <v>#REF!</v>
      </c>
      <c r="G19" s="28" t="e">
        <f t="shared" si="5"/>
        <v>#REF!</v>
      </c>
      <c r="H19" s="28" t="e">
        <f t="shared" si="5"/>
        <v>#REF!</v>
      </c>
      <c r="I19" s="28" t="e">
        <f t="shared" si="5"/>
        <v>#REF!</v>
      </c>
      <c r="J19" s="28" t="e">
        <f t="shared" si="5"/>
        <v>#REF!</v>
      </c>
      <c r="K19" s="28" t="e">
        <f t="shared" si="5"/>
        <v>#REF!</v>
      </c>
      <c r="L19" s="28" t="e">
        <f t="shared" si="5"/>
        <v>#REF!</v>
      </c>
      <c r="M19" s="28" t="e">
        <f t="shared" si="5"/>
        <v>#REF!</v>
      </c>
      <c r="N19" s="66"/>
    </row>
    <row r="20" spans="1:17" ht="16.5" customHeight="1">
      <c r="B20" s="31" t="s">
        <v>72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66"/>
    </row>
    <row r="21" spans="1:17" ht="16.5" customHeight="1">
      <c r="B21" s="30" t="s">
        <v>73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66"/>
    </row>
    <row r="22" spans="1:17" ht="15.75">
      <c r="B22" s="30" t="s">
        <v>92</v>
      </c>
      <c r="C22" s="13" t="e">
        <f>-#REF!</f>
        <v>#REF!</v>
      </c>
      <c r="D22" s="13" t="e">
        <f>-#REF!</f>
        <v>#REF!</v>
      </c>
      <c r="E22" s="13" t="e">
        <f>-#REF!</f>
        <v>#REF!</v>
      </c>
      <c r="F22" s="13" t="e">
        <f>-#REF!</f>
        <v>#REF!</v>
      </c>
      <c r="G22" s="13" t="e">
        <f>-#REF!</f>
        <v>#REF!</v>
      </c>
      <c r="H22" s="13" t="e">
        <f>-#REF!</f>
        <v>#REF!</v>
      </c>
      <c r="I22" s="13" t="e">
        <f>-#REF!</f>
        <v>#REF!</v>
      </c>
      <c r="J22" s="13" t="e">
        <f>-#REF!</f>
        <v>#REF!</v>
      </c>
      <c r="K22" s="13" t="e">
        <f>-#REF!</f>
        <v>#REF!</v>
      </c>
      <c r="L22" s="13" t="e">
        <f>-#REF!</f>
        <v>#REF!</v>
      </c>
      <c r="M22" s="13" t="e">
        <f>-#REF!</f>
        <v>#REF!</v>
      </c>
      <c r="N22" s="66"/>
    </row>
    <row r="23" spans="1:17" ht="15.75">
      <c r="B23" s="30" t="s">
        <v>74</v>
      </c>
      <c r="C23" s="13">
        <f>-Actividad!E57</f>
        <v>-6681818.1818181816</v>
      </c>
      <c r="D23" s="13"/>
      <c r="E23" s="13"/>
      <c r="F23" s="13"/>
      <c r="G23" s="13"/>
      <c r="H23" s="13"/>
      <c r="I23" s="13"/>
      <c r="J23" s="13"/>
      <c r="K23" s="13"/>
      <c r="L23" s="13"/>
      <c r="M23" s="13">
        <f>-C23</f>
        <v>6681818.1818181816</v>
      </c>
      <c r="N23" s="66"/>
      <c r="Q23" t="s">
        <v>75</v>
      </c>
    </row>
    <row r="24" spans="1:17" ht="15.75" customHeight="1">
      <c r="B24" s="30" t="s">
        <v>76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 t="e">
        <f>(L27-(L18+L17))/C33</f>
        <v>#REF!</v>
      </c>
      <c r="N24" s="66"/>
      <c r="Q24" t="s">
        <v>77</v>
      </c>
    </row>
    <row r="25" spans="1:17" ht="15.75" customHeight="1">
      <c r="B25" s="32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66"/>
    </row>
    <row r="26" spans="1:17" ht="18" customHeight="1" thickBot="1">
      <c r="B26" s="32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66"/>
      <c r="O26" s="68" t="s">
        <v>42</v>
      </c>
    </row>
    <row r="27" spans="1:17" ht="19.5" customHeight="1" thickBot="1">
      <c r="B27" s="57" t="s">
        <v>27</v>
      </c>
      <c r="C27" s="97" t="e">
        <f>SUM(C16:C26)</f>
        <v>#REF!</v>
      </c>
      <c r="D27" s="97" t="e">
        <f t="shared" ref="D27:M27" si="6">SUM(D16:D26)</f>
        <v>#REF!</v>
      </c>
      <c r="E27" s="97" t="e">
        <f t="shared" si="6"/>
        <v>#REF!</v>
      </c>
      <c r="F27" s="97" t="e">
        <f t="shared" si="6"/>
        <v>#REF!</v>
      </c>
      <c r="G27" s="97" t="e">
        <f t="shared" si="6"/>
        <v>#REF!</v>
      </c>
      <c r="H27" s="97" t="e">
        <f t="shared" si="6"/>
        <v>#REF!</v>
      </c>
      <c r="I27" s="97" t="e">
        <f t="shared" si="6"/>
        <v>#REF!</v>
      </c>
      <c r="J27" s="97" t="e">
        <f t="shared" si="6"/>
        <v>#REF!</v>
      </c>
      <c r="K27" s="97" t="e">
        <f t="shared" si="6"/>
        <v>#REF!</v>
      </c>
      <c r="L27" s="97" t="e">
        <f t="shared" si="6"/>
        <v>#REF!</v>
      </c>
      <c r="M27" s="97" t="e">
        <f t="shared" si="6"/>
        <v>#REF!</v>
      </c>
      <c r="N27" s="66"/>
      <c r="O27" s="71">
        <f>SUM(N3:N27)+D36</f>
        <v>0</v>
      </c>
    </row>
    <row r="28" spans="1:17" ht="30.75" customHeight="1" thickBot="1">
      <c r="B28" s="100" t="s">
        <v>34</v>
      </c>
      <c r="C28" s="101" t="e">
        <f>C27*((1+$C$33)^-C2)</f>
        <v>#REF!</v>
      </c>
      <c r="D28" s="98" t="e">
        <f>D27*((1+$C$33)^-D2)</f>
        <v>#REF!</v>
      </c>
      <c r="E28" s="98" t="e">
        <f t="shared" ref="E28:M28" si="7">E27*((1+$C$33)^-E2)</f>
        <v>#REF!</v>
      </c>
      <c r="F28" s="98" t="e">
        <f t="shared" si="7"/>
        <v>#REF!</v>
      </c>
      <c r="G28" s="98" t="e">
        <f t="shared" si="7"/>
        <v>#REF!</v>
      </c>
      <c r="H28" s="98" t="e">
        <f t="shared" si="7"/>
        <v>#REF!</v>
      </c>
      <c r="I28" s="98" t="e">
        <f t="shared" si="7"/>
        <v>#REF!</v>
      </c>
      <c r="J28" s="98" t="e">
        <f t="shared" si="7"/>
        <v>#REF!</v>
      </c>
      <c r="K28" s="98" t="e">
        <f t="shared" si="7"/>
        <v>#REF!</v>
      </c>
      <c r="L28" s="98" t="e">
        <f t="shared" si="7"/>
        <v>#REF!</v>
      </c>
      <c r="M28" s="98" t="e">
        <f t="shared" si="7"/>
        <v>#REF!</v>
      </c>
      <c r="O28" s="69"/>
    </row>
    <row r="29" spans="1:17" ht="26.25" customHeight="1" thickBot="1">
      <c r="B29" s="100" t="s">
        <v>35</v>
      </c>
      <c r="C29" s="101" t="e">
        <f>C28</f>
        <v>#REF!</v>
      </c>
      <c r="D29" s="102" t="e">
        <f>C29+D28</f>
        <v>#REF!</v>
      </c>
      <c r="E29" s="102" t="e">
        <f>D29+E28</f>
        <v>#REF!</v>
      </c>
      <c r="F29" s="102" t="e">
        <f t="shared" ref="F29:L29" si="8">E29+F28</f>
        <v>#REF!</v>
      </c>
      <c r="G29" s="102" t="e">
        <f t="shared" si="8"/>
        <v>#REF!</v>
      </c>
      <c r="H29" s="102" t="e">
        <f t="shared" si="8"/>
        <v>#REF!</v>
      </c>
      <c r="I29" s="98" t="e">
        <f>H29+I28</f>
        <v>#REF!</v>
      </c>
      <c r="J29" s="98" t="e">
        <f>I29+J28</f>
        <v>#REF!</v>
      </c>
      <c r="K29" s="98" t="e">
        <f>J29+K28</f>
        <v>#REF!</v>
      </c>
      <c r="L29" s="98" t="e">
        <f t="shared" si="8"/>
        <v>#REF!</v>
      </c>
      <c r="M29" s="98" t="e">
        <f>L29+M28</f>
        <v>#REF!</v>
      </c>
    </row>
    <row r="31" spans="1:17">
      <c r="A31" t="s">
        <v>78</v>
      </c>
      <c r="B31" t="s">
        <v>79</v>
      </c>
    </row>
    <row r="33" spans="2:5" ht="15.75" thickBot="1">
      <c r="B33" t="s">
        <v>80</v>
      </c>
      <c r="C33" s="79">
        <v>0.28000000000000003</v>
      </c>
      <c r="D33" s="66" t="s">
        <v>33</v>
      </c>
    </row>
    <row r="34" spans="2:5">
      <c r="B34" s="33" t="s">
        <v>34</v>
      </c>
      <c r="C34" s="99" t="e">
        <f>SUM(C28:M28)</f>
        <v>#REF!</v>
      </c>
      <c r="D34" s="66"/>
      <c r="E34" s="94" t="e">
        <f>NPV(C33,D27:M27)+C27</f>
        <v>#REF!</v>
      </c>
    </row>
    <row r="35" spans="2:5" ht="15.75" thickBot="1">
      <c r="B35" s="34" t="s">
        <v>35</v>
      </c>
      <c r="C35" s="35">
        <v>6</v>
      </c>
      <c r="D35" s="66"/>
    </row>
    <row r="36" spans="2:5" ht="21">
      <c r="D36" s="67">
        <f>SUM(D34:D35)</f>
        <v>0</v>
      </c>
    </row>
    <row r="37" spans="2:5">
      <c r="C37" s="36"/>
      <c r="D37" s="37"/>
      <c r="E37" s="36"/>
    </row>
    <row r="38" spans="2:5">
      <c r="C38" s="36"/>
      <c r="D38" s="37"/>
      <c r="E38" s="3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36"/>
  <sheetViews>
    <sheetView showGridLines="0" topLeftCell="B9" zoomScale="70" zoomScaleNormal="70" workbookViewId="0">
      <selection activeCell="H4" sqref="H4"/>
    </sheetView>
  </sheetViews>
  <sheetFormatPr baseColWidth="10" defaultRowHeight="15"/>
  <cols>
    <col min="2" max="2" width="39.85546875" customWidth="1"/>
    <col min="3" max="3" width="22.140625" bestFit="1" customWidth="1"/>
    <col min="4" max="4" width="22.5703125" bestFit="1" customWidth="1"/>
    <col min="5" max="5" width="22.140625" bestFit="1" customWidth="1"/>
    <col min="6" max="6" width="20.5703125" bestFit="1" customWidth="1"/>
    <col min="7" max="7" width="22.140625" bestFit="1" customWidth="1"/>
    <col min="8" max="8" width="19.7109375" bestFit="1" customWidth="1"/>
    <col min="9" max="9" width="20.28515625" bestFit="1" customWidth="1"/>
    <col min="10" max="11" width="18.85546875" bestFit="1" customWidth="1"/>
    <col min="12" max="12" width="18.7109375" bestFit="1" customWidth="1"/>
    <col min="13" max="13" width="21" bestFit="1" customWidth="1"/>
  </cols>
  <sheetData>
    <row r="1" spans="1:14" ht="15.75" thickBot="1"/>
    <row r="2" spans="1:14" ht="16.5" thickBot="1">
      <c r="A2" s="16"/>
      <c r="B2" s="39"/>
      <c r="C2" s="54">
        <v>0</v>
      </c>
      <c r="D2" s="55">
        <v>1</v>
      </c>
      <c r="E2" s="55">
        <v>2</v>
      </c>
      <c r="F2" s="55">
        <v>3</v>
      </c>
      <c r="G2" s="55">
        <v>4</v>
      </c>
      <c r="H2" s="55">
        <v>5</v>
      </c>
      <c r="I2" s="55">
        <v>6</v>
      </c>
      <c r="J2" s="55">
        <v>7</v>
      </c>
      <c r="K2" s="55">
        <v>8</v>
      </c>
      <c r="L2" s="55">
        <v>9</v>
      </c>
      <c r="M2" s="56">
        <v>10</v>
      </c>
      <c r="N2" s="66" t="s">
        <v>33</v>
      </c>
    </row>
    <row r="3" spans="1:14" ht="15.75">
      <c r="A3" t="s">
        <v>65</v>
      </c>
      <c r="B3" s="29" t="s">
        <v>66</v>
      </c>
      <c r="C3" s="28"/>
      <c r="D3" s="28">
        <f>Actividad!D52</f>
        <v>57200000</v>
      </c>
      <c r="E3" s="28">
        <f>Actividad!E52</f>
        <v>178750000</v>
      </c>
      <c r="F3" s="28">
        <f>Actividad!F52</f>
        <v>205562500</v>
      </c>
      <c r="G3" s="28">
        <f>Actividad!G52</f>
        <v>236396875</v>
      </c>
      <c r="H3" s="28">
        <f>Actividad!H52</f>
        <v>271856406.25</v>
      </c>
      <c r="I3" s="28">
        <f>Actividad!I52</f>
        <v>250107893.75</v>
      </c>
      <c r="J3" s="28">
        <f>Actividad!J52</f>
        <v>287624077.8125</v>
      </c>
      <c r="K3" s="28">
        <f>Actividad!K52</f>
        <v>330767689.484375</v>
      </c>
      <c r="L3" s="28">
        <f>Actividad!L52</f>
        <v>380382842.9070313</v>
      </c>
      <c r="M3" s="28">
        <f>Actividad!M52</f>
        <v>437440269.343086</v>
      </c>
      <c r="N3" s="66"/>
    </row>
    <row r="4" spans="1:14" ht="15.75">
      <c r="A4" t="s">
        <v>65</v>
      </c>
      <c r="B4" s="30" t="s">
        <v>67</v>
      </c>
      <c r="C4" s="13" t="e">
        <f>#REF!</f>
        <v>#REF!</v>
      </c>
      <c r="D4" s="13" t="e">
        <f>#REF!</f>
        <v>#REF!</v>
      </c>
      <c r="E4" s="13" t="e">
        <f>#REF!</f>
        <v>#REF!</v>
      </c>
      <c r="F4" s="13" t="e">
        <f>#REF!</f>
        <v>#REF!</v>
      </c>
      <c r="G4" s="13" t="e">
        <f>#REF!</f>
        <v>#REF!</v>
      </c>
      <c r="H4" s="13" t="e">
        <f>#REF!</f>
        <v>#REF!</v>
      </c>
      <c r="I4" s="13" t="e">
        <f>#REF!</f>
        <v>#REF!</v>
      </c>
      <c r="J4" s="13" t="e">
        <f>#REF!</f>
        <v>#REF!</v>
      </c>
      <c r="K4" s="13" t="e">
        <f>#REF!</f>
        <v>#REF!</v>
      </c>
      <c r="L4" s="13" t="e">
        <f>#REF!</f>
        <v>#REF!</v>
      </c>
      <c r="M4" s="13" t="e">
        <f>#REF!</f>
        <v>#REF!</v>
      </c>
      <c r="N4" s="66"/>
    </row>
    <row r="5" spans="1:14" ht="15.75">
      <c r="B5" s="30" t="s">
        <v>68</v>
      </c>
      <c r="C5" s="13"/>
      <c r="D5" s="13">
        <f>-Actividad!D53</f>
        <v>-300000</v>
      </c>
      <c r="E5" s="13">
        <f>-Actividad!E53</f>
        <v>-750000</v>
      </c>
      <c r="F5" s="13">
        <f>-Actividad!F53</f>
        <v>-862500</v>
      </c>
      <c r="G5" s="13">
        <f>-Actividad!G53</f>
        <v>-991875</v>
      </c>
      <c r="H5" s="13">
        <f>-Actividad!H53</f>
        <v>-1140656.25</v>
      </c>
      <c r="I5" s="13">
        <f>-Actividad!I53</f>
        <v>-1311754.6875</v>
      </c>
      <c r="J5" s="13">
        <f>-Actividad!J53</f>
        <v>-1508517.890625</v>
      </c>
      <c r="K5" s="13">
        <f>-Actividad!K53</f>
        <v>-1734795.5742187502</v>
      </c>
      <c r="L5" s="13">
        <f>-Actividad!L53</f>
        <v>-1995014.9103515625</v>
      </c>
      <c r="M5" s="13">
        <f>-Actividad!M53</f>
        <v>-2294267.1469042972</v>
      </c>
      <c r="N5" s="66"/>
    </row>
    <row r="6" spans="1:14" ht="15.75">
      <c r="B6" s="30" t="s">
        <v>69</v>
      </c>
      <c r="C6" s="13"/>
      <c r="D6" s="13">
        <f>-Actividad!D54</f>
        <v>-10200000</v>
      </c>
      <c r="E6" s="13">
        <f>-Actividad!E54</f>
        <v>-7200000</v>
      </c>
      <c r="F6" s="13">
        <f>-Actividad!F54</f>
        <v>-7200000</v>
      </c>
      <c r="G6" s="13">
        <f>-Actividad!G54</f>
        <v>-7200000</v>
      </c>
      <c r="H6" s="13">
        <f>-Actividad!H54</f>
        <v>-7200000</v>
      </c>
      <c r="I6" s="13">
        <f>-Actividad!I54</f>
        <v>-7200000</v>
      </c>
      <c r="J6" s="13">
        <f>-Actividad!J54</f>
        <v>-7200000</v>
      </c>
      <c r="K6" s="13">
        <f>-Actividad!K54</f>
        <v>-7200000</v>
      </c>
      <c r="L6" s="13">
        <f>-Actividad!L54</f>
        <v>-7200000</v>
      </c>
      <c r="M6" s="13">
        <f>-Actividad!M54</f>
        <v>-7200000</v>
      </c>
      <c r="N6" s="66"/>
    </row>
    <row r="7" spans="1:14" ht="15.75">
      <c r="B7" s="30" t="s">
        <v>70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66"/>
    </row>
    <row r="8" spans="1:14" ht="15.75">
      <c r="B8" s="104" t="s">
        <v>56</v>
      </c>
      <c r="C8" s="13">
        <v>0</v>
      </c>
      <c r="D8" s="13" t="e">
        <f>-'tabla amortización'!E7</f>
        <v>#REF!</v>
      </c>
      <c r="E8" s="13" t="e">
        <f>-'tabla amortización'!E8</f>
        <v>#REF!</v>
      </c>
      <c r="F8" s="13" t="e">
        <f>-'tabla amortización'!E9</f>
        <v>#REF!</v>
      </c>
      <c r="G8" s="13" t="e">
        <f>-'tabla amortización'!E10</f>
        <v>#REF!</v>
      </c>
      <c r="H8" s="13" t="e">
        <f>-'tabla amortización'!E11</f>
        <v>#REF!</v>
      </c>
      <c r="I8" s="13" t="e">
        <f>-'tabla amortización'!E12</f>
        <v>#REF!</v>
      </c>
      <c r="J8" s="13" t="e">
        <f>-'tabla amortización'!E13</f>
        <v>#REF!</v>
      </c>
      <c r="K8" s="13" t="e">
        <f>-'tabla amortización'!E14</f>
        <v>#REF!</v>
      </c>
      <c r="L8" s="13">
        <f>-'tabla amortización'!E15</f>
        <v>0</v>
      </c>
      <c r="M8" s="13">
        <f>-'tabla amortización'!N7</f>
        <v>0</v>
      </c>
      <c r="N8" s="66"/>
    </row>
    <row r="9" spans="1:14" ht="15.75">
      <c r="B9" s="31" t="s">
        <v>86</v>
      </c>
      <c r="C9" s="28">
        <f>-Calendarios!H19</f>
        <v>-1532142.857142857</v>
      </c>
      <c r="D9" s="28">
        <f>-Calendarios!I19</f>
        <v>-1532142.857142857</v>
      </c>
      <c r="E9" s="28">
        <f>-Calendarios!J19</f>
        <v>-1532142.857142857</v>
      </c>
      <c r="F9" s="28">
        <f>-Calendarios!K19</f>
        <v>-1532142.857142857</v>
      </c>
      <c r="G9" s="28">
        <f>-Calendarios!L19</f>
        <v>-1532142.857142857</v>
      </c>
      <c r="H9" s="28">
        <f>-Calendarios!M19</f>
        <v>-1532142.857142857</v>
      </c>
      <c r="I9" s="28">
        <f>-Calendarios!N19</f>
        <v>-1532142.857142857</v>
      </c>
      <c r="J9" s="28">
        <f>-Calendarios!O19</f>
        <v>-1532142.857142857</v>
      </c>
      <c r="K9" s="28">
        <f>-Calendarios!P19</f>
        <v>-1532142.857142857</v>
      </c>
      <c r="L9" s="28">
        <f>-Calendarios!Q19</f>
        <v>-1532142.857142857</v>
      </c>
      <c r="M9" s="28">
        <f>-Calendarios!R19</f>
        <v>-1532142.857142857</v>
      </c>
      <c r="N9" s="66"/>
    </row>
    <row r="10" spans="1:14" ht="15.75">
      <c r="B10" s="31" t="s">
        <v>87</v>
      </c>
      <c r="C10" s="28"/>
      <c r="D10" s="28" t="e">
        <f>-#REF!</f>
        <v>#REF!</v>
      </c>
      <c r="E10" s="28" t="e">
        <f>-#REF!</f>
        <v>#REF!</v>
      </c>
      <c r="F10" s="28" t="e">
        <f>-#REF!</f>
        <v>#REF!</v>
      </c>
      <c r="G10" s="28" t="e">
        <f>-#REF!</f>
        <v>#REF!</v>
      </c>
      <c r="H10" s="28" t="e">
        <f>-#REF!</f>
        <v>#REF!</v>
      </c>
      <c r="I10" s="28" t="e">
        <f>-#REF!</f>
        <v>#REF!</v>
      </c>
      <c r="J10" s="28" t="e">
        <f>-#REF!</f>
        <v>#REF!</v>
      </c>
      <c r="K10" s="28" t="e">
        <f>-#REF!</f>
        <v>#REF!</v>
      </c>
      <c r="L10" s="28" t="e">
        <f>-#REF!</f>
        <v>#REF!</v>
      </c>
      <c r="M10" s="28" t="e">
        <f>-#REF!</f>
        <v>#REF!</v>
      </c>
      <c r="N10" s="66"/>
    </row>
    <row r="11" spans="1:14" ht="15.75">
      <c r="B11" s="31" t="s">
        <v>88</v>
      </c>
      <c r="C11" s="28"/>
      <c r="D11" s="28" t="e">
        <f>#REF!</f>
        <v>#REF!</v>
      </c>
      <c r="E11" s="28" t="e">
        <f>#REF!</f>
        <v>#REF!</v>
      </c>
      <c r="F11" s="28" t="e">
        <f>#REF!</f>
        <v>#REF!</v>
      </c>
      <c r="G11" s="28" t="e">
        <f>#REF!</f>
        <v>#REF!</v>
      </c>
      <c r="H11" s="28" t="e">
        <f>#REF!</f>
        <v>#REF!</v>
      </c>
      <c r="I11" s="28" t="e">
        <f>#REF!</f>
        <v>#REF!</v>
      </c>
      <c r="J11" s="28" t="e">
        <f>#REF!</f>
        <v>#REF!</v>
      </c>
      <c r="K11" s="28" t="e">
        <f>#REF!</f>
        <v>#REF!</v>
      </c>
      <c r="L11" s="28" t="e">
        <f>#REF!</f>
        <v>#REF!</v>
      </c>
      <c r="M11" s="28" t="e">
        <f>-#REF!</f>
        <v>#REF!</v>
      </c>
      <c r="N11" s="66"/>
    </row>
    <row r="12" spans="1:14" ht="15.75">
      <c r="B12" s="31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66"/>
    </row>
    <row r="13" spans="1:14" ht="16.5" thickBot="1">
      <c r="B13" s="40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66"/>
    </row>
    <row r="14" spans="1:14" ht="24" customHeight="1">
      <c r="A14" t="s">
        <v>32</v>
      </c>
      <c r="B14" s="90" t="s">
        <v>25</v>
      </c>
      <c r="C14" s="93" t="e">
        <f>SUM(C3:C13)</f>
        <v>#REF!</v>
      </c>
      <c r="D14" s="93" t="e">
        <f t="shared" ref="D14:M14" si="0">SUM(D3:D13)</f>
        <v>#REF!</v>
      </c>
      <c r="E14" s="93" t="e">
        <f t="shared" si="0"/>
        <v>#REF!</v>
      </c>
      <c r="F14" s="93" t="e">
        <f t="shared" si="0"/>
        <v>#REF!</v>
      </c>
      <c r="G14" s="93" t="e">
        <f t="shared" si="0"/>
        <v>#REF!</v>
      </c>
      <c r="H14" s="93" t="e">
        <f t="shared" si="0"/>
        <v>#REF!</v>
      </c>
      <c r="I14" s="93" t="e">
        <f t="shared" si="0"/>
        <v>#REF!</v>
      </c>
      <c r="J14" s="93" t="e">
        <f t="shared" si="0"/>
        <v>#REF!</v>
      </c>
      <c r="K14" s="93" t="e">
        <f t="shared" si="0"/>
        <v>#REF!</v>
      </c>
      <c r="L14" s="93" t="e">
        <f t="shared" si="0"/>
        <v>#REF!</v>
      </c>
      <c r="M14" s="93" t="e">
        <f t="shared" si="0"/>
        <v>#REF!</v>
      </c>
      <c r="N14" s="66"/>
    </row>
    <row r="15" spans="1:14" ht="23.25" customHeight="1" thickBot="1">
      <c r="A15" s="85">
        <v>0.22500000000000001</v>
      </c>
      <c r="B15" s="32" t="s">
        <v>28</v>
      </c>
      <c r="C15" s="14" t="e">
        <f>-C14*$A$15</f>
        <v>#REF!</v>
      </c>
      <c r="D15" s="14" t="e">
        <f>-D14*$A$15</f>
        <v>#REF!</v>
      </c>
      <c r="E15" s="14" t="e">
        <f t="shared" ref="E15:M15" si="1">-E14*$A$15</f>
        <v>#REF!</v>
      </c>
      <c r="F15" s="14" t="e">
        <f t="shared" si="1"/>
        <v>#REF!</v>
      </c>
      <c r="G15" s="14" t="e">
        <f t="shared" si="1"/>
        <v>#REF!</v>
      </c>
      <c r="H15" s="14" t="e">
        <f t="shared" si="1"/>
        <v>#REF!</v>
      </c>
      <c r="I15" s="14" t="e">
        <f t="shared" si="1"/>
        <v>#REF!</v>
      </c>
      <c r="J15" s="14" t="e">
        <f t="shared" si="1"/>
        <v>#REF!</v>
      </c>
      <c r="K15" s="14" t="e">
        <f t="shared" si="1"/>
        <v>#REF!</v>
      </c>
      <c r="L15" s="14" t="e">
        <f t="shared" si="1"/>
        <v>#REF!</v>
      </c>
      <c r="M15" s="14" t="e">
        <f t="shared" si="1"/>
        <v>#REF!</v>
      </c>
      <c r="N15" s="66"/>
    </row>
    <row r="16" spans="1:14" ht="24.75" customHeight="1" thickBot="1">
      <c r="B16" s="91" t="s">
        <v>26</v>
      </c>
      <c r="C16" s="92" t="e">
        <f>SUM(C14:C15)</f>
        <v>#REF!</v>
      </c>
      <c r="D16" s="92" t="e">
        <f t="shared" ref="D16:M16" si="2">SUM(D14:D15)</f>
        <v>#REF!</v>
      </c>
      <c r="E16" s="92" t="e">
        <f t="shared" si="2"/>
        <v>#REF!</v>
      </c>
      <c r="F16" s="92" t="e">
        <f t="shared" si="2"/>
        <v>#REF!</v>
      </c>
      <c r="G16" s="92" t="e">
        <f t="shared" si="2"/>
        <v>#REF!</v>
      </c>
      <c r="H16" s="92" t="e">
        <f t="shared" si="2"/>
        <v>#REF!</v>
      </c>
      <c r="I16" s="92" t="e">
        <f t="shared" si="2"/>
        <v>#REF!</v>
      </c>
      <c r="J16" s="92" t="e">
        <f t="shared" si="2"/>
        <v>#REF!</v>
      </c>
      <c r="K16" s="92" t="e">
        <f t="shared" si="2"/>
        <v>#REF!</v>
      </c>
      <c r="L16" s="92" t="e">
        <f t="shared" si="2"/>
        <v>#REF!</v>
      </c>
      <c r="M16" s="92" t="e">
        <f t="shared" si="2"/>
        <v>#REF!</v>
      </c>
      <c r="N16" s="66"/>
    </row>
    <row r="17" spans="1:15" ht="16.5" customHeight="1">
      <c r="B17" s="31" t="s">
        <v>89</v>
      </c>
      <c r="C17" s="28">
        <f>-C9</f>
        <v>1532142.857142857</v>
      </c>
      <c r="D17" s="28">
        <f t="shared" ref="D17:M19" si="3">-D9</f>
        <v>1532142.857142857</v>
      </c>
      <c r="E17" s="28">
        <f t="shared" si="3"/>
        <v>1532142.857142857</v>
      </c>
      <c r="F17" s="28">
        <f t="shared" si="3"/>
        <v>1532142.857142857</v>
      </c>
      <c r="G17" s="28">
        <f t="shared" si="3"/>
        <v>1532142.857142857</v>
      </c>
      <c r="H17" s="28">
        <f t="shared" si="3"/>
        <v>1532142.857142857</v>
      </c>
      <c r="I17" s="28">
        <f t="shared" si="3"/>
        <v>1532142.857142857</v>
      </c>
      <c r="J17" s="28">
        <f t="shared" si="3"/>
        <v>1532142.857142857</v>
      </c>
      <c r="K17" s="28">
        <f t="shared" si="3"/>
        <v>1532142.857142857</v>
      </c>
      <c r="L17" s="28">
        <f t="shared" si="3"/>
        <v>1532142.857142857</v>
      </c>
      <c r="M17" s="28">
        <f t="shared" si="3"/>
        <v>1532142.857142857</v>
      </c>
      <c r="N17" s="66"/>
    </row>
    <row r="18" spans="1:15" ht="16.5" customHeight="1">
      <c r="B18" s="31" t="s">
        <v>87</v>
      </c>
      <c r="C18" s="28">
        <f>-C10</f>
        <v>0</v>
      </c>
      <c r="D18" s="28" t="e">
        <f t="shared" si="3"/>
        <v>#REF!</v>
      </c>
      <c r="E18" s="28" t="e">
        <f t="shared" si="3"/>
        <v>#REF!</v>
      </c>
      <c r="F18" s="28" t="e">
        <f t="shared" si="3"/>
        <v>#REF!</v>
      </c>
      <c r="G18" s="28" t="e">
        <f t="shared" si="3"/>
        <v>#REF!</v>
      </c>
      <c r="H18" s="28" t="e">
        <f t="shared" si="3"/>
        <v>#REF!</v>
      </c>
      <c r="I18" s="28" t="e">
        <f t="shared" si="3"/>
        <v>#REF!</v>
      </c>
      <c r="J18" s="28" t="e">
        <f t="shared" si="3"/>
        <v>#REF!</v>
      </c>
      <c r="K18" s="28" t="e">
        <f t="shared" si="3"/>
        <v>#REF!</v>
      </c>
      <c r="L18" s="28" t="e">
        <f t="shared" si="3"/>
        <v>#REF!</v>
      </c>
      <c r="M18" s="28" t="e">
        <f t="shared" si="3"/>
        <v>#REF!</v>
      </c>
      <c r="N18" s="66"/>
    </row>
    <row r="19" spans="1:15" ht="16.5" customHeight="1">
      <c r="B19" s="31" t="s">
        <v>71</v>
      </c>
      <c r="C19" s="28">
        <f>-C11</f>
        <v>0</v>
      </c>
      <c r="D19" s="28" t="e">
        <f t="shared" si="3"/>
        <v>#REF!</v>
      </c>
      <c r="E19" s="28" t="e">
        <f t="shared" si="3"/>
        <v>#REF!</v>
      </c>
      <c r="F19" s="28" t="e">
        <f t="shared" si="3"/>
        <v>#REF!</v>
      </c>
      <c r="G19" s="28" t="e">
        <f t="shared" si="3"/>
        <v>#REF!</v>
      </c>
      <c r="H19" s="28" t="e">
        <f t="shared" si="3"/>
        <v>#REF!</v>
      </c>
      <c r="I19" s="28" t="e">
        <f t="shared" si="3"/>
        <v>#REF!</v>
      </c>
      <c r="J19" s="28" t="e">
        <f t="shared" si="3"/>
        <v>#REF!</v>
      </c>
      <c r="K19" s="28" t="e">
        <f t="shared" si="3"/>
        <v>#REF!</v>
      </c>
      <c r="L19" s="28" t="e">
        <f t="shared" si="3"/>
        <v>#REF!</v>
      </c>
      <c r="M19" s="28" t="e">
        <f t="shared" si="3"/>
        <v>#REF!</v>
      </c>
      <c r="N19" s="66"/>
    </row>
    <row r="20" spans="1:15" ht="16.5" customHeight="1">
      <c r="B20" s="103" t="s">
        <v>72</v>
      </c>
      <c r="C20" s="28">
        <v>0</v>
      </c>
      <c r="D20" s="28" t="e">
        <f>-'tabla amortización'!D7</f>
        <v>#REF!</v>
      </c>
      <c r="E20" s="28" t="e">
        <f>-'tabla amortización'!D8</f>
        <v>#REF!</v>
      </c>
      <c r="F20" s="28" t="e">
        <f>-'tabla amortización'!D9</f>
        <v>#REF!</v>
      </c>
      <c r="G20" s="28" t="e">
        <f>-'tabla amortización'!D10</f>
        <v>#REF!</v>
      </c>
      <c r="H20" s="28" t="e">
        <f>-'tabla amortización'!D11</f>
        <v>#REF!</v>
      </c>
      <c r="I20" s="28" t="e">
        <f>-'tabla amortización'!D12</f>
        <v>#REF!</v>
      </c>
      <c r="J20" s="28" t="e">
        <f>-'tabla amortización'!D13</f>
        <v>#REF!</v>
      </c>
      <c r="K20" s="28" t="e">
        <f>-'tabla amortización'!D14</f>
        <v>#REF!</v>
      </c>
      <c r="L20" s="28">
        <f>-'tabla amortización'!D15</f>
        <v>0</v>
      </c>
      <c r="M20" s="28">
        <f>-'tabla amortización'!D16</f>
        <v>0</v>
      </c>
      <c r="N20" s="66"/>
    </row>
    <row r="21" spans="1:15" ht="15.75">
      <c r="B21" s="104" t="s">
        <v>73</v>
      </c>
      <c r="C21" s="13" t="e">
        <f>'tabla amortización'!I4</f>
        <v>#REF!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66"/>
    </row>
    <row r="22" spans="1:15" ht="15.75">
      <c r="B22" s="30" t="s">
        <v>92</v>
      </c>
      <c r="C22" s="13" t="e">
        <f>-#REF!</f>
        <v>#REF!</v>
      </c>
      <c r="D22" s="13" t="e">
        <f>-#REF!</f>
        <v>#REF!</v>
      </c>
      <c r="E22" s="13" t="e">
        <f>-#REF!</f>
        <v>#REF!</v>
      </c>
      <c r="F22" s="13" t="e">
        <f>-#REF!</f>
        <v>#REF!</v>
      </c>
      <c r="G22" s="13" t="e">
        <f>-#REF!</f>
        <v>#REF!</v>
      </c>
      <c r="H22" s="13" t="e">
        <f>-#REF!</f>
        <v>#REF!</v>
      </c>
      <c r="I22" s="13" t="e">
        <f>-#REF!</f>
        <v>#REF!</v>
      </c>
      <c r="J22" s="13" t="e">
        <f>-#REF!</f>
        <v>#REF!</v>
      </c>
      <c r="K22" s="13" t="e">
        <f>-#REF!</f>
        <v>#REF!</v>
      </c>
      <c r="L22" s="13" t="e">
        <f>-#REF!</f>
        <v>#REF!</v>
      </c>
      <c r="M22" s="13" t="e">
        <f>-#REF!</f>
        <v>#REF!</v>
      </c>
      <c r="N22" s="66"/>
    </row>
    <row r="23" spans="1:15" ht="15.75" customHeight="1">
      <c r="B23" s="30" t="s">
        <v>74</v>
      </c>
      <c r="C23" s="13">
        <f>-Actividad!E57</f>
        <v>-6681818.1818181816</v>
      </c>
      <c r="D23" s="13"/>
      <c r="E23" s="13"/>
      <c r="F23" s="13"/>
      <c r="G23" s="13"/>
      <c r="H23" s="13"/>
      <c r="I23" s="13"/>
      <c r="J23" s="13"/>
      <c r="K23" s="13"/>
      <c r="L23" s="13"/>
      <c r="M23" s="13">
        <f>-C23</f>
        <v>6681818.1818181816</v>
      </c>
      <c r="N23" s="66"/>
    </row>
    <row r="24" spans="1:15" ht="18" customHeight="1">
      <c r="B24" s="30" t="s">
        <v>76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 t="e">
        <f>(L27-(L18+L17)/C33)</f>
        <v>#REF!</v>
      </c>
      <c r="N24" s="66"/>
      <c r="O24" s="68" t="s">
        <v>42</v>
      </c>
    </row>
    <row r="25" spans="1:15" ht="19.5" customHeight="1">
      <c r="B25" s="32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66"/>
      <c r="O25" s="70">
        <f>SUM(N3:N25)+D34</f>
        <v>0</v>
      </c>
    </row>
    <row r="26" spans="1:15" ht="15" customHeight="1" thickBot="1">
      <c r="B26" s="32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O26" s="69"/>
    </row>
    <row r="27" spans="1:15" ht="16.5" thickBot="1">
      <c r="B27" s="57" t="s">
        <v>27</v>
      </c>
      <c r="C27" s="97" t="e">
        <f>SUM(C16:C26)</f>
        <v>#REF!</v>
      </c>
      <c r="D27" s="97" t="e">
        <f t="shared" ref="D27:M27" si="4">SUM(D16:D26)</f>
        <v>#REF!</v>
      </c>
      <c r="E27" s="97" t="e">
        <f t="shared" si="4"/>
        <v>#REF!</v>
      </c>
      <c r="F27" s="97" t="e">
        <f t="shared" si="4"/>
        <v>#REF!</v>
      </c>
      <c r="G27" s="97" t="e">
        <f t="shared" si="4"/>
        <v>#REF!</v>
      </c>
      <c r="H27" s="97" t="e">
        <f t="shared" si="4"/>
        <v>#REF!</v>
      </c>
      <c r="I27" s="97" t="e">
        <f t="shared" si="4"/>
        <v>#REF!</v>
      </c>
      <c r="J27" s="97" t="e">
        <f t="shared" si="4"/>
        <v>#REF!</v>
      </c>
      <c r="K27" s="97" t="e">
        <f t="shared" si="4"/>
        <v>#REF!</v>
      </c>
      <c r="L27" s="97" t="e">
        <f t="shared" si="4"/>
        <v>#REF!</v>
      </c>
      <c r="M27" s="97" t="e">
        <f t="shared" si="4"/>
        <v>#REF!</v>
      </c>
    </row>
    <row r="28" spans="1:15" ht="16.5" thickBot="1">
      <c r="B28" s="100" t="s">
        <v>34</v>
      </c>
      <c r="C28" s="101" t="e">
        <f>C27*((1+$C$33)^-C2)</f>
        <v>#REF!</v>
      </c>
      <c r="D28" s="98" t="e">
        <f>D27*((1+$C$33)^-D2)</f>
        <v>#REF!</v>
      </c>
      <c r="E28" s="98" t="e">
        <f t="shared" ref="E28:M28" si="5">E27*((1+$C$33)^-E2)</f>
        <v>#REF!</v>
      </c>
      <c r="F28" s="98" t="e">
        <f t="shared" si="5"/>
        <v>#REF!</v>
      </c>
      <c r="G28" s="98" t="e">
        <f t="shared" si="5"/>
        <v>#REF!</v>
      </c>
      <c r="H28" s="98" t="e">
        <f t="shared" si="5"/>
        <v>#REF!</v>
      </c>
      <c r="I28" s="98" t="e">
        <f t="shared" si="5"/>
        <v>#REF!</v>
      </c>
      <c r="J28" s="98" t="e">
        <f t="shared" si="5"/>
        <v>#REF!</v>
      </c>
      <c r="K28" s="98" t="e">
        <f t="shared" si="5"/>
        <v>#REF!</v>
      </c>
      <c r="L28" s="98" t="e">
        <f t="shared" si="5"/>
        <v>#REF!</v>
      </c>
      <c r="M28" s="98" t="e">
        <f t="shared" si="5"/>
        <v>#REF!</v>
      </c>
    </row>
    <row r="29" spans="1:15" ht="16.5" thickBot="1">
      <c r="B29" s="100" t="s">
        <v>35</v>
      </c>
      <c r="C29" s="101" t="e">
        <f>C28</f>
        <v>#REF!</v>
      </c>
      <c r="D29" s="102" t="e">
        <f>C29+D28</f>
        <v>#REF!</v>
      </c>
      <c r="E29" s="102" t="e">
        <f>D29+E28</f>
        <v>#REF!</v>
      </c>
      <c r="F29" s="102" t="e">
        <f t="shared" ref="F29:L29" si="6">E29+F28</f>
        <v>#REF!</v>
      </c>
      <c r="G29" s="102" t="e">
        <f t="shared" si="6"/>
        <v>#REF!</v>
      </c>
      <c r="H29" s="102" t="e">
        <f t="shared" si="6"/>
        <v>#REF!</v>
      </c>
      <c r="I29" s="98" t="e">
        <f>H29+I28</f>
        <v>#REF!</v>
      </c>
      <c r="J29" s="98" t="e">
        <f>I29+J28</f>
        <v>#REF!</v>
      </c>
      <c r="K29" s="98" t="e">
        <f>J29+K28</f>
        <v>#REF!</v>
      </c>
      <c r="L29" s="98" t="e">
        <f t="shared" si="6"/>
        <v>#REF!</v>
      </c>
      <c r="M29" s="98" t="e">
        <f>L29+M28</f>
        <v>#REF!</v>
      </c>
    </row>
    <row r="31" spans="1:15">
      <c r="A31" t="s">
        <v>78</v>
      </c>
      <c r="B31" t="s">
        <v>79</v>
      </c>
    </row>
    <row r="33" spans="2:5" ht="15.75" thickBot="1">
      <c r="B33" t="s">
        <v>80</v>
      </c>
      <c r="C33" s="79">
        <v>0.28000000000000003</v>
      </c>
      <c r="D33" s="66" t="s">
        <v>33</v>
      </c>
    </row>
    <row r="34" spans="2:5">
      <c r="B34" s="33" t="s">
        <v>34</v>
      </c>
      <c r="C34" s="99" t="e">
        <f>SUM(C28:M28)</f>
        <v>#REF!</v>
      </c>
      <c r="D34" s="66"/>
      <c r="E34" s="94" t="e">
        <f>NPV(C33,D27:M27)+C27</f>
        <v>#REF!</v>
      </c>
    </row>
    <row r="35" spans="2:5" ht="15.75" thickBot="1">
      <c r="B35" s="34" t="s">
        <v>35</v>
      </c>
      <c r="C35" s="35">
        <v>6</v>
      </c>
      <c r="D35" s="66"/>
    </row>
    <row r="36" spans="2:5" ht="21">
      <c r="D36" s="67">
        <f>SUM(D34:D35)</f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6"/>
  <sheetViews>
    <sheetView showGridLines="0" topLeftCell="F7" zoomScale="70" zoomScaleNormal="70" workbookViewId="0">
      <selection activeCell="H4" sqref="H4"/>
    </sheetView>
  </sheetViews>
  <sheetFormatPr baseColWidth="10" defaultRowHeight="15"/>
  <cols>
    <col min="2" max="2" width="39.85546875" customWidth="1"/>
    <col min="3" max="5" width="22.5703125" bestFit="1" customWidth="1"/>
    <col min="6" max="6" width="21.42578125" bestFit="1" customWidth="1"/>
    <col min="7" max="7" width="21.7109375" bestFit="1" customWidth="1"/>
    <col min="8" max="9" width="19.7109375" bestFit="1" customWidth="1"/>
    <col min="10" max="10" width="18.7109375" bestFit="1" customWidth="1"/>
    <col min="11" max="11" width="18.85546875" bestFit="1" customWidth="1"/>
    <col min="12" max="12" width="18.7109375" bestFit="1" customWidth="1"/>
    <col min="13" max="13" width="20.28515625" bestFit="1" customWidth="1"/>
  </cols>
  <sheetData>
    <row r="1" spans="1:14" ht="15.75" thickBot="1"/>
    <row r="2" spans="1:14" ht="16.5" thickBot="1">
      <c r="A2" s="16"/>
      <c r="B2" s="39"/>
      <c r="C2" s="54">
        <v>0</v>
      </c>
      <c r="D2" s="55">
        <v>1</v>
      </c>
      <c r="E2" s="55">
        <v>2</v>
      </c>
      <c r="F2" s="55">
        <v>3</v>
      </c>
      <c r="G2" s="55">
        <v>4</v>
      </c>
      <c r="H2" s="55">
        <v>5</v>
      </c>
      <c r="I2" s="55">
        <v>6</v>
      </c>
      <c r="J2" s="55">
        <v>7</v>
      </c>
      <c r="K2" s="55">
        <v>8</v>
      </c>
      <c r="L2" s="55">
        <v>9</v>
      </c>
      <c r="M2" s="56">
        <v>10</v>
      </c>
      <c r="N2" s="66" t="s">
        <v>33</v>
      </c>
    </row>
    <row r="3" spans="1:14" ht="15.75">
      <c r="A3" t="s">
        <v>65</v>
      </c>
      <c r="B3" s="29" t="s">
        <v>66</v>
      </c>
      <c r="C3" s="28"/>
      <c r="D3" s="28">
        <f>Actividad!D52</f>
        <v>57200000</v>
      </c>
      <c r="E3" s="28">
        <f>Actividad!E52</f>
        <v>178750000</v>
      </c>
      <c r="F3" s="28">
        <f>Actividad!F52</f>
        <v>205562500</v>
      </c>
      <c r="G3" s="28">
        <f>Actividad!G52</f>
        <v>236396875</v>
      </c>
      <c r="H3" s="28">
        <f>Actividad!H52</f>
        <v>271856406.25</v>
      </c>
      <c r="I3" s="28">
        <f>Actividad!I52</f>
        <v>250107893.75</v>
      </c>
      <c r="J3" s="28">
        <f>Actividad!J52</f>
        <v>287624077.8125</v>
      </c>
      <c r="K3" s="28">
        <f>Actividad!K52</f>
        <v>330767689.484375</v>
      </c>
      <c r="L3" s="28">
        <f>Actividad!L52</f>
        <v>380382842.9070313</v>
      </c>
      <c r="M3" s="28">
        <f>Actividad!M52</f>
        <v>437440269.343086</v>
      </c>
      <c r="N3" s="66"/>
    </row>
    <row r="4" spans="1:14" ht="15.75">
      <c r="A4" t="s">
        <v>65</v>
      </c>
      <c r="B4" s="30" t="s">
        <v>67</v>
      </c>
      <c r="C4" s="13" t="e">
        <f>#REF!</f>
        <v>#REF!</v>
      </c>
      <c r="D4" s="13" t="e">
        <f>#REF!</f>
        <v>#REF!</v>
      </c>
      <c r="E4" s="13" t="e">
        <f>#REF!</f>
        <v>#REF!</v>
      </c>
      <c r="F4" s="13" t="e">
        <f>#REF!</f>
        <v>#REF!</v>
      </c>
      <c r="G4" s="13" t="e">
        <f>#REF!</f>
        <v>#REF!</v>
      </c>
      <c r="H4" s="13">
        <v>0</v>
      </c>
      <c r="I4" s="13" t="e">
        <f>#REF!</f>
        <v>#REF!</v>
      </c>
      <c r="J4" s="13" t="e">
        <f>#REF!</f>
        <v>#REF!</v>
      </c>
      <c r="K4" s="13" t="e">
        <f>#REF!</f>
        <v>#REF!</v>
      </c>
      <c r="L4" s="13" t="e">
        <f>#REF!</f>
        <v>#REF!</v>
      </c>
      <c r="M4" s="13">
        <v>0</v>
      </c>
      <c r="N4" s="66"/>
    </row>
    <row r="5" spans="1:14" ht="15.75">
      <c r="B5" s="30" t="s">
        <v>68</v>
      </c>
      <c r="C5" s="13"/>
      <c r="D5" s="13">
        <f>-Actividad!D53</f>
        <v>-300000</v>
      </c>
      <c r="E5" s="13">
        <f>-Actividad!E53</f>
        <v>-750000</v>
      </c>
      <c r="F5" s="13">
        <f>-Actividad!F53</f>
        <v>-862500</v>
      </c>
      <c r="G5" s="13">
        <f>-Actividad!G53</f>
        <v>-991875</v>
      </c>
      <c r="H5" s="13">
        <f>-Actividad!H53</f>
        <v>-1140656.25</v>
      </c>
      <c r="I5" s="13">
        <f>-Actividad!I53</f>
        <v>-1311754.6875</v>
      </c>
      <c r="J5" s="13">
        <f>-Actividad!J53</f>
        <v>-1508517.890625</v>
      </c>
      <c r="K5" s="13">
        <f>-Actividad!K53</f>
        <v>-1734795.5742187502</v>
      </c>
      <c r="L5" s="13">
        <f>-Actividad!L53</f>
        <v>-1995014.9103515625</v>
      </c>
      <c r="M5" s="13">
        <f>-Actividad!M53</f>
        <v>-2294267.1469042972</v>
      </c>
      <c r="N5" s="66"/>
    </row>
    <row r="6" spans="1:14" ht="15.75">
      <c r="B6" s="30" t="s">
        <v>69</v>
      </c>
      <c r="C6" s="13"/>
      <c r="D6" s="13">
        <f>-Actividad!D54</f>
        <v>-10200000</v>
      </c>
      <c r="E6" s="13">
        <f>-Actividad!E54</f>
        <v>-7200000</v>
      </c>
      <c r="F6" s="13">
        <f>-Actividad!F54</f>
        <v>-7200000</v>
      </c>
      <c r="G6" s="13">
        <f>-Actividad!G54</f>
        <v>-7200000</v>
      </c>
      <c r="H6" s="13">
        <f>-Actividad!H54</f>
        <v>-7200000</v>
      </c>
      <c r="I6" s="13">
        <f>-Actividad!I54</f>
        <v>-7200000</v>
      </c>
      <c r="J6" s="13">
        <f>-Actividad!J54</f>
        <v>-7200000</v>
      </c>
      <c r="K6" s="13">
        <f>-Actividad!K54</f>
        <v>-7200000</v>
      </c>
      <c r="L6" s="13">
        <f>-Actividad!L54</f>
        <v>-7200000</v>
      </c>
      <c r="M6" s="13">
        <f>-Actividad!M54</f>
        <v>-7200000</v>
      </c>
      <c r="N6" s="66"/>
    </row>
    <row r="7" spans="1:14" ht="15.75">
      <c r="B7" s="104" t="s">
        <v>70</v>
      </c>
      <c r="C7" s="13">
        <v>0</v>
      </c>
      <c r="D7" s="13" t="e">
        <f>-'tabla amortización 2'!H20</f>
        <v>#REF!</v>
      </c>
      <c r="E7" s="13" t="e">
        <f>-'tabla amortización 2'!I20</f>
        <v>#REF!</v>
      </c>
      <c r="F7" s="13" t="e">
        <f>-'tabla amortización 2'!J20</f>
        <v>#REF!</v>
      </c>
      <c r="G7" s="13" t="e">
        <f>-'tabla amortización 2'!K20</f>
        <v>#REF!</v>
      </c>
      <c r="H7" s="13" t="e">
        <f>-'tabla amortización 2'!L20</f>
        <v>#REF!</v>
      </c>
      <c r="I7" s="13">
        <f>-'tabla amortización 2'!M20</f>
        <v>0</v>
      </c>
      <c r="J7" s="13">
        <f>-'tabla amortización 2'!N20</f>
        <v>0</v>
      </c>
      <c r="K7" s="13">
        <f>-'tabla amortización 2'!O20</f>
        <v>0</v>
      </c>
      <c r="L7" s="13">
        <f>-'tabla amortización 2'!P20</f>
        <v>0</v>
      </c>
      <c r="M7" s="13">
        <f>-'tabla amortización 2'!Q20</f>
        <v>0</v>
      </c>
      <c r="N7" s="66"/>
    </row>
    <row r="8" spans="1:14" ht="15.75">
      <c r="B8" s="105" t="s">
        <v>56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66"/>
    </row>
    <row r="9" spans="1:14" ht="15.75">
      <c r="B9" s="31" t="s">
        <v>86</v>
      </c>
      <c r="C9" s="28">
        <f>-Calendarios!H19</f>
        <v>-1532142.857142857</v>
      </c>
      <c r="D9" s="28">
        <f>-Calendarios!I19</f>
        <v>-1532142.857142857</v>
      </c>
      <c r="E9" s="28">
        <f>-Calendarios!J19</f>
        <v>-1532142.857142857</v>
      </c>
      <c r="F9" s="28">
        <f>-Calendarios!K19</f>
        <v>-1532142.857142857</v>
      </c>
      <c r="G9" s="28">
        <f>-Calendarios!L19</f>
        <v>-1532142.857142857</v>
      </c>
      <c r="H9" s="28">
        <f>-Calendarios!M19</f>
        <v>-1532142.857142857</v>
      </c>
      <c r="I9" s="28">
        <f>-Calendarios!N19</f>
        <v>-1532142.857142857</v>
      </c>
      <c r="J9" s="28">
        <f>-Calendarios!O19</f>
        <v>-1532142.857142857</v>
      </c>
      <c r="K9" s="28">
        <f>-Calendarios!P19</f>
        <v>-1532142.857142857</v>
      </c>
      <c r="L9" s="28">
        <f>-Calendarios!Q19</f>
        <v>-1532142.857142857</v>
      </c>
      <c r="M9" s="28">
        <f>-Calendarios!R19</f>
        <v>-1532142.857142857</v>
      </c>
      <c r="N9" s="66"/>
    </row>
    <row r="10" spans="1:14" ht="15.75">
      <c r="B10" s="103" t="s">
        <v>87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66"/>
    </row>
    <row r="11" spans="1:14" ht="15.75">
      <c r="B11" s="31" t="s">
        <v>88</v>
      </c>
      <c r="C11" s="28"/>
      <c r="D11" s="28" t="e">
        <f>#REF!</f>
        <v>#REF!</v>
      </c>
      <c r="E11" s="28" t="e">
        <f>#REF!</f>
        <v>#REF!</v>
      </c>
      <c r="F11" s="28" t="e">
        <f>#REF!</f>
        <v>#REF!</v>
      </c>
      <c r="G11" s="28" t="e">
        <f>#REF!</f>
        <v>#REF!</v>
      </c>
      <c r="H11" s="28" t="e">
        <f>#REF!</f>
        <v>#REF!</v>
      </c>
      <c r="I11" s="28" t="e">
        <f>#REF!</f>
        <v>#REF!</v>
      </c>
      <c r="J11" s="28" t="e">
        <f>#REF!</f>
        <v>#REF!</v>
      </c>
      <c r="K11" s="28" t="e">
        <f>#REF!</f>
        <v>#REF!</v>
      </c>
      <c r="L11" s="28" t="e">
        <f>#REF!</f>
        <v>#REF!</v>
      </c>
      <c r="M11" s="28">
        <v>0</v>
      </c>
      <c r="N11" s="66"/>
    </row>
    <row r="12" spans="1:14" ht="15.75">
      <c r="B12" s="31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66"/>
    </row>
    <row r="13" spans="1:14" ht="16.5" thickBot="1">
      <c r="B13" s="40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66"/>
    </row>
    <row r="14" spans="1:14" ht="24" customHeight="1">
      <c r="A14" t="s">
        <v>32</v>
      </c>
      <c r="B14" s="90" t="s">
        <v>25</v>
      </c>
      <c r="C14" s="93" t="e">
        <f>SUM(C3:C13)</f>
        <v>#REF!</v>
      </c>
      <c r="D14" s="93" t="e">
        <f t="shared" ref="D14:M14" si="0">SUM(D3:D13)</f>
        <v>#REF!</v>
      </c>
      <c r="E14" s="93" t="e">
        <f t="shared" si="0"/>
        <v>#REF!</v>
      </c>
      <c r="F14" s="93" t="e">
        <f t="shared" si="0"/>
        <v>#REF!</v>
      </c>
      <c r="G14" s="93" t="e">
        <f t="shared" si="0"/>
        <v>#REF!</v>
      </c>
      <c r="H14" s="93" t="e">
        <f>SUM(H3:H13)</f>
        <v>#REF!</v>
      </c>
      <c r="I14" s="93" t="e">
        <f t="shared" si="0"/>
        <v>#REF!</v>
      </c>
      <c r="J14" s="93" t="e">
        <f t="shared" si="0"/>
        <v>#REF!</v>
      </c>
      <c r="K14" s="93" t="e">
        <f t="shared" si="0"/>
        <v>#REF!</v>
      </c>
      <c r="L14" s="93" t="e">
        <f t="shared" si="0"/>
        <v>#REF!</v>
      </c>
      <c r="M14" s="93">
        <f t="shared" si="0"/>
        <v>426413859.33903885</v>
      </c>
      <c r="N14" s="66"/>
    </row>
    <row r="15" spans="1:14" ht="23.25" customHeight="1" thickBot="1">
      <c r="A15" s="85">
        <v>0.22500000000000001</v>
      </c>
      <c r="B15" s="32" t="s">
        <v>28</v>
      </c>
      <c r="C15" s="14" t="e">
        <f>-C14*$A$15</f>
        <v>#REF!</v>
      </c>
      <c r="D15" s="14" t="e">
        <f>-D14*$A$15</f>
        <v>#REF!</v>
      </c>
      <c r="E15" s="14" t="e">
        <f t="shared" ref="E15:M15" si="1">-E14*$A$15</f>
        <v>#REF!</v>
      </c>
      <c r="F15" s="14" t="e">
        <f t="shared" si="1"/>
        <v>#REF!</v>
      </c>
      <c r="G15" s="14" t="e">
        <f t="shared" si="1"/>
        <v>#REF!</v>
      </c>
      <c r="H15" s="14" t="e">
        <f t="shared" si="1"/>
        <v>#REF!</v>
      </c>
      <c r="I15" s="14" t="e">
        <f t="shared" si="1"/>
        <v>#REF!</v>
      </c>
      <c r="J15" s="14" t="e">
        <f t="shared" si="1"/>
        <v>#REF!</v>
      </c>
      <c r="K15" s="14" t="e">
        <f t="shared" si="1"/>
        <v>#REF!</v>
      </c>
      <c r="L15" s="14" t="e">
        <f t="shared" si="1"/>
        <v>#REF!</v>
      </c>
      <c r="M15" s="14">
        <f t="shared" si="1"/>
        <v>-95943118.351283744</v>
      </c>
      <c r="N15" s="66"/>
    </row>
    <row r="16" spans="1:14" ht="24.75" customHeight="1" thickBot="1">
      <c r="B16" s="91" t="s">
        <v>26</v>
      </c>
      <c r="C16" s="92" t="e">
        <f>SUM(C14:C15)</f>
        <v>#REF!</v>
      </c>
      <c r="D16" s="92" t="e">
        <f t="shared" ref="D16:M16" si="2">SUM(D14:D15)</f>
        <v>#REF!</v>
      </c>
      <c r="E16" s="92" t="e">
        <f t="shared" si="2"/>
        <v>#REF!</v>
      </c>
      <c r="F16" s="92" t="e">
        <f t="shared" si="2"/>
        <v>#REF!</v>
      </c>
      <c r="G16" s="92" t="e">
        <f t="shared" si="2"/>
        <v>#REF!</v>
      </c>
      <c r="H16" s="92" t="e">
        <f t="shared" si="2"/>
        <v>#REF!</v>
      </c>
      <c r="I16" s="92" t="e">
        <f t="shared" si="2"/>
        <v>#REF!</v>
      </c>
      <c r="J16" s="92" t="e">
        <f t="shared" si="2"/>
        <v>#REF!</v>
      </c>
      <c r="K16" s="92" t="e">
        <f t="shared" si="2"/>
        <v>#REF!</v>
      </c>
      <c r="L16" s="92" t="e">
        <f t="shared" si="2"/>
        <v>#REF!</v>
      </c>
      <c r="M16" s="92">
        <f t="shared" si="2"/>
        <v>330470740.98775512</v>
      </c>
      <c r="N16" s="66"/>
    </row>
    <row r="17" spans="1:15" ht="16.5" customHeight="1">
      <c r="B17" s="31" t="s">
        <v>89</v>
      </c>
      <c r="C17" s="28">
        <f>-C9</f>
        <v>1532142.857142857</v>
      </c>
      <c r="D17" s="28">
        <f t="shared" ref="D17:M19" si="3">-D9</f>
        <v>1532142.857142857</v>
      </c>
      <c r="E17" s="28">
        <f t="shared" si="3"/>
        <v>1532142.857142857</v>
      </c>
      <c r="F17" s="28">
        <f t="shared" si="3"/>
        <v>1532142.857142857</v>
      </c>
      <c r="G17" s="28">
        <f t="shared" si="3"/>
        <v>1532142.857142857</v>
      </c>
      <c r="H17" s="28">
        <f t="shared" si="3"/>
        <v>1532142.857142857</v>
      </c>
      <c r="I17" s="28">
        <f t="shared" si="3"/>
        <v>1532142.857142857</v>
      </c>
      <c r="J17" s="28">
        <f t="shared" si="3"/>
        <v>1532142.857142857</v>
      </c>
      <c r="K17" s="28">
        <f t="shared" si="3"/>
        <v>1532142.857142857</v>
      </c>
      <c r="L17" s="28">
        <f t="shared" si="3"/>
        <v>1532142.857142857</v>
      </c>
      <c r="M17" s="28">
        <f t="shared" si="3"/>
        <v>1532142.857142857</v>
      </c>
      <c r="N17" s="66"/>
    </row>
    <row r="18" spans="1:15" ht="16.5" customHeight="1">
      <c r="B18" s="31" t="s">
        <v>87</v>
      </c>
      <c r="C18" s="28">
        <f>-C10</f>
        <v>0</v>
      </c>
      <c r="D18" s="28">
        <f t="shared" si="3"/>
        <v>0</v>
      </c>
      <c r="E18" s="28">
        <f t="shared" si="3"/>
        <v>0</v>
      </c>
      <c r="F18" s="28">
        <f t="shared" si="3"/>
        <v>0</v>
      </c>
      <c r="G18" s="28">
        <f t="shared" si="3"/>
        <v>0</v>
      </c>
      <c r="H18" s="28">
        <f t="shared" si="3"/>
        <v>0</v>
      </c>
      <c r="I18" s="28">
        <f t="shared" si="3"/>
        <v>0</v>
      </c>
      <c r="J18" s="28">
        <f t="shared" si="3"/>
        <v>0</v>
      </c>
      <c r="K18" s="28">
        <f t="shared" si="3"/>
        <v>0</v>
      </c>
      <c r="L18" s="28">
        <f t="shared" si="3"/>
        <v>0</v>
      </c>
      <c r="M18" s="28">
        <f t="shared" si="3"/>
        <v>0</v>
      </c>
      <c r="N18" s="66"/>
    </row>
    <row r="19" spans="1:15" ht="16.5" customHeight="1">
      <c r="B19" s="31" t="s">
        <v>71</v>
      </c>
      <c r="C19" s="28">
        <f>-C11</f>
        <v>0</v>
      </c>
      <c r="D19" s="28" t="e">
        <f t="shared" si="3"/>
        <v>#REF!</v>
      </c>
      <c r="E19" s="28" t="e">
        <f t="shared" si="3"/>
        <v>#REF!</v>
      </c>
      <c r="F19" s="28" t="e">
        <f t="shared" si="3"/>
        <v>#REF!</v>
      </c>
      <c r="G19" s="28" t="e">
        <f t="shared" si="3"/>
        <v>#REF!</v>
      </c>
      <c r="H19" s="28" t="e">
        <f t="shared" si="3"/>
        <v>#REF!</v>
      </c>
      <c r="I19" s="28" t="e">
        <f t="shared" si="3"/>
        <v>#REF!</v>
      </c>
      <c r="J19" s="28" t="e">
        <f t="shared" si="3"/>
        <v>#REF!</v>
      </c>
      <c r="K19" s="28" t="e">
        <f t="shared" si="3"/>
        <v>#REF!</v>
      </c>
      <c r="L19" s="28" t="e">
        <f t="shared" si="3"/>
        <v>#REF!</v>
      </c>
      <c r="M19" s="28">
        <f t="shared" si="3"/>
        <v>0</v>
      </c>
      <c r="N19" s="66"/>
    </row>
    <row r="20" spans="1:15" ht="16.5" customHeight="1">
      <c r="B20" s="106" t="s">
        <v>72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f>-'tabla amortización'!D16</f>
        <v>0</v>
      </c>
      <c r="N20" s="66"/>
    </row>
    <row r="21" spans="1:15" ht="15.75">
      <c r="B21" s="105" t="s">
        <v>73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66"/>
    </row>
    <row r="22" spans="1:15" ht="15.75">
      <c r="B22" s="105" t="s">
        <v>92</v>
      </c>
      <c r="C22" s="13">
        <v>0</v>
      </c>
      <c r="D22" s="13" t="e">
        <f>-#REF!</f>
        <v>#REF!</v>
      </c>
      <c r="E22" s="13" t="e">
        <f>-#REF!</f>
        <v>#REF!</v>
      </c>
      <c r="F22" s="13" t="e">
        <f>-#REF!</f>
        <v>#REF!</v>
      </c>
      <c r="G22" s="13" t="e">
        <f>-#REF!</f>
        <v>#REF!</v>
      </c>
      <c r="H22" s="13">
        <v>0</v>
      </c>
      <c r="I22" s="13" t="e">
        <f>-#REF!</f>
        <v>#REF!</v>
      </c>
      <c r="J22" s="13" t="e">
        <f>-#REF!</f>
        <v>#REF!</v>
      </c>
      <c r="K22" s="13" t="e">
        <f>-#REF!</f>
        <v>#REF!</v>
      </c>
      <c r="L22" s="13" t="e">
        <f>-#REF!</f>
        <v>#REF!</v>
      </c>
      <c r="M22" s="13">
        <v>0</v>
      </c>
      <c r="N22" s="66"/>
    </row>
    <row r="23" spans="1:15" ht="15.75" customHeight="1">
      <c r="B23" s="30" t="s">
        <v>74</v>
      </c>
      <c r="C23" s="13">
        <f>-Actividad!E57</f>
        <v>-6681818.1818181816</v>
      </c>
      <c r="D23" s="13"/>
      <c r="E23" s="13"/>
      <c r="F23" s="13"/>
      <c r="G23" s="13"/>
      <c r="H23" s="13"/>
      <c r="I23" s="13"/>
      <c r="J23" s="13"/>
      <c r="K23" s="13"/>
      <c r="L23" s="13"/>
      <c r="M23" s="13">
        <f>-C23</f>
        <v>6681818.1818181816</v>
      </c>
      <c r="N23" s="66"/>
    </row>
    <row r="24" spans="1:15" ht="18" customHeight="1">
      <c r="B24" s="30" t="s">
        <v>76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 t="e">
        <f>(L27-(L17+L18))/C33</f>
        <v>#REF!</v>
      </c>
      <c r="N24" s="66"/>
      <c r="O24" s="68" t="s">
        <v>42</v>
      </c>
    </row>
    <row r="25" spans="1:15" ht="19.5" customHeight="1">
      <c r="B25" s="32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66"/>
      <c r="O25" s="71">
        <f>SUM(N3:N25)+D34</f>
        <v>0</v>
      </c>
    </row>
    <row r="26" spans="1:15" ht="15" customHeight="1" thickBot="1">
      <c r="B26" s="32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O26" s="71"/>
    </row>
    <row r="27" spans="1:15" ht="16.5" thickBot="1">
      <c r="B27" s="57" t="s">
        <v>27</v>
      </c>
      <c r="C27" s="97" t="e">
        <f>SUM(C16:C26)</f>
        <v>#REF!</v>
      </c>
      <c r="D27" s="97" t="e">
        <f t="shared" ref="D27:M27" si="4">SUM(D16:D26)</f>
        <v>#REF!</v>
      </c>
      <c r="E27" s="97" t="e">
        <f t="shared" si="4"/>
        <v>#REF!</v>
      </c>
      <c r="F27" s="97" t="e">
        <f t="shared" si="4"/>
        <v>#REF!</v>
      </c>
      <c r="G27" s="97" t="e">
        <f t="shared" si="4"/>
        <v>#REF!</v>
      </c>
      <c r="H27" s="97" t="e">
        <f>SUM(H16:H26)</f>
        <v>#REF!</v>
      </c>
      <c r="I27" s="97" t="e">
        <f t="shared" si="4"/>
        <v>#REF!</v>
      </c>
      <c r="J27" s="97" t="e">
        <f t="shared" si="4"/>
        <v>#REF!</v>
      </c>
      <c r="K27" s="97" t="e">
        <f t="shared" si="4"/>
        <v>#REF!</v>
      </c>
      <c r="L27" s="97" t="e">
        <f t="shared" si="4"/>
        <v>#REF!</v>
      </c>
      <c r="M27" s="97" t="e">
        <f t="shared" si="4"/>
        <v>#REF!</v>
      </c>
    </row>
    <row r="28" spans="1:15" ht="16.5" thickBot="1">
      <c r="B28" s="100" t="s">
        <v>34</v>
      </c>
      <c r="C28" s="101" t="e">
        <f>C27*((1+$C$33)^-C2)</f>
        <v>#REF!</v>
      </c>
      <c r="D28" s="98" t="e">
        <f>D27*((1+$C$33)^-D2)</f>
        <v>#REF!</v>
      </c>
      <c r="E28" s="98" t="e">
        <f t="shared" ref="E28:M28" si="5">E27*((1+$C$33)^-E2)</f>
        <v>#REF!</v>
      </c>
      <c r="F28" s="98" t="e">
        <f t="shared" si="5"/>
        <v>#REF!</v>
      </c>
      <c r="G28" s="98" t="e">
        <f t="shared" si="5"/>
        <v>#REF!</v>
      </c>
      <c r="H28" s="98" t="e">
        <f>H27*((1+$C$33)^-H2)</f>
        <v>#REF!</v>
      </c>
      <c r="I28" s="98" t="e">
        <f t="shared" si="5"/>
        <v>#REF!</v>
      </c>
      <c r="J28" s="98" t="e">
        <f t="shared" si="5"/>
        <v>#REF!</v>
      </c>
      <c r="K28" s="98" t="e">
        <f t="shared" si="5"/>
        <v>#REF!</v>
      </c>
      <c r="L28" s="98" t="e">
        <f t="shared" si="5"/>
        <v>#REF!</v>
      </c>
      <c r="M28" s="98" t="e">
        <f t="shared" si="5"/>
        <v>#REF!</v>
      </c>
    </row>
    <row r="29" spans="1:15" ht="16.5" thickBot="1">
      <c r="B29" s="100" t="s">
        <v>35</v>
      </c>
      <c r="C29" s="101" t="e">
        <f>C28</f>
        <v>#REF!</v>
      </c>
      <c r="D29" s="102" t="e">
        <f>C29+D28</f>
        <v>#REF!</v>
      </c>
      <c r="E29" s="102" t="e">
        <f>D29+E28</f>
        <v>#REF!</v>
      </c>
      <c r="F29" s="102" t="e">
        <f t="shared" ref="F29:L29" si="6">E29+F28</f>
        <v>#REF!</v>
      </c>
      <c r="G29" s="102" t="e">
        <f t="shared" si="6"/>
        <v>#REF!</v>
      </c>
      <c r="H29" s="102" t="e">
        <f t="shared" si="6"/>
        <v>#REF!</v>
      </c>
      <c r="I29" s="98" t="e">
        <f>H29+I28</f>
        <v>#REF!</v>
      </c>
      <c r="J29" s="98" t="e">
        <f>I29+J28</f>
        <v>#REF!</v>
      </c>
      <c r="K29" s="98" t="e">
        <f>J29+K28</f>
        <v>#REF!</v>
      </c>
      <c r="L29" s="98" t="e">
        <f t="shared" si="6"/>
        <v>#REF!</v>
      </c>
      <c r="M29" s="98" t="e">
        <f>L29+M28</f>
        <v>#REF!</v>
      </c>
    </row>
    <row r="31" spans="1:15">
      <c r="A31" t="s">
        <v>78</v>
      </c>
      <c r="B31" t="s">
        <v>79</v>
      </c>
    </row>
    <row r="32" spans="1:15" ht="15.75" thickBot="1"/>
    <row r="33" spans="2:12" ht="15.75" thickBot="1">
      <c r="B33" t="s">
        <v>80</v>
      </c>
      <c r="C33" s="79">
        <v>0.28000000000000003</v>
      </c>
      <c r="D33" s="66" t="s">
        <v>33</v>
      </c>
      <c r="G33" s="120" t="s">
        <v>94</v>
      </c>
      <c r="H33" s="121"/>
      <c r="I33" s="121"/>
      <c r="J33" s="121"/>
      <c r="K33" s="121"/>
      <c r="L33" s="122"/>
    </row>
    <row r="34" spans="2:12">
      <c r="B34" s="33" t="s">
        <v>34</v>
      </c>
      <c r="C34" s="99" t="e">
        <f>SUM(C28:M28)</f>
        <v>#REF!</v>
      </c>
      <c r="D34" s="66"/>
      <c r="E34" s="94" t="e">
        <f>NPV(C33,D27:M27)+C27</f>
        <v>#REF!</v>
      </c>
    </row>
    <row r="35" spans="2:12" ht="15.75" thickBot="1">
      <c r="B35" s="34" t="s">
        <v>35</v>
      </c>
      <c r="C35" s="35">
        <v>6</v>
      </c>
      <c r="D35" s="66"/>
    </row>
    <row r="36" spans="2:12" ht="21">
      <c r="D36" s="67">
        <f>SUM(D34:D35)</f>
        <v>0</v>
      </c>
    </row>
  </sheetData>
  <mergeCells count="1">
    <mergeCell ref="G33:L3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/>
  <dimension ref="A1:O22"/>
  <sheetViews>
    <sheetView workbookViewId="0">
      <selection activeCell="E14" sqref="E14"/>
    </sheetView>
  </sheetViews>
  <sheetFormatPr baseColWidth="10" defaultRowHeight="15"/>
  <cols>
    <col min="3" max="3" width="12" bestFit="1" customWidth="1"/>
    <col min="4" max="5" width="12.7109375" bestFit="1" customWidth="1"/>
    <col min="6" max="6" width="13.7109375" bestFit="1" customWidth="1"/>
    <col min="8" max="8" width="13.140625" bestFit="1" customWidth="1"/>
    <col min="9" max="9" width="14.42578125" bestFit="1" customWidth="1"/>
    <col min="14" max="14" width="16.7109375" bestFit="1" customWidth="1"/>
  </cols>
  <sheetData>
    <row r="1" spans="1:15">
      <c r="A1" s="38" t="s">
        <v>41</v>
      </c>
      <c r="B1" s="38"/>
      <c r="C1" s="38"/>
      <c r="D1" s="38"/>
      <c r="E1" s="38"/>
      <c r="F1" s="38"/>
    </row>
    <row r="2" spans="1:15" ht="18.75">
      <c r="N2" s="65" t="s">
        <v>39</v>
      </c>
      <c r="O2" s="65"/>
    </row>
    <row r="3" spans="1:15">
      <c r="H3" s="26" t="s">
        <v>58</v>
      </c>
    </row>
    <row r="4" spans="1:15">
      <c r="H4" s="19" t="s">
        <v>57</v>
      </c>
      <c r="I4" s="80" t="e">
        <f>#REF!*70%</f>
        <v>#REF!</v>
      </c>
    </row>
    <row r="5" spans="1:15">
      <c r="B5" s="26" t="s">
        <v>53</v>
      </c>
      <c r="C5" s="26" t="s">
        <v>54</v>
      </c>
      <c r="D5" s="26" t="s">
        <v>55</v>
      </c>
      <c r="E5" s="26" t="s">
        <v>56</v>
      </c>
      <c r="F5" s="26" t="s">
        <v>57</v>
      </c>
      <c r="H5" s="19" t="s">
        <v>56</v>
      </c>
      <c r="I5" s="81">
        <v>0.2</v>
      </c>
    </row>
    <row r="6" spans="1:15">
      <c r="B6" s="19">
        <v>0</v>
      </c>
      <c r="C6" s="19"/>
      <c r="D6" s="80">
        <v>0</v>
      </c>
      <c r="E6" s="80">
        <v>0</v>
      </c>
      <c r="F6" s="82" t="e">
        <f>I4</f>
        <v>#REF!</v>
      </c>
      <c r="H6" s="19" t="s">
        <v>53</v>
      </c>
      <c r="I6" s="19">
        <v>8</v>
      </c>
    </row>
    <row r="7" spans="1:15">
      <c r="B7" s="19">
        <v>1</v>
      </c>
      <c r="C7" s="82" t="e">
        <f>$H$11</f>
        <v>#REF!</v>
      </c>
      <c r="D7" s="82" t="e">
        <f>C7-E7</f>
        <v>#REF!</v>
      </c>
      <c r="E7" s="82" t="e">
        <f>F6*$I$5</f>
        <v>#REF!</v>
      </c>
      <c r="F7" s="82" t="e">
        <f>F6-D7</f>
        <v>#REF!</v>
      </c>
      <c r="H7" s="19"/>
      <c r="I7" s="19"/>
    </row>
    <row r="8" spans="1:15">
      <c r="B8" s="19">
        <v>2</v>
      </c>
      <c r="C8" s="82" t="e">
        <f t="shared" ref="C8:C14" si="0">$H$11</f>
        <v>#REF!</v>
      </c>
      <c r="D8" s="82" t="e">
        <f t="shared" ref="D8:D14" si="1">C8-E8</f>
        <v>#REF!</v>
      </c>
      <c r="E8" s="82" t="e">
        <f t="shared" ref="E8:E14" si="2">F7*$I$5</f>
        <v>#REF!</v>
      </c>
      <c r="F8" s="82" t="e">
        <f>F7-D8</f>
        <v>#REF!</v>
      </c>
      <c r="H8" s="19"/>
      <c r="I8" s="19"/>
    </row>
    <row r="9" spans="1:15">
      <c r="B9" s="19">
        <v>3</v>
      </c>
      <c r="C9" s="82" t="e">
        <f t="shared" si="0"/>
        <v>#REF!</v>
      </c>
      <c r="D9" s="82" t="e">
        <f t="shared" si="1"/>
        <v>#REF!</v>
      </c>
      <c r="E9" s="82" t="e">
        <f t="shared" si="2"/>
        <v>#REF!</v>
      </c>
      <c r="F9" s="82" t="e">
        <f t="shared" ref="F9:F13" si="3">F8-D9</f>
        <v>#REF!</v>
      </c>
    </row>
    <row r="10" spans="1:15">
      <c r="B10" s="19">
        <v>4</v>
      </c>
      <c r="C10" s="82" t="e">
        <f t="shared" si="0"/>
        <v>#REF!</v>
      </c>
      <c r="D10" s="82" t="e">
        <f t="shared" si="1"/>
        <v>#REF!</v>
      </c>
      <c r="E10" s="82" t="e">
        <f t="shared" si="2"/>
        <v>#REF!</v>
      </c>
      <c r="F10" s="82" t="e">
        <f t="shared" si="3"/>
        <v>#REF!</v>
      </c>
      <c r="H10" s="26" t="s">
        <v>54</v>
      </c>
      <c r="I10" s="123"/>
      <c r="J10" s="124"/>
      <c r="K10" s="124"/>
    </row>
    <row r="11" spans="1:15">
      <c r="B11" s="19">
        <v>5</v>
      </c>
      <c r="C11" s="82" t="e">
        <f t="shared" si="0"/>
        <v>#REF!</v>
      </c>
      <c r="D11" s="82" t="e">
        <f t="shared" si="1"/>
        <v>#REF!</v>
      </c>
      <c r="E11" s="82" t="e">
        <f t="shared" si="2"/>
        <v>#REF!</v>
      </c>
      <c r="F11" s="82" t="e">
        <f t="shared" si="3"/>
        <v>#REF!</v>
      </c>
      <c r="H11" s="80" t="e">
        <f>I4*(I16/I17)</f>
        <v>#REF!</v>
      </c>
      <c r="I11" s="83" t="e">
        <f>PMT(I5,I6,I4)</f>
        <v>#REF!</v>
      </c>
    </row>
    <row r="12" spans="1:15">
      <c r="B12" s="19">
        <v>6</v>
      </c>
      <c r="C12" s="82" t="e">
        <f t="shared" si="0"/>
        <v>#REF!</v>
      </c>
      <c r="D12" s="82" t="e">
        <f t="shared" si="1"/>
        <v>#REF!</v>
      </c>
      <c r="E12" s="82" t="e">
        <f t="shared" si="2"/>
        <v>#REF!</v>
      </c>
      <c r="F12" s="82" t="e">
        <f t="shared" si="3"/>
        <v>#REF!</v>
      </c>
    </row>
    <row r="13" spans="1:15">
      <c r="B13" s="19">
        <v>7</v>
      </c>
      <c r="C13" s="82" t="e">
        <f t="shared" si="0"/>
        <v>#REF!</v>
      </c>
      <c r="D13" s="82" t="e">
        <f t="shared" si="1"/>
        <v>#REF!</v>
      </c>
      <c r="E13" s="82" t="e">
        <f t="shared" si="2"/>
        <v>#REF!</v>
      </c>
      <c r="F13" s="82" t="e">
        <f t="shared" si="3"/>
        <v>#REF!</v>
      </c>
    </row>
    <row r="14" spans="1:15">
      <c r="B14" s="19">
        <v>8</v>
      </c>
      <c r="C14" s="82" t="e">
        <f t="shared" si="0"/>
        <v>#REF!</v>
      </c>
      <c r="D14" s="82" t="e">
        <f t="shared" si="1"/>
        <v>#REF!</v>
      </c>
      <c r="E14" s="82" t="e">
        <f t="shared" si="2"/>
        <v>#REF!</v>
      </c>
      <c r="F14" s="82" t="e">
        <f>F13-D14</f>
        <v>#REF!</v>
      </c>
      <c r="H14" s="125" t="s">
        <v>81</v>
      </c>
      <c r="I14" s="125"/>
    </row>
    <row r="15" spans="1:15">
      <c r="B15" s="19"/>
      <c r="C15" s="82"/>
      <c r="D15" s="82"/>
      <c r="E15" s="82"/>
      <c r="F15" s="82"/>
    </row>
    <row r="16" spans="1:15">
      <c r="B16" s="19"/>
      <c r="C16" s="82"/>
      <c r="D16" s="82"/>
      <c r="E16" s="82"/>
      <c r="F16" s="82"/>
      <c r="H16" t="s">
        <v>82</v>
      </c>
      <c r="I16">
        <f>(I5*((1+I5)^I6))</f>
        <v>0.85996339199999994</v>
      </c>
    </row>
    <row r="17" spans="2:9">
      <c r="B17" s="19"/>
      <c r="C17" s="82"/>
      <c r="D17" s="82"/>
      <c r="E17" s="82"/>
      <c r="F17" s="82"/>
      <c r="H17" t="s">
        <v>83</v>
      </c>
      <c r="I17">
        <f>((I5+1)^I6)-1</f>
        <v>3.2998169599999994</v>
      </c>
    </row>
    <row r="18" spans="2:9">
      <c r="B18" s="19"/>
      <c r="C18" s="82"/>
      <c r="D18" s="82"/>
      <c r="E18" s="82"/>
      <c r="F18" s="82"/>
    </row>
    <row r="19" spans="2:9">
      <c r="B19" s="19"/>
      <c r="C19" s="82"/>
      <c r="D19" s="82"/>
      <c r="E19" s="82"/>
      <c r="F19" s="82"/>
    </row>
    <row r="20" spans="2:9">
      <c r="B20" s="19"/>
      <c r="C20" s="82"/>
      <c r="D20" s="82"/>
      <c r="E20" s="82"/>
      <c r="F20" s="82"/>
    </row>
    <row r="21" spans="2:9">
      <c r="B21" s="19"/>
      <c r="C21" s="82"/>
      <c r="D21" s="82"/>
      <c r="E21" s="82"/>
      <c r="F21" s="82"/>
    </row>
    <row r="22" spans="2:9">
      <c r="B22" s="19"/>
      <c r="C22" s="82"/>
      <c r="D22" s="82"/>
      <c r="E22" s="82"/>
      <c r="F22" s="82"/>
    </row>
  </sheetData>
  <mergeCells count="2">
    <mergeCell ref="I10:K10"/>
    <mergeCell ref="H14:I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22"/>
  <sheetViews>
    <sheetView workbookViewId="0">
      <selection activeCell="F7" sqref="F7"/>
    </sheetView>
  </sheetViews>
  <sheetFormatPr baseColWidth="10" defaultRowHeight="15"/>
  <cols>
    <col min="8" max="8" width="13.140625" bestFit="1" customWidth="1"/>
    <col min="9" max="9" width="14.42578125" bestFit="1" customWidth="1"/>
    <col min="10" max="12" width="12" bestFit="1" customWidth="1"/>
    <col min="14" max="14" width="16.7109375" bestFit="1" customWidth="1"/>
  </cols>
  <sheetData>
    <row r="1" spans="1:15">
      <c r="A1" s="38" t="s">
        <v>41</v>
      </c>
      <c r="B1" s="38"/>
      <c r="C1" s="38"/>
      <c r="D1" s="38"/>
      <c r="E1" s="38"/>
      <c r="F1" s="38"/>
    </row>
    <row r="2" spans="1:15" ht="18.75">
      <c r="H2" t="s">
        <v>93</v>
      </c>
      <c r="N2" s="65" t="s">
        <v>39</v>
      </c>
      <c r="O2" s="65"/>
    </row>
    <row r="3" spans="1:15">
      <c r="H3" s="26" t="s">
        <v>58</v>
      </c>
    </row>
    <row r="4" spans="1:15">
      <c r="H4" s="19" t="s">
        <v>57</v>
      </c>
      <c r="I4" s="80" t="e">
        <f>#REF!</f>
        <v>#REF!</v>
      </c>
    </row>
    <row r="5" spans="1:15">
      <c r="B5" s="26" t="s">
        <v>53</v>
      </c>
      <c r="C5" s="26" t="s">
        <v>54</v>
      </c>
      <c r="D5" s="26" t="s">
        <v>55</v>
      </c>
      <c r="E5" s="26" t="s">
        <v>56</v>
      </c>
      <c r="F5" s="26" t="s">
        <v>57</v>
      </c>
      <c r="H5" s="19" t="s">
        <v>56</v>
      </c>
      <c r="I5" s="81">
        <v>0.15</v>
      </c>
    </row>
    <row r="6" spans="1:15">
      <c r="B6" s="19"/>
      <c r="C6" s="19"/>
      <c r="D6" s="19"/>
      <c r="E6" s="19"/>
      <c r="F6" s="82"/>
      <c r="H6" s="19" t="s">
        <v>53</v>
      </c>
      <c r="I6" s="19">
        <v>5</v>
      </c>
    </row>
    <row r="7" spans="1:15">
      <c r="B7" s="19"/>
      <c r="C7" s="82"/>
      <c r="D7" s="82"/>
      <c r="E7" s="82"/>
      <c r="F7" s="82"/>
      <c r="H7" s="19"/>
      <c r="I7" s="19"/>
    </row>
    <row r="8" spans="1:15">
      <c r="B8" s="19"/>
      <c r="C8" s="82"/>
      <c r="D8" s="82"/>
      <c r="E8" s="82"/>
      <c r="F8" s="82"/>
      <c r="H8" s="19"/>
      <c r="I8" s="19"/>
    </row>
    <row r="9" spans="1:15">
      <c r="B9" s="19"/>
      <c r="C9" s="82"/>
      <c r="D9" s="82"/>
      <c r="E9" s="82"/>
      <c r="F9" s="82"/>
    </row>
    <row r="10" spans="1:15">
      <c r="B10" s="19"/>
      <c r="C10" s="82"/>
      <c r="D10" s="82"/>
      <c r="E10" s="82"/>
      <c r="F10" s="82"/>
      <c r="H10" s="26" t="s">
        <v>54</v>
      </c>
      <c r="I10" s="123"/>
      <c r="J10" s="124"/>
      <c r="K10" s="124"/>
    </row>
    <row r="11" spans="1:15">
      <c r="B11" s="19"/>
      <c r="C11" s="82"/>
      <c r="D11" s="82"/>
      <c r="E11" s="82"/>
      <c r="F11" s="82"/>
      <c r="H11" s="80" t="e">
        <f>I4*(I16/I17)</f>
        <v>#REF!</v>
      </c>
      <c r="I11" s="83" t="e">
        <f>PMT(I5,I6,I4)</f>
        <v>#REF!</v>
      </c>
    </row>
    <row r="12" spans="1:15">
      <c r="B12" s="19"/>
      <c r="C12" s="82"/>
      <c r="D12" s="82"/>
      <c r="E12" s="82"/>
      <c r="F12" s="82"/>
    </row>
    <row r="13" spans="1:15">
      <c r="B13" s="19"/>
      <c r="C13" s="82"/>
      <c r="D13" s="82"/>
      <c r="E13" s="82"/>
      <c r="F13" s="82"/>
    </row>
    <row r="14" spans="1:15">
      <c r="B14" s="19"/>
      <c r="C14" s="82"/>
      <c r="D14" s="82"/>
      <c r="E14" s="82"/>
      <c r="F14" s="82"/>
      <c r="H14" s="125" t="s">
        <v>81</v>
      </c>
      <c r="I14" s="125"/>
    </row>
    <row r="15" spans="1:15">
      <c r="B15" s="19"/>
      <c r="C15" s="82"/>
      <c r="D15" s="82"/>
      <c r="E15" s="82"/>
      <c r="F15" s="82"/>
    </row>
    <row r="16" spans="1:15">
      <c r="B16" s="19"/>
      <c r="C16" s="82"/>
      <c r="D16" s="82"/>
      <c r="E16" s="82"/>
      <c r="F16" s="82"/>
      <c r="H16" t="s">
        <v>82</v>
      </c>
      <c r="I16">
        <f>(I5*((1+I5)^I6))</f>
        <v>0.30170357812499987</v>
      </c>
    </row>
    <row r="17" spans="2:12">
      <c r="B17" s="19"/>
      <c r="C17" s="82"/>
      <c r="D17" s="82"/>
      <c r="E17" s="82"/>
      <c r="F17" s="82"/>
      <c r="H17" t="s">
        <v>83</v>
      </c>
      <c r="I17">
        <f>((I5+1)^I6)-1</f>
        <v>1.0113571874999994</v>
      </c>
    </row>
    <row r="18" spans="2:12">
      <c r="B18" s="19"/>
      <c r="C18" s="82"/>
      <c r="D18" s="82"/>
      <c r="E18" s="82"/>
      <c r="F18" s="82"/>
    </row>
    <row r="19" spans="2:12">
      <c r="B19" s="19"/>
      <c r="C19" s="82"/>
      <c r="D19" s="82"/>
      <c r="E19" s="82"/>
      <c r="F19" s="82"/>
      <c r="H19">
        <v>1</v>
      </c>
      <c r="I19">
        <v>2</v>
      </c>
      <c r="J19">
        <v>3</v>
      </c>
      <c r="K19">
        <v>4</v>
      </c>
      <c r="L19">
        <v>5</v>
      </c>
    </row>
    <row r="20" spans="2:12">
      <c r="B20" s="19"/>
      <c r="C20" s="82"/>
      <c r="D20" s="82"/>
      <c r="E20" s="82"/>
      <c r="F20" s="82"/>
      <c r="H20" s="107" t="e">
        <f>$H$11</f>
        <v>#REF!</v>
      </c>
      <c r="I20" s="107" t="e">
        <f t="shared" ref="I20:K20" si="0">$H$11</f>
        <v>#REF!</v>
      </c>
      <c r="J20" s="107" t="e">
        <f t="shared" si="0"/>
        <v>#REF!</v>
      </c>
      <c r="K20" s="107" t="e">
        <f t="shared" si="0"/>
        <v>#REF!</v>
      </c>
      <c r="L20" s="107" t="e">
        <f>$H$11+5000000</f>
        <v>#REF!</v>
      </c>
    </row>
    <row r="21" spans="2:12">
      <c r="B21" s="19"/>
      <c r="C21" s="82"/>
      <c r="D21" s="82"/>
      <c r="E21" s="82"/>
      <c r="F21" s="82"/>
    </row>
    <row r="22" spans="2:12">
      <c r="B22" s="19"/>
      <c r="C22" s="82"/>
      <c r="D22" s="82"/>
      <c r="E22" s="82"/>
      <c r="F22" s="82"/>
    </row>
  </sheetData>
  <mergeCells count="2">
    <mergeCell ref="I10:K10"/>
    <mergeCell ref="H14:I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Hoja7"/>
  <dimension ref="B3:F11"/>
  <sheetViews>
    <sheetView showGridLines="0" workbookViewId="0">
      <selection activeCell="F4" sqref="F4"/>
    </sheetView>
  </sheetViews>
  <sheetFormatPr baseColWidth="10" defaultRowHeight="15"/>
  <cols>
    <col min="2" max="2" width="31.85546875" customWidth="1"/>
    <col min="3" max="3" width="22.28515625" customWidth="1"/>
  </cols>
  <sheetData>
    <row r="3" spans="2:6" ht="23.25">
      <c r="B3" s="42"/>
      <c r="C3" s="61" t="s">
        <v>37</v>
      </c>
      <c r="F3" t="s">
        <v>95</v>
      </c>
    </row>
    <row r="4" spans="2:6" ht="36.75" customHeight="1">
      <c r="B4" s="60" t="s">
        <v>59</v>
      </c>
      <c r="C4" s="61">
        <f>'Alternativa 1'!O27</f>
        <v>0</v>
      </c>
    </row>
    <row r="5" spans="2:6" ht="36.75" customHeight="1">
      <c r="B5" s="60" t="s">
        <v>60</v>
      </c>
      <c r="C5" s="61">
        <f>'Alternativa 2'!O25</f>
        <v>0</v>
      </c>
    </row>
    <row r="6" spans="2:6" ht="36.75" customHeight="1">
      <c r="B6" s="60" t="s">
        <v>61</v>
      </c>
      <c r="C6" s="61">
        <f>'Alternativa 3'!O25</f>
        <v>0</v>
      </c>
    </row>
    <row r="7" spans="2:6" ht="36.75" customHeight="1">
      <c r="B7" s="60" t="s">
        <v>62</v>
      </c>
      <c r="C7" s="61">
        <f>Actividad!P52</f>
        <v>0</v>
      </c>
    </row>
    <row r="8" spans="2:6" ht="36.75" customHeight="1">
      <c r="B8" s="60" t="s">
        <v>36</v>
      </c>
      <c r="C8" s="61" t="e">
        <f>Calendarios!T42+#REF!</f>
        <v>#REF!</v>
      </c>
    </row>
    <row r="9" spans="2:6" ht="36.75" customHeight="1">
      <c r="B9" s="60" t="s">
        <v>40</v>
      </c>
      <c r="C9" s="61">
        <f>'tabla amortización'!O2+'tabla amortización 2'!O2</f>
        <v>0</v>
      </c>
    </row>
    <row r="11" spans="2:6" ht="28.5">
      <c r="B11" s="72" t="s">
        <v>38</v>
      </c>
      <c r="C11" s="73" t="e">
        <f>SUM(C4:C9)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Activos</vt:lpstr>
      <vt:lpstr>Actividad</vt:lpstr>
      <vt:lpstr>Calendarios</vt:lpstr>
      <vt:lpstr>Alternativa 1</vt:lpstr>
      <vt:lpstr>Alternativa 2</vt:lpstr>
      <vt:lpstr>Alternativa 3</vt:lpstr>
      <vt:lpstr>tabla amortización</vt:lpstr>
      <vt:lpstr>tabla amortización 2</vt:lpstr>
      <vt:lpstr>PUNTAJES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2017-04-27T22:57:41Z</dcterms:modified>
</cp:coreProperties>
</file>