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530" activeTab="1"/>
  </bookViews>
  <sheets>
    <sheet name="Activos" sheetId="2" r:id="rId1"/>
    <sheet name="Actividad" sheetId="1" r:id="rId2"/>
    <sheet name="Calendarios" sheetId="3" r:id="rId3"/>
    <sheet name="Flujo" sheetId="4" r:id="rId4"/>
    <sheet name="tabla amortización" sheetId="6" r:id="rId5"/>
  </sheets>
  <calcPr calcId="124519"/>
</workbook>
</file>

<file path=xl/calcChain.xml><?xml version="1.0" encoding="utf-8"?>
<calcChain xmlns="http://schemas.openxmlformats.org/spreadsheetml/2006/main">
  <c r="H11" i="6"/>
  <c r="D50" i="1"/>
  <c r="F24"/>
  <c r="G24"/>
  <c r="H24"/>
  <c r="I24"/>
  <c r="J24"/>
  <c r="K24"/>
  <c r="L24"/>
  <c r="E24"/>
  <c r="F37"/>
  <c r="G37"/>
  <c r="H37"/>
  <c r="I37"/>
  <c r="J37"/>
  <c r="K37"/>
  <c r="L37"/>
  <c r="E37"/>
  <c r="E30"/>
  <c r="F30"/>
  <c r="C7" i="4"/>
  <c r="C17"/>
  <c r="J21" l="1"/>
  <c r="F20" i="1"/>
  <c r="G20" s="1"/>
  <c r="H20" s="1"/>
  <c r="I20" s="1"/>
  <c r="J20" s="1"/>
  <c r="K20" s="1"/>
  <c r="L20" s="1"/>
  <c r="D35"/>
  <c r="F35" s="1"/>
  <c r="L7" i="3"/>
  <c r="O35"/>
  <c r="K35"/>
  <c r="I17"/>
  <c r="H7"/>
  <c r="G34" i="1"/>
  <c r="F34"/>
  <c r="D19"/>
  <c r="F18"/>
  <c r="I17"/>
  <c r="J17"/>
  <c r="K17"/>
  <c r="L17"/>
  <c r="H17"/>
  <c r="D17"/>
  <c r="F17" s="1"/>
  <c r="G17" s="1"/>
  <c r="G35" l="1"/>
  <c r="H35" s="1"/>
  <c r="I35" s="1"/>
  <c r="J35" s="1"/>
  <c r="K35" s="1"/>
  <c r="L35" s="1"/>
  <c r="N17" i="3"/>
  <c r="M17"/>
  <c r="O17"/>
  <c r="J17"/>
  <c r="K17"/>
  <c r="G35"/>
  <c r="F35"/>
  <c r="E35"/>
  <c r="D35"/>
  <c r="B34"/>
  <c r="B35"/>
  <c r="G26"/>
  <c r="F26"/>
  <c r="E26"/>
  <c r="D26"/>
  <c r="B26"/>
  <c r="G17"/>
  <c r="F17"/>
  <c r="E17"/>
  <c r="D17"/>
  <c r="B17"/>
  <c r="G7"/>
  <c r="F7"/>
  <c r="E7"/>
  <c r="D7"/>
  <c r="B7"/>
  <c r="H34" i="1"/>
  <c r="I34" s="1"/>
  <c r="J34" s="1"/>
  <c r="K34" s="1"/>
  <c r="L34" s="1"/>
  <c r="F33"/>
  <c r="G33" s="1"/>
  <c r="H33" s="1"/>
  <c r="I33" s="1"/>
  <c r="J33" s="1"/>
  <c r="K33" s="1"/>
  <c r="L33" s="1"/>
  <c r="G16"/>
  <c r="F16"/>
  <c r="H31"/>
  <c r="I31"/>
  <c r="J31"/>
  <c r="K31"/>
  <c r="L31"/>
  <c r="G31"/>
  <c r="F31"/>
  <c r="F28"/>
  <c r="F29"/>
  <c r="G30"/>
  <c r="E53" l="1"/>
  <c r="C6" i="4"/>
  <c r="C19"/>
  <c r="I4" i="6"/>
  <c r="C18" i="4" s="1"/>
  <c r="C5"/>
  <c r="H30" i="1"/>
  <c r="D6" i="4"/>
  <c r="I16" i="1"/>
  <c r="H16"/>
  <c r="D4" i="4"/>
  <c r="E4"/>
  <c r="G4"/>
  <c r="H4"/>
  <c r="I4"/>
  <c r="C4"/>
  <c r="D9"/>
  <c r="E9"/>
  <c r="F9"/>
  <c r="H9"/>
  <c r="I9"/>
  <c r="C9"/>
  <c r="D16"/>
  <c r="E16"/>
  <c r="F16"/>
  <c r="H16"/>
  <c r="I16"/>
  <c r="C16"/>
  <c r="G34" i="3"/>
  <c r="F34"/>
  <c r="E34"/>
  <c r="J16" i="1" l="1"/>
  <c r="K16"/>
  <c r="I30"/>
  <c r="E6" i="4"/>
  <c r="L16" i="1" l="1"/>
  <c r="J30"/>
  <c r="F6" i="4"/>
  <c r="E16" i="3"/>
  <c r="F16"/>
  <c r="G16"/>
  <c r="G25"/>
  <c r="F25"/>
  <c r="E25"/>
  <c r="B25"/>
  <c r="B16"/>
  <c r="G6"/>
  <c r="F6"/>
  <c r="E6"/>
  <c r="B6"/>
  <c r="E7" i="2"/>
  <c r="D6" i="3" s="1"/>
  <c r="E33"/>
  <c r="F33"/>
  <c r="G33"/>
  <c r="E24"/>
  <c r="F24"/>
  <c r="G24"/>
  <c r="E15"/>
  <c r="F15"/>
  <c r="G15"/>
  <c r="B33"/>
  <c r="B24"/>
  <c r="B15"/>
  <c r="E5"/>
  <c r="F5"/>
  <c r="G5"/>
  <c r="B5"/>
  <c r="E6" i="2"/>
  <c r="D5" i="3" s="1"/>
  <c r="J42" i="1"/>
  <c r="G42"/>
  <c r="H42"/>
  <c r="I42"/>
  <c r="F42"/>
  <c r="C6"/>
  <c r="E4"/>
  <c r="E3"/>
  <c r="F3" s="1"/>
  <c r="D4"/>
  <c r="D6" s="1"/>
  <c r="M5" i="3" l="1"/>
  <c r="H5"/>
  <c r="D33"/>
  <c r="D24"/>
  <c r="D15"/>
  <c r="D34"/>
  <c r="K6"/>
  <c r="N6"/>
  <c r="O16" s="1"/>
  <c r="O25" s="1"/>
  <c r="H6"/>
  <c r="D25"/>
  <c r="D16"/>
  <c r="D41" i="1"/>
  <c r="C9"/>
  <c r="C12" s="1"/>
  <c r="G19" s="1"/>
  <c r="D5" i="4" s="1"/>
  <c r="E41" i="1"/>
  <c r="D9"/>
  <c r="D12" s="1"/>
  <c r="H19" s="1"/>
  <c r="E5" i="4" s="1"/>
  <c r="K30" i="1"/>
  <c r="G6" i="4"/>
  <c r="D44" i="1"/>
  <c r="D3" i="4" s="1"/>
  <c r="D45" i="1"/>
  <c r="E44"/>
  <c r="E50" s="1"/>
  <c r="E3" i="4" s="1"/>
  <c r="E45" i="1"/>
  <c r="E6"/>
  <c r="E9" s="1"/>
  <c r="E12" s="1"/>
  <c r="I19" s="1"/>
  <c r="F5" i="4" s="1"/>
  <c r="G3" i="1"/>
  <c r="G4"/>
  <c r="F4"/>
  <c r="I16" i="3" l="1"/>
  <c r="J16"/>
  <c r="M16"/>
  <c r="L16"/>
  <c r="O15"/>
  <c r="O24" s="1"/>
  <c r="N15"/>
  <c r="J15"/>
  <c r="L15"/>
  <c r="L24" s="1"/>
  <c r="I15"/>
  <c r="K15"/>
  <c r="L30" i="1"/>
  <c r="H6" i="4"/>
  <c r="F6" i="1"/>
  <c r="F9" s="1"/>
  <c r="F12" s="1"/>
  <c r="J19" s="1"/>
  <c r="G5" i="4" s="1"/>
  <c r="F41" i="1"/>
  <c r="H4"/>
  <c r="G6"/>
  <c r="G9" s="1"/>
  <c r="G12" s="1"/>
  <c r="K19" s="1"/>
  <c r="H5" i="4" s="1"/>
  <c r="H3" i="1"/>
  <c r="I19" i="3"/>
  <c r="D8" i="4" s="1"/>
  <c r="D15" s="1"/>
  <c r="M19" i="3"/>
  <c r="H8" i="4" s="1"/>
  <c r="H15" s="1"/>
  <c r="N19" i="3"/>
  <c r="I8" i="4" s="1"/>
  <c r="I15" s="1"/>
  <c r="R37" i="3"/>
  <c r="Q37"/>
  <c r="P37"/>
  <c r="O37"/>
  <c r="J4" i="4" s="1"/>
  <c r="N37" i="3"/>
  <c r="M37"/>
  <c r="L37"/>
  <c r="K37"/>
  <c r="F4" i="4" s="1"/>
  <c r="J37" i="3"/>
  <c r="I37"/>
  <c r="H37"/>
  <c r="R28"/>
  <c r="Q28"/>
  <c r="P28"/>
  <c r="O28"/>
  <c r="N28"/>
  <c r="M28"/>
  <c r="L28"/>
  <c r="K28"/>
  <c r="J28"/>
  <c r="I28"/>
  <c r="H28"/>
  <c r="R19"/>
  <c r="Q19"/>
  <c r="P19"/>
  <c r="O19"/>
  <c r="J8" i="4" s="1"/>
  <c r="J15" s="1"/>
  <c r="I17" i="6"/>
  <c r="I16"/>
  <c r="D33" i="4"/>
  <c r="O27" s="1"/>
  <c r="J9" l="1"/>
  <c r="J16"/>
  <c r="G9"/>
  <c r="G16"/>
  <c r="J6"/>
  <c r="I6"/>
  <c r="J19" i="3"/>
  <c r="E8" i="4" s="1"/>
  <c r="E15" s="1"/>
  <c r="K19" i="3"/>
  <c r="F8" i="4" s="1"/>
  <c r="F15" s="1"/>
  <c r="F44" i="1"/>
  <c r="F50" s="1"/>
  <c r="F3" i="4" s="1"/>
  <c r="F45" i="1"/>
  <c r="G41"/>
  <c r="H41"/>
  <c r="I3"/>
  <c r="H6"/>
  <c r="H9" s="1"/>
  <c r="H12" s="1"/>
  <c r="L19" s="1"/>
  <c r="I5" i="4" s="1"/>
  <c r="I4" i="1"/>
  <c r="I11" i="6"/>
  <c r="F6"/>
  <c r="C12"/>
  <c r="H19" i="3"/>
  <c r="C8" i="4" s="1"/>
  <c r="L19" i="3"/>
  <c r="G8" i="4" s="1"/>
  <c r="G15" s="1"/>
  <c r="C11" i="6" l="1"/>
  <c r="C7"/>
  <c r="C9"/>
  <c r="C13"/>
  <c r="C10"/>
  <c r="C8"/>
  <c r="C15" i="4"/>
  <c r="C12"/>
  <c r="H44" i="1"/>
  <c r="H50" s="1"/>
  <c r="H3" i="4" s="1"/>
  <c r="H45" i="1"/>
  <c r="G44"/>
  <c r="G45"/>
  <c r="I41"/>
  <c r="I6"/>
  <c r="I9" s="1"/>
  <c r="I12" s="1"/>
  <c r="J5" i="4" s="1"/>
  <c r="C20"/>
  <c r="D20" s="1"/>
  <c r="E7" i="6"/>
  <c r="S37" i="3"/>
  <c r="R9"/>
  <c r="D7" i="6" l="1"/>
  <c r="D17" i="4" s="1"/>
  <c r="D7"/>
  <c r="D12" s="1"/>
  <c r="D13" s="1"/>
  <c r="D14" s="1"/>
  <c r="C13"/>
  <c r="C14" s="1"/>
  <c r="C24" s="1"/>
  <c r="G50" i="1"/>
  <c r="G3" i="4" s="1"/>
  <c r="J41" i="1"/>
  <c r="I44"/>
  <c r="I50" s="1"/>
  <c r="I3" i="4" s="1"/>
  <c r="I45" i="1"/>
  <c r="F7" i="6" l="1"/>
  <c r="D24" i="4"/>
  <c r="D25" s="1"/>
  <c r="C25"/>
  <c r="J44" i="1"/>
  <c r="J50" s="1"/>
  <c r="J3" i="4" s="1"/>
  <c r="J45" i="1"/>
  <c r="E8" i="6"/>
  <c r="E7" i="4" s="1"/>
  <c r="E12" s="1"/>
  <c r="E13" s="1"/>
  <c r="E14" s="1"/>
  <c r="P73" i="1"/>
  <c r="D8" i="6" l="1"/>
  <c r="E17" i="4" s="1"/>
  <c r="E24" s="1"/>
  <c r="E25" s="1"/>
  <c r="F8" i="6" l="1"/>
  <c r="E9" s="1"/>
  <c r="F7" i="4" s="1"/>
  <c r="F12" s="1"/>
  <c r="F13" s="1"/>
  <c r="F14" s="1"/>
  <c r="H9" i="3"/>
  <c r="S28"/>
  <c r="S19"/>
  <c r="T10"/>
  <c r="T42" l="1"/>
  <c r="D9" i="6"/>
  <c r="F17" i="4" s="1"/>
  <c r="F24" s="1"/>
  <c r="I9" i="3"/>
  <c r="J9"/>
  <c r="K9"/>
  <c r="L9"/>
  <c r="M9"/>
  <c r="N9"/>
  <c r="O9"/>
  <c r="P9"/>
  <c r="Q9"/>
  <c r="F25" i="4" l="1"/>
  <c r="F9" i="6"/>
  <c r="E10" s="1"/>
  <c r="G7" i="4" s="1"/>
  <c r="G12" s="1"/>
  <c r="G13" s="1"/>
  <c r="G14" s="1"/>
  <c r="D10" i="6" l="1"/>
  <c r="G17" i="4" s="1"/>
  <c r="G24" s="1"/>
  <c r="G25" l="1"/>
  <c r="F10" i="6"/>
  <c r="E11" s="1"/>
  <c r="H7" i="4" s="1"/>
  <c r="H12" s="1"/>
  <c r="H13" s="1"/>
  <c r="H14" s="1"/>
  <c r="D11" i="6" l="1"/>
  <c r="H17" i="4" s="1"/>
  <c r="H24" s="1"/>
  <c r="H25" l="1"/>
  <c r="F11" i="6"/>
  <c r="E12" s="1"/>
  <c r="I7" i="4" s="1"/>
  <c r="I12" s="1"/>
  <c r="I13" s="1"/>
  <c r="I14" s="1"/>
  <c r="D12" i="6" l="1"/>
  <c r="I17" i="4" s="1"/>
  <c r="I24" s="1"/>
  <c r="I25" l="1"/>
  <c r="F12" i="6"/>
  <c r="E13" s="1"/>
  <c r="J7" i="4" s="1"/>
  <c r="J12" s="1"/>
  <c r="J13" s="1"/>
  <c r="J14" s="1"/>
  <c r="D13" i="6" l="1"/>
  <c r="J17" i="4" s="1"/>
  <c r="J24" s="1"/>
  <c r="J25" l="1"/>
  <c r="C31" s="1"/>
  <c r="C32"/>
  <c r="E31"/>
  <c r="F13" i="6"/>
</calcChain>
</file>

<file path=xl/comments1.xml><?xml version="1.0" encoding="utf-8"?>
<comments xmlns="http://schemas.openxmlformats.org/spreadsheetml/2006/main">
  <authors>
    <author>Autor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Netamente del producto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Del arriendo de quipos, pagos, sueldos, bleh</t>
        </r>
      </text>
    </comment>
  </commentList>
</comments>
</file>

<file path=xl/sharedStrings.xml><?xml version="1.0" encoding="utf-8"?>
<sst xmlns="http://schemas.openxmlformats.org/spreadsheetml/2006/main" count="185" uniqueCount="104">
  <si>
    <t>Unidad</t>
  </si>
  <si>
    <t>Año</t>
  </si>
  <si>
    <t>Unidades a vender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</si>
  <si>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</si>
  <si>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</si>
  <si>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</si>
  <si>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</si>
  <si>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</si>
  <si>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</si>
  <si>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</si>
  <si>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</si>
  <si>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</si>
  <si>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</si>
  <si>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</si>
  <si>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</si>
  <si>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</si>
  <si>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</si>
  <si>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</si>
  <si>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</si>
  <si>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</si>
  <si>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</si>
  <si>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</si>
  <si>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</si>
  <si>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</si>
  <si>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</si>
  <si>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</si>
  <si>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</si>
  <si>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</si>
  <si>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</si>
  <si>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</si>
  <si>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</si>
  <si>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</si>
  <si>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</si>
  <si>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</si>
  <si>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PUNTAJES</t>
  </si>
  <si>
    <t>Puntaje Tabla</t>
  </si>
  <si>
    <t>En esta hoja realice lo necesario para construir la tabla de amortización</t>
  </si>
  <si>
    <t>total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</si>
  <si>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</si>
  <si>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</si>
  <si>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</si>
  <si>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</si>
  <si>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</si>
  <si>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</si>
  <si>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</si>
  <si>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</si>
  <si>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</si>
  <si>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costo total</t>
  </si>
  <si>
    <t>Ingreso total</t>
  </si>
  <si>
    <t>+</t>
  </si>
  <si>
    <t>Ingreso por venta</t>
  </si>
  <si>
    <t>Venta de activo</t>
  </si>
  <si>
    <t>Costos Variables</t>
  </si>
  <si>
    <t>Costos Fijos</t>
  </si>
  <si>
    <t>Valor Libro+</t>
  </si>
  <si>
    <t>Amortización-</t>
  </si>
  <si>
    <t>Inversión Prestamo+</t>
  </si>
  <si>
    <t>Capital de trabajo-</t>
  </si>
  <si>
    <t>Capital de trabajo se recupera al final</t>
  </si>
  <si>
    <t>Valor de desecho +</t>
  </si>
  <si>
    <t>Valor de desecho positivo al final</t>
  </si>
  <si>
    <t>Valor de desecho</t>
  </si>
  <si>
    <t>(Flujo sin venta ni inversion)-Depreciacion/Trema</t>
  </si>
  <si>
    <t>TREMA</t>
  </si>
  <si>
    <t>VP*((i*(1+i)^n)/((i+1)^n) - 1)</t>
  </si>
  <si>
    <t>Numerador</t>
  </si>
  <si>
    <t>Denominador</t>
  </si>
  <si>
    <t>Venta de activo por año</t>
  </si>
  <si>
    <t>Suscripciones</t>
  </si>
  <si>
    <t>Re-Suscripciones</t>
  </si>
  <si>
    <t>Suscriptores</t>
  </si>
  <si>
    <t>Costo Variable</t>
  </si>
  <si>
    <t>costo variable total</t>
  </si>
  <si>
    <t>Licencia del software (GPS)</t>
  </si>
  <si>
    <t>Valor Dólar</t>
  </si>
  <si>
    <t>API</t>
  </si>
  <si>
    <t>Costo Fijo</t>
  </si>
  <si>
    <t>Programadores</t>
  </si>
  <si>
    <t>Cantidad</t>
  </si>
  <si>
    <t>Costo por mes</t>
  </si>
  <si>
    <t>Diseñador</t>
  </si>
  <si>
    <t>Administrativo</t>
  </si>
  <si>
    <t>Aumento equipos, sueldos y oficina</t>
  </si>
  <si>
    <t>Valor libro</t>
  </si>
  <si>
    <t>Depreciación</t>
  </si>
  <si>
    <t>Depreciacion</t>
  </si>
  <si>
    <t>Inversión+</t>
  </si>
  <si>
    <t>Empresa Los Testadores</t>
  </si>
  <si>
    <t>Vacaciones Programadores</t>
  </si>
  <si>
    <t>Publicidad</t>
  </si>
  <si>
    <t>Costo Anual</t>
  </si>
  <si>
    <t>Oficina con todo</t>
  </si>
  <si>
    <t>Arriendo equipos</t>
  </si>
  <si>
    <t>Apple Imac</t>
  </si>
  <si>
    <t>Servidores</t>
  </si>
  <si>
    <t>Publicacion en store</t>
  </si>
  <si>
    <t>Programador para mantención</t>
  </si>
  <si>
    <t>Usuarios</t>
  </si>
  <si>
    <t>Suscripciones Totales</t>
  </si>
  <si>
    <t>Descargas mínimas</t>
  </si>
  <si>
    <t>Webservice</t>
  </si>
  <si>
    <t>Capital de Trabajo</t>
  </si>
  <si>
    <t>TIR</t>
  </si>
  <si>
    <t>Respuesta: El flujo se haría completamente negativo, por lo cual el riezgo sería totalmente alto</t>
  </si>
</sst>
</file>

<file path=xl/styles.xml><?xml version="1.0" encoding="utf-8"?>
<styleSheet xmlns="http://schemas.openxmlformats.org/spreadsheetml/2006/main">
  <numFmts count="6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  <numFmt numFmtId="165" formatCode="0.0%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1" fontId="23" fillId="0" borderId="0" applyFont="0" applyFill="0" applyBorder="0" applyAlignment="0" applyProtection="0"/>
  </cellStyleXfs>
  <cellXfs count="149">
    <xf numFmtId="0" fontId="0" fillId="0" borderId="0" xfId="0"/>
    <xf numFmtId="3" fontId="0" fillId="0" borderId="8" xfId="0" applyNumberForma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0" borderId="14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4" xfId="0" applyFont="1" applyBorder="1"/>
    <xf numFmtId="0" fontId="9" fillId="0" borderId="2" xfId="0" applyFont="1" applyBorder="1"/>
    <xf numFmtId="0" fontId="0" fillId="0" borderId="12" xfId="0" applyBorder="1"/>
    <xf numFmtId="0" fontId="0" fillId="0" borderId="14" xfId="0" applyBorder="1"/>
    <xf numFmtId="0" fontId="0" fillId="0" borderId="0" xfId="0" applyFill="1"/>
    <xf numFmtId="0" fontId="6" fillId="0" borderId="0" xfId="0" applyFont="1" applyFill="1"/>
    <xf numFmtId="0" fontId="10" fillId="6" borderId="0" xfId="0" applyFont="1" applyFill="1"/>
    <xf numFmtId="0" fontId="9" fillId="0" borderId="0" xfId="0" applyFont="1" applyBorder="1"/>
    <xf numFmtId="0" fontId="9" fillId="0" borderId="25" xfId="0" applyFont="1" applyBorder="1"/>
    <xf numFmtId="0" fontId="18" fillId="0" borderId="8" xfId="0" applyFont="1" applyBorder="1" applyAlignment="1">
      <alignment vertical="center"/>
    </xf>
    <xf numFmtId="3" fontId="18" fillId="0" borderId="8" xfId="0" applyNumberFormat="1" applyFont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3" fontId="21" fillId="0" borderId="8" xfId="0" applyNumberFormat="1" applyFont="1" applyBorder="1" applyAlignment="1">
      <alignment horizontal="center" vertical="center"/>
    </xf>
    <xf numFmtId="9" fontId="21" fillId="0" borderId="8" xfId="0" applyNumberFormat="1" applyFont="1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/>
    </xf>
    <xf numFmtId="164" fontId="8" fillId="4" borderId="27" xfId="0" applyNumberFormat="1" applyFont="1" applyFill="1" applyBorder="1" applyAlignment="1">
      <alignment horizontal="center"/>
    </xf>
    <xf numFmtId="164" fontId="8" fillId="4" borderId="28" xfId="0" applyNumberFormat="1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0" fontId="0" fillId="11" borderId="0" xfId="0" applyFill="1"/>
    <xf numFmtId="0" fontId="0" fillId="11" borderId="8" xfId="0" applyFill="1" applyBorder="1"/>
    <xf numFmtId="0" fontId="10" fillId="11" borderId="0" xfId="0" applyFont="1" applyFill="1"/>
    <xf numFmtId="0" fontId="14" fillId="11" borderId="0" xfId="0" applyFont="1" applyFill="1" applyAlignment="1">
      <alignment horizontal="center"/>
    </xf>
    <xf numFmtId="0" fontId="13" fillId="11" borderId="0" xfId="0" applyFont="1" applyFill="1"/>
    <xf numFmtId="0" fontId="11" fillId="11" borderId="0" xfId="0" applyFont="1" applyFill="1"/>
    <xf numFmtId="0" fontId="6" fillId="11" borderId="0" xfId="0" applyFont="1" applyFill="1"/>
    <xf numFmtId="0" fontId="12" fillId="11" borderId="0" xfId="0" applyFont="1" applyFill="1"/>
    <xf numFmtId="0" fontId="11" fillId="11" borderId="0" xfId="0" applyFont="1" applyFill="1" applyAlignment="1">
      <alignment horizontal="center"/>
    </xf>
    <xf numFmtId="0" fontId="17" fillId="11" borderId="0" xfId="0" applyFont="1" applyFill="1" applyAlignment="1"/>
    <xf numFmtId="0" fontId="14" fillId="11" borderId="0" xfId="0" applyFont="1" applyFill="1" applyAlignment="1"/>
    <xf numFmtId="0" fontId="0" fillId="2" borderId="0" xfId="0" applyFill="1"/>
    <xf numFmtId="0" fontId="2" fillId="0" borderId="22" xfId="0" applyFont="1" applyBorder="1" applyAlignment="1">
      <alignment horizontal="center" vertical="center"/>
    </xf>
    <xf numFmtId="3" fontId="0" fillId="0" borderId="23" xfId="0" applyNumberFormat="1" applyBorder="1" applyAlignment="1">
      <alignment vertical="center"/>
    </xf>
    <xf numFmtId="3" fontId="0" fillId="0" borderId="29" xfId="0" applyNumberFormat="1" applyBorder="1" applyAlignment="1">
      <alignment vertical="center"/>
    </xf>
    <xf numFmtId="9" fontId="0" fillId="0" borderId="0" xfId="0" applyNumberFormat="1"/>
    <xf numFmtId="42" fontId="0" fillId="0" borderId="8" xfId="1" applyFont="1" applyBorder="1"/>
    <xf numFmtId="9" fontId="0" fillId="0" borderId="8" xfId="2" applyFont="1" applyBorder="1"/>
    <xf numFmtId="42" fontId="0" fillId="0" borderId="8" xfId="0" applyNumberFormat="1" applyBorder="1"/>
    <xf numFmtId="8" fontId="0" fillId="0" borderId="0" xfId="0" applyNumberFormat="1"/>
    <xf numFmtId="42" fontId="0" fillId="0" borderId="8" xfId="1" applyFont="1" applyBorder="1" applyAlignment="1">
      <alignment horizontal="center" vertical="center"/>
    </xf>
    <xf numFmtId="10" fontId="0" fillId="5" borderId="0" xfId="0" applyNumberFormat="1" applyFill="1"/>
    <xf numFmtId="0" fontId="3" fillId="0" borderId="3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12" borderId="1" xfId="0" applyFont="1" applyFill="1" applyBorder="1"/>
    <xf numFmtId="0" fontId="15" fillId="12" borderId="15" xfId="0" applyFont="1" applyFill="1" applyBorder="1"/>
    <xf numFmtId="164" fontId="16" fillId="12" borderId="20" xfId="0" applyNumberFormat="1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  <xf numFmtId="164" fontId="0" fillId="0" borderId="0" xfId="0" applyNumberFormat="1"/>
    <xf numFmtId="164" fontId="1" fillId="10" borderId="35" xfId="0" applyNumberFormat="1" applyFont="1" applyFill="1" applyBorder="1" applyAlignment="1">
      <alignment horizontal="center" vertical="center"/>
    </xf>
    <xf numFmtId="42" fontId="1" fillId="0" borderId="8" xfId="0" applyNumberFormat="1" applyFont="1" applyBorder="1"/>
    <xf numFmtId="42" fontId="0" fillId="0" borderId="5" xfId="0" applyNumberFormat="1" applyBorder="1"/>
    <xf numFmtId="0" fontId="9" fillId="0" borderId="15" xfId="0" applyFont="1" applyFill="1" applyBorder="1"/>
    <xf numFmtId="42" fontId="24" fillId="0" borderId="7" xfId="0" applyNumberFormat="1" applyFont="1" applyBorder="1"/>
    <xf numFmtId="42" fontId="24" fillId="0" borderId="8" xfId="0" applyNumberFormat="1" applyFont="1" applyBorder="1"/>
    <xf numFmtId="0" fontId="6" fillId="4" borderId="8" xfId="0" applyFont="1" applyFill="1" applyBorder="1" applyAlignment="1">
      <alignment horizontal="center" vertical="center"/>
    </xf>
    <xf numFmtId="3" fontId="0" fillId="0" borderId="8" xfId="0" applyNumberFormat="1" applyBorder="1"/>
    <xf numFmtId="0" fontId="0" fillId="12" borderId="8" xfId="0" applyFill="1" applyBorder="1"/>
    <xf numFmtId="0" fontId="6" fillId="4" borderId="8" xfId="0" applyFont="1" applyFill="1" applyBorder="1"/>
    <xf numFmtId="0" fontId="10" fillId="13" borderId="8" xfId="0" applyFont="1" applyFill="1" applyBorder="1"/>
    <xf numFmtId="6" fontId="0" fillId="0" borderId="8" xfId="0" applyNumberFormat="1" applyBorder="1"/>
    <xf numFmtId="0" fontId="6" fillId="13" borderId="8" xfId="0" applyFont="1" applyFill="1" applyBorder="1"/>
    <xf numFmtId="0" fontId="25" fillId="13" borderId="8" xfId="0" applyFont="1" applyFill="1" applyBorder="1" applyAlignment="1">
      <alignment vertical="center"/>
    </xf>
    <xf numFmtId="41" fontId="0" fillId="0" borderId="0" xfId="3" applyFont="1" applyBorder="1"/>
    <xf numFmtId="41" fontId="0" fillId="0" borderId="0" xfId="0" applyNumberFormat="1" applyBorder="1"/>
    <xf numFmtId="41" fontId="0" fillId="0" borderId="8" xfId="3" applyFont="1" applyBorder="1"/>
    <xf numFmtId="0" fontId="6" fillId="4" borderId="36" xfId="0" applyFont="1" applyFill="1" applyBorder="1" applyAlignment="1"/>
    <xf numFmtId="0" fontId="6" fillId="4" borderId="7" xfId="0" applyFont="1" applyFill="1" applyBorder="1" applyAlignment="1"/>
    <xf numFmtId="0" fontId="10" fillId="13" borderId="0" xfId="0" applyFont="1" applyFill="1" applyAlignment="1">
      <alignment wrapText="1"/>
    </xf>
    <xf numFmtId="165" fontId="0" fillId="0" borderId="0" xfId="0" applyNumberFormat="1"/>
    <xf numFmtId="42" fontId="18" fillId="0" borderId="8" xfId="1" applyFont="1" applyBorder="1" applyAlignment="1">
      <alignment horizontal="right" vertical="center"/>
    </xf>
    <xf numFmtId="0" fontId="6" fillId="2" borderId="0" xfId="0" applyFont="1" applyFill="1" applyBorder="1" applyAlignment="1"/>
    <xf numFmtId="0" fontId="0" fillId="2" borderId="0" xfId="0" applyFill="1" applyBorder="1"/>
    <xf numFmtId="0" fontId="6" fillId="2" borderId="0" xfId="0" applyFont="1" applyFill="1" applyBorder="1"/>
    <xf numFmtId="0" fontId="6" fillId="4" borderId="8" xfId="0" applyFont="1" applyFill="1" applyBorder="1" applyAlignment="1"/>
    <xf numFmtId="41" fontId="10" fillId="13" borderId="8" xfId="3" applyFont="1" applyFill="1" applyBorder="1"/>
    <xf numFmtId="41" fontId="0" fillId="0" borderId="8" xfId="0" applyNumberFormat="1" applyBorder="1"/>
    <xf numFmtId="41" fontId="0" fillId="0" borderId="8" xfId="3" applyNumberFormat="1" applyFont="1" applyBorder="1"/>
    <xf numFmtId="42" fontId="21" fillId="0" borderId="8" xfId="1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right" vertical="center"/>
    </xf>
    <xf numFmtId="3" fontId="0" fillId="0" borderId="0" xfId="0" applyNumberFormat="1" applyBorder="1"/>
    <xf numFmtId="0" fontId="25" fillId="2" borderId="0" xfId="0" applyFont="1" applyFill="1" applyBorder="1" applyAlignment="1">
      <alignment vertical="center"/>
    </xf>
    <xf numFmtId="41" fontId="0" fillId="12" borderId="8" xfId="3" applyFont="1" applyFill="1" applyBorder="1"/>
    <xf numFmtId="42" fontId="1" fillId="12" borderId="0" xfId="1" applyNumberFormat="1" applyFont="1" applyFill="1"/>
    <xf numFmtId="0" fontId="1" fillId="12" borderId="0" xfId="0" applyFont="1" applyFill="1" applyAlignment="1">
      <alignment wrapText="1"/>
    </xf>
    <xf numFmtId="9" fontId="0" fillId="0" borderId="11" xfId="0" applyNumberFormat="1" applyBorder="1"/>
    <xf numFmtId="0" fontId="19" fillId="7" borderId="8" xfId="0" applyFont="1" applyFill="1" applyBorder="1" applyAlignment="1">
      <alignment horizontal="center" vertical="center" wrapText="1"/>
    </xf>
    <xf numFmtId="0" fontId="22" fillId="11" borderId="1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16" fillId="12" borderId="29" xfId="0" applyFont="1" applyFill="1" applyBorder="1" applyAlignment="1">
      <alignment horizontal="center"/>
    </xf>
    <xf numFmtId="0" fontId="16" fillId="12" borderId="36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 [0]" xfId="3" builtinId="6"/>
    <cellStyle name="Moneda [0]" xfId="1" builtinId="7"/>
    <cellStyle name="Normal" xfId="0" builtinId="0"/>
    <cellStyle name="Porcentual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4:H21"/>
  <sheetViews>
    <sheetView showGridLines="0" topLeftCell="A2" workbookViewId="0">
      <selection activeCell="B22" sqref="B22"/>
    </sheetView>
  </sheetViews>
  <sheetFormatPr baseColWidth="10" defaultColWidth="8.85546875" defaultRowHeight="15"/>
  <cols>
    <col min="1" max="1" width="2.5703125" customWidth="1"/>
    <col min="2" max="2" width="26.140625" customWidth="1"/>
    <col min="3" max="3" width="13.140625" customWidth="1"/>
    <col min="4" max="4" width="11.140625" bestFit="1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4" spans="2:8" ht="27" customHeight="1">
      <c r="B4" s="121" t="s">
        <v>6</v>
      </c>
      <c r="C4" s="121" t="s">
        <v>40</v>
      </c>
      <c r="D4" s="43" t="s">
        <v>7</v>
      </c>
      <c r="E4" s="43" t="s">
        <v>8</v>
      </c>
      <c r="F4" s="43" t="s">
        <v>29</v>
      </c>
      <c r="G4" s="43" t="s">
        <v>30</v>
      </c>
      <c r="H4" s="43" t="s">
        <v>9</v>
      </c>
    </row>
    <row r="5" spans="2:8">
      <c r="B5" s="121"/>
      <c r="C5" s="121"/>
      <c r="D5" s="42" t="s">
        <v>3</v>
      </c>
      <c r="E5" s="42" t="s">
        <v>5</v>
      </c>
      <c r="F5" s="42" t="s">
        <v>10</v>
      </c>
      <c r="G5" s="42" t="s">
        <v>10</v>
      </c>
      <c r="H5" s="42" t="s">
        <v>11</v>
      </c>
    </row>
    <row r="6" spans="2:8">
      <c r="B6" s="44" t="s">
        <v>73</v>
      </c>
      <c r="C6" s="45"/>
      <c r="D6" s="46"/>
      <c r="E6" s="47">
        <f>15000*C17</f>
        <v>10500000</v>
      </c>
      <c r="F6" s="46">
        <v>6</v>
      </c>
      <c r="G6" s="46">
        <v>4</v>
      </c>
      <c r="H6" s="48">
        <v>0</v>
      </c>
    </row>
    <row r="7" spans="2:8">
      <c r="B7" s="44" t="s">
        <v>75</v>
      </c>
      <c r="C7" s="45"/>
      <c r="D7" s="46"/>
      <c r="E7" s="47">
        <f>3000*C17</f>
        <v>2100000</v>
      </c>
      <c r="F7" s="46">
        <v>2</v>
      </c>
      <c r="G7" s="46">
        <v>2</v>
      </c>
      <c r="H7" s="48">
        <v>0</v>
      </c>
    </row>
    <row r="8" spans="2:8">
      <c r="B8" s="44" t="s">
        <v>93</v>
      </c>
      <c r="C8" s="45"/>
      <c r="D8" s="46">
        <v>2</v>
      </c>
      <c r="E8" s="47">
        <v>2000000</v>
      </c>
      <c r="F8" s="46">
        <v>3</v>
      </c>
      <c r="G8" s="46">
        <v>3</v>
      </c>
      <c r="H8" s="113">
        <v>500000</v>
      </c>
    </row>
    <row r="9" spans="2:8">
      <c r="B9" s="44"/>
      <c r="C9" s="45"/>
      <c r="D9" s="46"/>
      <c r="E9" s="47"/>
      <c r="F9" s="46"/>
      <c r="G9" s="46"/>
      <c r="H9" s="48"/>
    </row>
    <row r="12" spans="2:8" ht="30">
      <c r="B12" s="121" t="s">
        <v>6</v>
      </c>
      <c r="C12" s="43" t="s">
        <v>7</v>
      </c>
      <c r="D12" s="43" t="s">
        <v>8</v>
      </c>
      <c r="E12" s="43" t="s">
        <v>29</v>
      </c>
      <c r="F12" s="43" t="s">
        <v>30</v>
      </c>
      <c r="G12" s="43" t="s">
        <v>9</v>
      </c>
    </row>
    <row r="13" spans="2:8">
      <c r="B13" s="121"/>
      <c r="C13" s="42" t="s">
        <v>3</v>
      </c>
      <c r="D13" s="42" t="s">
        <v>5</v>
      </c>
      <c r="E13" s="42" t="s">
        <v>10</v>
      </c>
      <c r="F13" s="42" t="s">
        <v>10</v>
      </c>
      <c r="G13" s="42" t="s">
        <v>11</v>
      </c>
    </row>
    <row r="14" spans="2:8">
      <c r="B14" s="44"/>
      <c r="C14" s="46"/>
      <c r="D14" s="47"/>
      <c r="E14" s="46"/>
      <c r="F14" s="46"/>
      <c r="G14" s="48"/>
    </row>
    <row r="15" spans="2:8">
      <c r="B15" s="44"/>
      <c r="C15" s="46"/>
      <c r="D15" s="47"/>
      <c r="E15" s="46"/>
      <c r="F15" s="46"/>
      <c r="G15" s="48"/>
    </row>
    <row r="17" spans="2:3">
      <c r="B17" s="96" t="s">
        <v>74</v>
      </c>
      <c r="C17" s="95">
        <v>700</v>
      </c>
    </row>
    <row r="18" spans="2:3" ht="30">
      <c r="B18" s="103" t="s">
        <v>82</v>
      </c>
      <c r="C18" s="104">
        <v>3.5000000000000003E-2</v>
      </c>
    </row>
    <row r="21" spans="2:3">
      <c r="B21" t="s">
        <v>103</v>
      </c>
    </row>
  </sheetData>
  <mergeCells count="3">
    <mergeCell ref="B4:B5"/>
    <mergeCell ref="C4:C5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P74"/>
  <sheetViews>
    <sheetView showGridLines="0" tabSelected="1" topLeftCell="A27" workbookViewId="0">
      <selection activeCell="E37" sqref="E37"/>
    </sheetView>
  </sheetViews>
  <sheetFormatPr baseColWidth="10" defaultColWidth="8.85546875" defaultRowHeight="15"/>
  <cols>
    <col min="1" max="1" width="3.85546875" customWidth="1"/>
    <col min="2" max="2" width="25.5703125" customWidth="1"/>
    <col min="4" max="4" width="14.5703125" bestFit="1" customWidth="1"/>
    <col min="5" max="5" width="12.5703125" customWidth="1"/>
    <col min="6" max="13" width="14.5703125" bestFit="1" customWidth="1"/>
    <col min="16" max="16" width="15.5703125" customWidth="1"/>
  </cols>
  <sheetData>
    <row r="2" spans="2:15">
      <c r="B2" s="90" t="s">
        <v>68</v>
      </c>
      <c r="C2" s="42">
        <v>1</v>
      </c>
      <c r="D2" s="42">
        <v>2</v>
      </c>
      <c r="E2" s="42">
        <v>3</v>
      </c>
      <c r="F2" s="42">
        <v>4</v>
      </c>
      <c r="G2" s="42">
        <v>5</v>
      </c>
      <c r="H2" s="42">
        <v>6</v>
      </c>
      <c r="I2" s="42">
        <v>7</v>
      </c>
      <c r="J2" s="42">
        <v>8</v>
      </c>
      <c r="K2" s="42">
        <v>9</v>
      </c>
      <c r="L2" s="42">
        <v>10</v>
      </c>
    </row>
    <row r="3" spans="2:15">
      <c r="B3" s="38" t="s">
        <v>68</v>
      </c>
      <c r="C3" s="39">
        <v>30</v>
      </c>
      <c r="D3" s="39">
        <v>100</v>
      </c>
      <c r="E3" s="39">
        <f>D3+D3*15%</f>
        <v>115</v>
      </c>
      <c r="F3" s="39">
        <f>E3+E3*15%</f>
        <v>132.25</v>
      </c>
      <c r="G3" s="39">
        <f t="shared" ref="G3:I3" si="0">F3+F3*15%</f>
        <v>152.08750000000001</v>
      </c>
      <c r="H3" s="39">
        <f t="shared" si="0"/>
        <v>174.90062499999999</v>
      </c>
      <c r="I3" s="39">
        <f t="shared" si="0"/>
        <v>201.13571875</v>
      </c>
      <c r="J3" s="39"/>
      <c r="K3" s="39"/>
      <c r="L3" s="39"/>
    </row>
    <row r="4" spans="2:15">
      <c r="B4" s="38" t="s">
        <v>69</v>
      </c>
      <c r="C4" s="39">
        <v>0</v>
      </c>
      <c r="D4" s="39">
        <f>C3</f>
        <v>30</v>
      </c>
      <c r="E4" s="39">
        <f t="shared" ref="E4:I4" si="1">D3</f>
        <v>100</v>
      </c>
      <c r="F4" s="39">
        <f t="shared" si="1"/>
        <v>115</v>
      </c>
      <c r="G4" s="39">
        <f t="shared" si="1"/>
        <v>132.25</v>
      </c>
      <c r="H4" s="39">
        <f t="shared" si="1"/>
        <v>152.08750000000001</v>
      </c>
      <c r="I4" s="39">
        <f t="shared" si="1"/>
        <v>174.90062499999999</v>
      </c>
      <c r="J4" s="39"/>
      <c r="K4" s="39"/>
      <c r="L4" s="39"/>
    </row>
    <row r="5" spans="2:1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92"/>
    </row>
    <row r="6" spans="2:15">
      <c r="B6" s="97" t="s">
        <v>28</v>
      </c>
      <c r="C6" s="39">
        <f>SUM(C3:C4)</f>
        <v>30</v>
      </c>
      <c r="D6" s="39">
        <f>SUM(D3:D4)</f>
        <v>130</v>
      </c>
      <c r="E6" s="39">
        <f t="shared" ref="E6:I6" si="2">SUM(E3:E4)</f>
        <v>215</v>
      </c>
      <c r="F6" s="39">
        <f t="shared" si="2"/>
        <v>247.25</v>
      </c>
      <c r="G6" s="39">
        <f t="shared" si="2"/>
        <v>284.33749999999998</v>
      </c>
      <c r="H6" s="39">
        <f t="shared" si="2"/>
        <v>326.98812499999997</v>
      </c>
      <c r="I6" s="39">
        <f t="shared" si="2"/>
        <v>376.03634375000001</v>
      </c>
      <c r="J6" s="39"/>
      <c r="K6" s="39"/>
      <c r="L6" s="39"/>
      <c r="M6" s="91"/>
    </row>
    <row r="7" spans="2:15">
      <c r="B7" s="116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15">
      <c r="B8" s="90" t="s">
        <v>97</v>
      </c>
      <c r="C8" s="42">
        <v>1</v>
      </c>
      <c r="D8" s="42">
        <v>2</v>
      </c>
      <c r="E8" s="42">
        <v>3</v>
      </c>
      <c r="F8" s="42">
        <v>4</v>
      </c>
      <c r="G8" s="42">
        <v>5</v>
      </c>
      <c r="H8" s="42">
        <v>6</v>
      </c>
      <c r="I8" s="42">
        <v>7</v>
      </c>
      <c r="J8" s="42">
        <v>8</v>
      </c>
      <c r="K8" s="42">
        <v>9</v>
      </c>
      <c r="L8" s="42">
        <v>10</v>
      </c>
      <c r="M8" s="115"/>
    </row>
    <row r="9" spans="2:15">
      <c r="B9" s="38" t="s">
        <v>98</v>
      </c>
      <c r="C9" s="39">
        <f>C6</f>
        <v>30</v>
      </c>
      <c r="D9" s="39">
        <f t="shared" ref="D9:I9" si="3">D6</f>
        <v>130</v>
      </c>
      <c r="E9" s="39">
        <f t="shared" si="3"/>
        <v>215</v>
      </c>
      <c r="F9" s="39">
        <f t="shared" si="3"/>
        <v>247.25</v>
      </c>
      <c r="G9" s="39">
        <f t="shared" si="3"/>
        <v>284.33749999999998</v>
      </c>
      <c r="H9" s="39">
        <f t="shared" si="3"/>
        <v>326.98812499999997</v>
      </c>
      <c r="I9" s="39">
        <f t="shared" si="3"/>
        <v>376.03634375000001</v>
      </c>
      <c r="J9" s="39"/>
      <c r="K9" s="39"/>
      <c r="L9" s="39"/>
      <c r="M9" s="115"/>
    </row>
    <row r="10" spans="2:15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115"/>
    </row>
    <row r="11" spans="2:15"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115"/>
    </row>
    <row r="12" spans="2:15">
      <c r="B12" s="97" t="s">
        <v>28</v>
      </c>
      <c r="C12" s="39">
        <f>C9*300</f>
        <v>9000</v>
      </c>
      <c r="D12" s="39">
        <f t="shared" ref="D12:I12" si="4">D9*300</f>
        <v>39000</v>
      </c>
      <c r="E12" s="39">
        <f t="shared" si="4"/>
        <v>64500</v>
      </c>
      <c r="F12" s="39">
        <f t="shared" si="4"/>
        <v>74175</v>
      </c>
      <c r="G12" s="39">
        <f t="shared" si="4"/>
        <v>85301.25</v>
      </c>
      <c r="H12" s="39">
        <f t="shared" si="4"/>
        <v>98096.437499999985</v>
      </c>
      <c r="I12" s="39">
        <f t="shared" si="4"/>
        <v>112810.90312500001</v>
      </c>
      <c r="J12" s="39"/>
      <c r="K12" s="39"/>
      <c r="L12" s="39"/>
      <c r="M12" s="115"/>
    </row>
    <row r="14" spans="2:15">
      <c r="B14" s="134" t="s">
        <v>71</v>
      </c>
      <c r="C14" s="140"/>
      <c r="D14" s="138" t="s">
        <v>90</v>
      </c>
      <c r="E14" s="129" t="s">
        <v>1</v>
      </c>
      <c r="F14" s="130"/>
      <c r="G14" s="130"/>
      <c r="H14" s="130"/>
      <c r="I14" s="130"/>
      <c r="J14" s="130"/>
      <c r="K14" s="130"/>
      <c r="L14" s="130"/>
      <c r="M14" s="101"/>
      <c r="N14" s="101"/>
      <c r="O14" s="102"/>
    </row>
    <row r="15" spans="2:15">
      <c r="B15" s="134"/>
      <c r="C15" s="141"/>
      <c r="D15" s="139"/>
      <c r="E15" s="93">
        <v>0</v>
      </c>
      <c r="F15" s="93">
        <v>1</v>
      </c>
      <c r="G15" s="93">
        <v>2</v>
      </c>
      <c r="H15" s="93">
        <v>3</v>
      </c>
      <c r="I15" s="93">
        <v>4</v>
      </c>
      <c r="J15" s="93">
        <v>5</v>
      </c>
      <c r="K15" s="93">
        <v>6</v>
      </c>
      <c r="L15" s="93">
        <v>7</v>
      </c>
      <c r="M15" s="93">
        <v>8</v>
      </c>
      <c r="N15" s="93">
        <v>9</v>
      </c>
      <c r="O15" s="93">
        <v>10</v>
      </c>
    </row>
    <row r="16" spans="2:15">
      <c r="B16" s="94" t="s">
        <v>89</v>
      </c>
      <c r="C16" s="94"/>
      <c r="D16" s="110">
        <v>4000000</v>
      </c>
      <c r="E16" s="18"/>
      <c r="F16" s="100">
        <f>D16</f>
        <v>4000000</v>
      </c>
      <c r="G16" s="100">
        <f>D16+(D16*20%)</f>
        <v>4800000</v>
      </c>
      <c r="H16" s="100">
        <f t="shared" ref="H16:L16" si="5">F16+(F16*20%)</f>
        <v>4800000</v>
      </c>
      <c r="I16" s="100">
        <f t="shared" si="5"/>
        <v>5760000</v>
      </c>
      <c r="J16" s="100">
        <f t="shared" si="5"/>
        <v>5760000</v>
      </c>
      <c r="K16" s="100">
        <f t="shared" si="5"/>
        <v>6912000</v>
      </c>
      <c r="L16" s="100">
        <f t="shared" si="5"/>
        <v>6912000</v>
      </c>
      <c r="M16" s="18"/>
      <c r="N16" s="18"/>
      <c r="O16" s="18"/>
    </row>
    <row r="17" spans="2:15">
      <c r="B17" s="94" t="s">
        <v>94</v>
      </c>
      <c r="C17" s="94"/>
      <c r="D17" s="110">
        <f>3000*Activos!C17</f>
        <v>2100000</v>
      </c>
      <c r="E17" s="18"/>
      <c r="F17" s="100">
        <f>D17</f>
        <v>2100000</v>
      </c>
      <c r="G17" s="100">
        <f t="shared" ref="G17" si="6">F17</f>
        <v>2100000</v>
      </c>
      <c r="H17" s="100">
        <f>5000*Activos!$C$17</f>
        <v>3500000</v>
      </c>
      <c r="I17" s="100">
        <f>5000*Activos!$C$17</f>
        <v>3500000</v>
      </c>
      <c r="J17" s="100">
        <f>5000*Activos!$C$17</f>
        <v>3500000</v>
      </c>
      <c r="K17" s="100">
        <f>5000*Activos!$C$17</f>
        <v>3500000</v>
      </c>
      <c r="L17" s="100">
        <f>5000*Activos!$C$17</f>
        <v>3500000</v>
      </c>
      <c r="M17" s="18"/>
      <c r="N17" s="18"/>
      <c r="O17" s="18"/>
    </row>
    <row r="18" spans="2:15">
      <c r="B18" s="94" t="s">
        <v>95</v>
      </c>
      <c r="C18" s="94"/>
      <c r="D18" s="110"/>
      <c r="E18" s="18"/>
      <c r="F18" s="100">
        <f>100*Activos!C17</f>
        <v>70000</v>
      </c>
      <c r="G18" s="100"/>
      <c r="H18" s="100"/>
      <c r="I18" s="100"/>
      <c r="J18" s="100"/>
      <c r="K18" s="100"/>
      <c r="L18" s="100"/>
      <c r="M18" s="18"/>
      <c r="N18" s="18"/>
      <c r="O18" s="18"/>
    </row>
    <row r="19" spans="2:15">
      <c r="B19" s="94" t="s">
        <v>99</v>
      </c>
      <c r="C19" s="94"/>
      <c r="D19" s="110">
        <f>5*Activos!C17</f>
        <v>3500</v>
      </c>
      <c r="E19" s="18"/>
      <c r="F19" s="18"/>
      <c r="G19" s="100">
        <f t="shared" ref="G19:L19" si="7">$D$19*C12</f>
        <v>31500000</v>
      </c>
      <c r="H19" s="100">
        <f t="shared" si="7"/>
        <v>136500000</v>
      </c>
      <c r="I19" s="100">
        <f t="shared" si="7"/>
        <v>225750000</v>
      </c>
      <c r="J19" s="100">
        <f t="shared" si="7"/>
        <v>259612500</v>
      </c>
      <c r="K19" s="100">
        <f t="shared" si="7"/>
        <v>298554375</v>
      </c>
      <c r="L19" s="100">
        <f t="shared" si="7"/>
        <v>343337531.24999994</v>
      </c>
      <c r="M19" s="18"/>
      <c r="N19" s="18"/>
      <c r="O19" s="18"/>
    </row>
    <row r="20" spans="2:15">
      <c r="B20" s="94" t="s">
        <v>100</v>
      </c>
      <c r="C20" s="94"/>
      <c r="D20" s="110">
        <v>200000</v>
      </c>
      <c r="E20" s="18"/>
      <c r="F20" s="100">
        <f>D20</f>
        <v>200000</v>
      </c>
      <c r="G20" s="100">
        <f t="shared" ref="G20:L20" si="8">F20+F20*4%</f>
        <v>208000</v>
      </c>
      <c r="H20" s="100">
        <f t="shared" si="8"/>
        <v>216320</v>
      </c>
      <c r="I20" s="100">
        <f t="shared" si="8"/>
        <v>224972.79999999999</v>
      </c>
      <c r="J20" s="100">
        <f t="shared" si="8"/>
        <v>233971.712</v>
      </c>
      <c r="K20" s="100">
        <f t="shared" si="8"/>
        <v>243330.58048</v>
      </c>
      <c r="L20" s="100">
        <f t="shared" si="8"/>
        <v>253063.80369920001</v>
      </c>
      <c r="M20" s="18"/>
      <c r="N20" s="18"/>
      <c r="O20" s="18"/>
    </row>
    <row r="21" spans="2:15">
      <c r="B21" s="94"/>
      <c r="C21" s="94"/>
      <c r="D21" s="110"/>
      <c r="E21" s="18"/>
      <c r="F21" s="100"/>
      <c r="G21" s="100"/>
      <c r="H21" s="100"/>
      <c r="I21" s="100"/>
      <c r="J21" s="100"/>
      <c r="K21" s="100"/>
      <c r="L21" s="100"/>
      <c r="M21" s="18"/>
      <c r="N21" s="18"/>
      <c r="O21" s="18"/>
    </row>
    <row r="22" spans="2:15">
      <c r="B22" s="94"/>
      <c r="C22" s="94"/>
      <c r="D22" s="110"/>
      <c r="E22" s="18"/>
      <c r="F22" s="100"/>
      <c r="G22" s="100"/>
      <c r="H22" s="100"/>
      <c r="I22" s="100"/>
      <c r="J22" s="100"/>
      <c r="K22" s="100"/>
      <c r="L22" s="100"/>
      <c r="M22" s="18"/>
      <c r="N22" s="18"/>
      <c r="O22" s="18"/>
    </row>
    <row r="23" spans="2:15">
      <c r="B23" s="94"/>
      <c r="C23" s="94"/>
      <c r="D23" s="110"/>
      <c r="E23" s="18"/>
      <c r="F23" s="100"/>
      <c r="G23" s="100"/>
      <c r="H23" s="100"/>
      <c r="I23" s="100"/>
      <c r="J23" s="100"/>
      <c r="K23" s="100"/>
      <c r="L23" s="100"/>
      <c r="M23" s="18"/>
      <c r="N23" s="18"/>
      <c r="O23" s="18"/>
    </row>
    <row r="24" spans="2:15">
      <c r="B24" s="131" t="s">
        <v>28</v>
      </c>
      <c r="C24" s="132"/>
      <c r="D24" s="133"/>
      <c r="E24" s="117">
        <f>SUM(E16:E23)</f>
        <v>0</v>
      </c>
      <c r="F24" s="117">
        <f t="shared" ref="F24:L24" si="9">SUM(F16:F23)</f>
        <v>6370000</v>
      </c>
      <c r="G24" s="117">
        <f t="shared" si="9"/>
        <v>38608000</v>
      </c>
      <c r="H24" s="117">
        <f t="shared" si="9"/>
        <v>145016320</v>
      </c>
      <c r="I24" s="117">
        <f t="shared" si="9"/>
        <v>235234972.80000001</v>
      </c>
      <c r="J24" s="117">
        <f t="shared" si="9"/>
        <v>269106471.71200001</v>
      </c>
      <c r="K24" s="117">
        <f t="shared" si="9"/>
        <v>309209705.58047998</v>
      </c>
      <c r="L24" s="117">
        <f t="shared" si="9"/>
        <v>354002595.05369914</v>
      </c>
      <c r="M24" s="18"/>
      <c r="N24" s="18"/>
      <c r="O24" s="18"/>
    </row>
    <row r="25" spans="2:15">
      <c r="M25" s="64"/>
    </row>
    <row r="26" spans="2:15">
      <c r="B26" s="134" t="s">
        <v>76</v>
      </c>
      <c r="C26" s="138" t="s">
        <v>78</v>
      </c>
      <c r="D26" s="138" t="s">
        <v>79</v>
      </c>
      <c r="E26" s="109" t="s">
        <v>1</v>
      </c>
      <c r="F26" s="109"/>
      <c r="G26" s="109"/>
      <c r="H26" s="109"/>
      <c r="I26" s="109"/>
      <c r="J26" s="109"/>
      <c r="K26" s="109"/>
      <c r="L26" s="109"/>
      <c r="M26" s="106"/>
      <c r="N26" s="106"/>
      <c r="O26" s="107"/>
    </row>
    <row r="27" spans="2:15">
      <c r="B27" s="134"/>
      <c r="C27" s="139"/>
      <c r="D27" s="139"/>
      <c r="E27" s="93">
        <v>0</v>
      </c>
      <c r="F27" s="93">
        <v>1</v>
      </c>
      <c r="G27" s="93">
        <v>2</v>
      </c>
      <c r="H27" s="93">
        <v>3</v>
      </c>
      <c r="I27" s="93">
        <v>4</v>
      </c>
      <c r="J27" s="93">
        <v>5</v>
      </c>
      <c r="K27" s="93">
        <v>6</v>
      </c>
      <c r="L27" s="93">
        <v>7</v>
      </c>
      <c r="M27" s="108"/>
      <c r="N27" s="108"/>
      <c r="O27" s="108"/>
    </row>
    <row r="28" spans="2:15">
      <c r="B28" s="94" t="s">
        <v>77</v>
      </c>
      <c r="C28" s="94">
        <v>3</v>
      </c>
      <c r="D28" s="110">
        <v>650000</v>
      </c>
      <c r="E28" s="18"/>
      <c r="F28" s="100">
        <f>(C28*D28)*5</f>
        <v>9750000</v>
      </c>
      <c r="G28" s="18"/>
      <c r="H28" s="18"/>
      <c r="I28" s="18"/>
      <c r="J28" s="18"/>
      <c r="K28" s="18"/>
      <c r="L28" s="18"/>
      <c r="M28" s="107"/>
      <c r="N28" s="107"/>
      <c r="O28" s="107"/>
    </row>
    <row r="29" spans="2:15">
      <c r="B29" s="94" t="s">
        <v>80</v>
      </c>
      <c r="C29" s="94">
        <v>1</v>
      </c>
      <c r="D29" s="110">
        <v>800000</v>
      </c>
      <c r="E29" s="18"/>
      <c r="F29" s="111">
        <f>3*D29</f>
        <v>2400000</v>
      </c>
      <c r="G29" s="18"/>
      <c r="H29" s="18"/>
      <c r="I29" s="18"/>
      <c r="J29" s="18"/>
      <c r="K29" s="18"/>
      <c r="L29" s="18"/>
      <c r="M29" s="107"/>
      <c r="N29" s="107"/>
      <c r="O29" s="107"/>
    </row>
    <row r="30" spans="2:15" ht="15" customHeight="1">
      <c r="B30" s="94" t="s">
        <v>81</v>
      </c>
      <c r="C30" s="94">
        <v>1</v>
      </c>
      <c r="D30" s="110">
        <v>600000</v>
      </c>
      <c r="E30" s="111">
        <f>D30*1</f>
        <v>600000</v>
      </c>
      <c r="F30" s="111">
        <f>D30*12</f>
        <v>7200000</v>
      </c>
      <c r="G30" s="112">
        <f>(D30*12)+((D30*12)*3.5%)</f>
        <v>7452000</v>
      </c>
      <c r="H30" s="100">
        <f>(G30*3.5%)+G30</f>
        <v>7712820</v>
      </c>
      <c r="I30" s="100">
        <f>(H30*3.5%)+H30</f>
        <v>7982768.7000000002</v>
      </c>
      <c r="J30" s="100">
        <f>(I30*3.5%)+I30</f>
        <v>8262165.6045000004</v>
      </c>
      <c r="K30" s="100">
        <f>(J30*3.5%)+J30</f>
        <v>8551341.4006575011</v>
      </c>
      <c r="L30" s="100">
        <f>(K30*3.5%)+K30</f>
        <v>8850638.3496805131</v>
      </c>
      <c r="M30" s="107"/>
      <c r="N30" s="107"/>
      <c r="O30" s="107"/>
    </row>
    <row r="31" spans="2:15" ht="15" customHeight="1">
      <c r="B31" s="94" t="s">
        <v>87</v>
      </c>
      <c r="C31" s="94">
        <v>1</v>
      </c>
      <c r="D31" s="110">
        <v>1200000</v>
      </c>
      <c r="E31" s="18"/>
      <c r="F31" s="100">
        <f>D31*(12-3)</f>
        <v>10800000</v>
      </c>
      <c r="G31" s="100">
        <f>$D$31*12</f>
        <v>14400000</v>
      </c>
      <c r="H31" s="100">
        <f t="shared" ref="H31:L31" si="10">$D$31*12</f>
        <v>14400000</v>
      </c>
      <c r="I31" s="100">
        <f t="shared" si="10"/>
        <v>14400000</v>
      </c>
      <c r="J31" s="100">
        <f t="shared" si="10"/>
        <v>14400000</v>
      </c>
      <c r="K31" s="100">
        <f t="shared" si="10"/>
        <v>14400000</v>
      </c>
      <c r="L31" s="100">
        <f t="shared" si="10"/>
        <v>14400000</v>
      </c>
      <c r="M31" s="107"/>
      <c r="N31" s="107"/>
      <c r="O31" s="107"/>
    </row>
    <row r="32" spans="2:15" ht="15" customHeight="1">
      <c r="B32" s="94" t="s">
        <v>88</v>
      </c>
      <c r="C32" s="94"/>
      <c r="D32" s="94"/>
      <c r="E32" s="18"/>
      <c r="F32" s="100">
        <v>600000</v>
      </c>
      <c r="G32" s="18"/>
      <c r="H32" s="18"/>
      <c r="I32" s="18"/>
      <c r="J32" s="18"/>
      <c r="K32" s="18"/>
      <c r="L32" s="18"/>
      <c r="M32" s="107"/>
      <c r="N32" s="107"/>
      <c r="O32" s="107"/>
    </row>
    <row r="33" spans="2:15" ht="15" customHeight="1">
      <c r="B33" s="94" t="s">
        <v>91</v>
      </c>
      <c r="C33" s="94">
        <v>1</v>
      </c>
      <c r="D33" s="110">
        <v>200000</v>
      </c>
      <c r="E33" s="18"/>
      <c r="F33" s="100">
        <f>D33*12</f>
        <v>2400000</v>
      </c>
      <c r="G33" s="100">
        <f t="shared" ref="G33:L33" si="11">(F33*3.5%)+F33</f>
        <v>2484000</v>
      </c>
      <c r="H33" s="100">
        <f t="shared" si="11"/>
        <v>2570940</v>
      </c>
      <c r="I33" s="100">
        <f t="shared" si="11"/>
        <v>2660922.9</v>
      </c>
      <c r="J33" s="100">
        <f t="shared" si="11"/>
        <v>2754055.2015</v>
      </c>
      <c r="K33" s="100">
        <f t="shared" si="11"/>
        <v>2850447.1335525</v>
      </c>
      <c r="L33" s="100">
        <f t="shared" si="11"/>
        <v>2950212.7832268374</v>
      </c>
      <c r="M33" s="107"/>
      <c r="N33" s="107"/>
      <c r="O33" s="107"/>
    </row>
    <row r="34" spans="2:15" ht="15" customHeight="1">
      <c r="B34" s="94" t="s">
        <v>92</v>
      </c>
      <c r="C34" s="94">
        <v>4</v>
      </c>
      <c r="D34" s="110">
        <v>20000</v>
      </c>
      <c r="E34" s="18"/>
      <c r="F34" s="100">
        <f>((D34*4)*5)+((D34*2)*7)</f>
        <v>680000</v>
      </c>
      <c r="G34" s="100">
        <f>(D34*2*12)+((D34*2*12)*3.5%)</f>
        <v>496800</v>
      </c>
      <c r="H34" s="100">
        <f t="shared" ref="H34:L35" si="12">G34+G34*3.5%</f>
        <v>514188</v>
      </c>
      <c r="I34" s="100">
        <f t="shared" si="12"/>
        <v>532184.57999999996</v>
      </c>
      <c r="J34" s="100">
        <f t="shared" si="12"/>
        <v>550811.04029999999</v>
      </c>
      <c r="K34" s="100">
        <f t="shared" si="12"/>
        <v>570089.42671050003</v>
      </c>
      <c r="L34" s="100">
        <f t="shared" si="12"/>
        <v>590042.55664536753</v>
      </c>
      <c r="M34" s="107"/>
      <c r="N34" s="107"/>
      <c r="O34" s="107"/>
    </row>
    <row r="35" spans="2:15" ht="15" customHeight="1">
      <c r="B35" s="94" t="s">
        <v>96</v>
      </c>
      <c r="C35" s="94">
        <v>1</v>
      </c>
      <c r="D35" s="110">
        <f>D28</f>
        <v>650000</v>
      </c>
      <c r="E35" s="18"/>
      <c r="F35" s="100">
        <f>D35*(12-5)</f>
        <v>4550000</v>
      </c>
      <c r="G35" s="100">
        <f>(D35*12)+(D35*12)*3.5%</f>
        <v>8073000</v>
      </c>
      <c r="H35" s="100">
        <f t="shared" si="12"/>
        <v>8355555</v>
      </c>
      <c r="I35" s="100">
        <f t="shared" si="12"/>
        <v>8647999.4250000007</v>
      </c>
      <c r="J35" s="100">
        <f t="shared" si="12"/>
        <v>8950679.4048750009</v>
      </c>
      <c r="K35" s="100">
        <f t="shared" si="12"/>
        <v>9263953.1840456259</v>
      </c>
      <c r="L35" s="100">
        <f t="shared" si="12"/>
        <v>9588191.5454872232</v>
      </c>
      <c r="M35" s="107"/>
      <c r="N35" s="107"/>
      <c r="O35" s="107"/>
    </row>
    <row r="36" spans="2:15" ht="15" customHeight="1">
      <c r="B36" s="94"/>
      <c r="C36" s="94"/>
      <c r="D36" s="110"/>
      <c r="E36" s="18"/>
      <c r="F36" s="100"/>
      <c r="G36" s="100"/>
      <c r="H36" s="100"/>
      <c r="I36" s="100"/>
      <c r="J36" s="100"/>
      <c r="K36" s="100"/>
      <c r="L36" s="100"/>
      <c r="M36" s="107"/>
      <c r="N36" s="107"/>
      <c r="O36" s="107"/>
    </row>
    <row r="37" spans="2:15" ht="15" customHeight="1">
      <c r="B37" s="131" t="s">
        <v>28</v>
      </c>
      <c r="C37" s="132"/>
      <c r="D37" s="133"/>
      <c r="E37" s="117">
        <f>SUM(E28:E36)</f>
        <v>600000</v>
      </c>
      <c r="F37" s="117">
        <f t="shared" ref="F37:L37" si="13">SUM(F28:F36)</f>
        <v>38380000</v>
      </c>
      <c r="G37" s="117">
        <f t="shared" si="13"/>
        <v>32905800</v>
      </c>
      <c r="H37" s="117">
        <f t="shared" si="13"/>
        <v>33553503</v>
      </c>
      <c r="I37" s="117">
        <f t="shared" si="13"/>
        <v>34223875.604999997</v>
      </c>
      <c r="J37" s="117">
        <f t="shared" si="13"/>
        <v>34917711.251175001</v>
      </c>
      <c r="K37" s="117">
        <f t="shared" si="13"/>
        <v>35635831.144966125</v>
      </c>
      <c r="L37" s="117">
        <f t="shared" si="13"/>
        <v>36379085.235039942</v>
      </c>
      <c r="M37" s="107"/>
      <c r="N37" s="107"/>
      <c r="O37" s="107"/>
    </row>
    <row r="39" spans="2:15">
      <c r="B39" s="140" t="s">
        <v>70</v>
      </c>
      <c r="C39" s="138" t="s">
        <v>0</v>
      </c>
      <c r="D39" s="135" t="s">
        <v>1</v>
      </c>
      <c r="E39" s="136"/>
      <c r="F39" s="136"/>
      <c r="G39" s="136"/>
      <c r="H39" s="136"/>
      <c r="I39" s="136"/>
      <c r="J39" s="136"/>
      <c r="K39" s="136"/>
      <c r="L39" s="136"/>
      <c r="M39" s="137"/>
    </row>
    <row r="40" spans="2:15">
      <c r="B40" s="141"/>
      <c r="C40" s="139"/>
      <c r="D40" s="90">
        <v>1</v>
      </c>
      <c r="E40" s="90">
        <v>2</v>
      </c>
      <c r="F40" s="90">
        <v>3</v>
      </c>
      <c r="G40" s="90">
        <v>4</v>
      </c>
      <c r="H40" s="90">
        <v>5</v>
      </c>
      <c r="I40" s="90">
        <v>6</v>
      </c>
      <c r="J40" s="90">
        <v>7</v>
      </c>
      <c r="K40" s="90">
        <v>8</v>
      </c>
      <c r="L40" s="90">
        <v>9</v>
      </c>
      <c r="M40" s="90">
        <v>10</v>
      </c>
    </row>
    <row r="41" spans="2:15">
      <c r="B41" s="23" t="s">
        <v>2</v>
      </c>
      <c r="C41" s="22" t="s">
        <v>3</v>
      </c>
      <c r="D41" s="39">
        <f t="shared" ref="D41:J41" si="14">C6</f>
        <v>30</v>
      </c>
      <c r="E41" s="39">
        <f t="shared" si="14"/>
        <v>130</v>
      </c>
      <c r="F41" s="39">
        <f t="shared" si="14"/>
        <v>215</v>
      </c>
      <c r="G41" s="39">
        <f t="shared" si="14"/>
        <v>247.25</v>
      </c>
      <c r="H41" s="39">
        <f t="shared" si="14"/>
        <v>284.33749999999998</v>
      </c>
      <c r="I41" s="39">
        <f t="shared" si="14"/>
        <v>326.98812499999997</v>
      </c>
      <c r="J41" s="39">
        <f t="shared" si="14"/>
        <v>376.03634375000001</v>
      </c>
      <c r="K41" s="39"/>
      <c r="L41" s="39"/>
      <c r="M41" s="39"/>
    </row>
    <row r="42" spans="2:15">
      <c r="B42" s="23" t="s">
        <v>4</v>
      </c>
      <c r="C42" s="22" t="s">
        <v>5</v>
      </c>
      <c r="D42" s="73">
        <v>1000000</v>
      </c>
      <c r="E42" s="73">
        <v>1500000</v>
      </c>
      <c r="F42" s="73">
        <f>$E$42</f>
        <v>1500000</v>
      </c>
      <c r="G42" s="73">
        <f t="shared" ref="G42:I42" si="15">$E$42</f>
        <v>1500000</v>
      </c>
      <c r="H42" s="73">
        <f t="shared" si="15"/>
        <v>1500000</v>
      </c>
      <c r="I42" s="73">
        <f t="shared" si="15"/>
        <v>1500000</v>
      </c>
      <c r="J42" s="73">
        <f>1000000</f>
        <v>1000000</v>
      </c>
      <c r="K42" s="73"/>
      <c r="L42" s="73"/>
      <c r="M42" s="73"/>
      <c r="N42" s="64"/>
    </row>
    <row r="43" spans="2:15">
      <c r="B43" s="23" t="s">
        <v>72</v>
      </c>
      <c r="C43" s="22" t="s">
        <v>5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64"/>
    </row>
    <row r="44" spans="2:15">
      <c r="B44" s="23" t="s">
        <v>48</v>
      </c>
      <c r="C44" s="22" t="s">
        <v>5</v>
      </c>
      <c r="D44" s="73">
        <f>D41*D42</f>
        <v>30000000</v>
      </c>
      <c r="E44" s="73">
        <f t="shared" ref="E44:J44" si="16">E41*E42</f>
        <v>195000000</v>
      </c>
      <c r="F44" s="73">
        <f t="shared" si="16"/>
        <v>322500000</v>
      </c>
      <c r="G44" s="73">
        <f t="shared" si="16"/>
        <v>370875000</v>
      </c>
      <c r="H44" s="73">
        <f t="shared" si="16"/>
        <v>426506249.99999994</v>
      </c>
      <c r="I44" s="73">
        <f t="shared" si="16"/>
        <v>490482187.49999994</v>
      </c>
      <c r="J44" s="73">
        <f t="shared" si="16"/>
        <v>376036343.75</v>
      </c>
      <c r="K44" s="73"/>
      <c r="L44" s="73"/>
      <c r="M44" s="73"/>
      <c r="N44" s="53"/>
    </row>
    <row r="45" spans="2:15">
      <c r="B45" s="23" t="s">
        <v>47</v>
      </c>
      <c r="C45" s="22" t="s">
        <v>5</v>
      </c>
      <c r="D45" s="69">
        <f>D43*D41</f>
        <v>0</v>
      </c>
      <c r="E45" s="69">
        <f t="shared" ref="E45:J45" si="17">E43*E41</f>
        <v>0</v>
      </c>
      <c r="F45" s="69">
        <f t="shared" si="17"/>
        <v>0</v>
      </c>
      <c r="G45" s="69">
        <f t="shared" si="17"/>
        <v>0</v>
      </c>
      <c r="H45" s="69">
        <f t="shared" si="17"/>
        <v>0</v>
      </c>
      <c r="I45" s="69">
        <f t="shared" si="17"/>
        <v>0</v>
      </c>
      <c r="J45" s="69">
        <f t="shared" si="17"/>
        <v>0</v>
      </c>
      <c r="K45" s="69"/>
      <c r="L45" s="69"/>
      <c r="M45" s="69"/>
      <c r="N45" s="53"/>
    </row>
    <row r="46" spans="2:15"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8" spans="2:15">
      <c r="B48" s="124" t="s">
        <v>38</v>
      </c>
      <c r="C48" s="125" t="s">
        <v>0</v>
      </c>
      <c r="D48" s="126" t="s">
        <v>1</v>
      </c>
      <c r="E48" s="127"/>
      <c r="F48" s="127"/>
      <c r="G48" s="127"/>
      <c r="H48" s="127"/>
      <c r="I48" s="127"/>
      <c r="J48" s="127"/>
      <c r="K48" s="127"/>
      <c r="L48" s="127"/>
      <c r="M48" s="128"/>
    </row>
    <row r="49" spans="2:14">
      <c r="B49" s="124"/>
      <c r="C49" s="125"/>
      <c r="D49" s="40">
        <v>1</v>
      </c>
      <c r="E49" s="40">
        <v>2</v>
      </c>
      <c r="F49" s="40">
        <v>3</v>
      </c>
      <c r="G49" s="40">
        <v>4</v>
      </c>
      <c r="H49" s="40">
        <v>5</v>
      </c>
      <c r="I49" s="40">
        <v>6</v>
      </c>
      <c r="J49" s="40">
        <v>7</v>
      </c>
      <c r="K49" s="40">
        <v>8</v>
      </c>
      <c r="L49" s="40">
        <v>9</v>
      </c>
      <c r="M49" s="40">
        <v>10</v>
      </c>
    </row>
    <row r="50" spans="2:14">
      <c r="B50" s="41" t="s">
        <v>39</v>
      </c>
      <c r="C50" s="40" t="s">
        <v>3</v>
      </c>
      <c r="D50" s="105">
        <f>D44</f>
        <v>30000000</v>
      </c>
      <c r="E50" s="105">
        <f t="shared" ref="E50:J50" si="18">E44</f>
        <v>195000000</v>
      </c>
      <c r="F50" s="105">
        <f t="shared" si="18"/>
        <v>322500000</v>
      </c>
      <c r="G50" s="105">
        <f t="shared" si="18"/>
        <v>370875000</v>
      </c>
      <c r="H50" s="105">
        <f t="shared" si="18"/>
        <v>426506249.99999994</v>
      </c>
      <c r="I50" s="105">
        <f t="shared" si="18"/>
        <v>490482187.49999994</v>
      </c>
      <c r="J50" s="105">
        <f t="shared" si="18"/>
        <v>376036343.75</v>
      </c>
      <c r="K50" s="39"/>
      <c r="L50" s="39"/>
      <c r="M50" s="39"/>
      <c r="N50" s="53"/>
    </row>
    <row r="51" spans="2:14">
      <c r="N51" s="53"/>
    </row>
    <row r="52" spans="2:14">
      <c r="E52" s="83"/>
    </row>
    <row r="53" spans="2:14" ht="30">
      <c r="D53" s="119" t="s">
        <v>101</v>
      </c>
      <c r="E53" s="118">
        <f>(E37+E24)/2</f>
        <v>300000</v>
      </c>
    </row>
    <row r="72" spans="16:16">
      <c r="P72" s="54" t="s">
        <v>32</v>
      </c>
    </row>
    <row r="73" spans="16:16">
      <c r="P73" s="122" t="e">
        <f>SUM(N44:N45,#REF!,#REF!,#REF!,N50:N51)</f>
        <v>#REF!</v>
      </c>
    </row>
    <row r="74" spans="16:16">
      <c r="P74" s="123"/>
    </row>
  </sheetData>
  <mergeCells count="16">
    <mergeCell ref="P73:P74"/>
    <mergeCell ref="B48:B49"/>
    <mergeCell ref="C48:C49"/>
    <mergeCell ref="D48:M48"/>
    <mergeCell ref="E14:L14"/>
    <mergeCell ref="B24:D24"/>
    <mergeCell ref="B14:B15"/>
    <mergeCell ref="D39:M39"/>
    <mergeCell ref="C39:C40"/>
    <mergeCell ref="B39:B40"/>
    <mergeCell ref="B26:B27"/>
    <mergeCell ref="B37:D37"/>
    <mergeCell ref="D26:D27"/>
    <mergeCell ref="C26:C27"/>
    <mergeCell ref="C14:C15"/>
    <mergeCell ref="D14:D1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2"/>
  <sheetViews>
    <sheetView showGridLines="0" topLeftCell="A2" zoomScale="70" zoomScaleNormal="70" workbookViewId="0">
      <selection activeCell="L8" sqref="L8"/>
    </sheetView>
  </sheetViews>
  <sheetFormatPr baseColWidth="10" defaultRowHeight="15"/>
  <cols>
    <col min="2" max="2" width="32.140625" customWidth="1"/>
    <col min="3" max="3" width="12.5703125" customWidth="1"/>
    <col min="4" max="4" width="13.28515625" customWidth="1"/>
    <col min="5" max="5" width="12.140625" bestFit="1" customWidth="1"/>
    <col min="7" max="7" width="16.7109375" customWidth="1"/>
    <col min="8" max="9" width="14.28515625" bestFit="1" customWidth="1"/>
    <col min="10" max="15" width="13.140625" bestFit="1" customWidth="1"/>
    <col min="16" max="16" width="13.42578125" customWidth="1"/>
    <col min="17" max="17" width="13.140625" bestFit="1" customWidth="1"/>
    <col min="18" max="19" width="13.42578125" customWidth="1"/>
  </cols>
  <sheetData>
    <row r="1" spans="1:20" ht="15.75" thickBot="1"/>
    <row r="2" spans="1:20" ht="38.25">
      <c r="A2" s="121" t="s">
        <v>40</v>
      </c>
      <c r="B2" s="142" t="s">
        <v>12</v>
      </c>
      <c r="C2" s="2" t="s">
        <v>7</v>
      </c>
      <c r="D2" s="2" t="s">
        <v>13</v>
      </c>
      <c r="E2" s="2" t="s">
        <v>14</v>
      </c>
      <c r="F2" s="2" t="s">
        <v>15</v>
      </c>
      <c r="G2" s="19" t="s">
        <v>16</v>
      </c>
      <c r="H2" s="145" t="s">
        <v>17</v>
      </c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ht="25.5">
      <c r="A3" s="121"/>
      <c r="B3" s="143"/>
      <c r="C3" s="75"/>
      <c r="D3" s="75"/>
      <c r="E3" s="75"/>
      <c r="F3" s="75"/>
      <c r="G3" s="76"/>
      <c r="H3" s="77"/>
      <c r="I3" s="78"/>
      <c r="J3" s="77"/>
      <c r="K3" s="78"/>
      <c r="L3" s="77"/>
      <c r="M3" s="78"/>
      <c r="N3" s="77"/>
      <c r="O3" s="78"/>
      <c r="P3" s="77"/>
      <c r="Q3" s="78"/>
      <c r="R3" s="77"/>
    </row>
    <row r="4" spans="1:20" ht="18.75" customHeight="1" thickBot="1">
      <c r="A4" s="121"/>
      <c r="B4" s="144"/>
      <c r="C4" s="9" t="s">
        <v>18</v>
      </c>
      <c r="D4" s="9" t="s">
        <v>19</v>
      </c>
      <c r="E4" s="9" t="s">
        <v>20</v>
      </c>
      <c r="F4" s="9" t="s">
        <v>20</v>
      </c>
      <c r="G4" s="20" t="s">
        <v>21</v>
      </c>
      <c r="H4" s="25">
        <v>0</v>
      </c>
      <c r="I4" s="10">
        <v>1</v>
      </c>
      <c r="J4" s="10">
        <v>2</v>
      </c>
      <c r="K4" s="10">
        <v>3</v>
      </c>
      <c r="L4" s="10">
        <v>4</v>
      </c>
      <c r="M4" s="10">
        <v>5</v>
      </c>
      <c r="N4" s="10">
        <v>6</v>
      </c>
      <c r="O4" s="10">
        <v>7</v>
      </c>
      <c r="P4" s="10">
        <v>8</v>
      </c>
      <c r="Q4" s="10">
        <v>9</v>
      </c>
      <c r="R4" s="65">
        <v>10</v>
      </c>
      <c r="S4" s="55" t="s">
        <v>34</v>
      </c>
    </row>
    <row r="5" spans="1:20">
      <c r="A5" s="45"/>
      <c r="B5" s="44" t="str">
        <f>Activos!B6</f>
        <v>Licencia del software (GPS)</v>
      </c>
      <c r="C5" s="46"/>
      <c r="D5" s="47">
        <f>Activos!E6</f>
        <v>10500000</v>
      </c>
      <c r="E5" s="47">
        <f>Activos!F6</f>
        <v>6</v>
      </c>
      <c r="F5" s="47">
        <f>Activos!G6</f>
        <v>4</v>
      </c>
      <c r="G5" s="47">
        <f>Activos!H6</f>
        <v>0</v>
      </c>
      <c r="H5" s="7">
        <f>D5</f>
        <v>10500000</v>
      </c>
      <c r="I5" s="8"/>
      <c r="J5" s="8"/>
      <c r="K5" s="8"/>
      <c r="L5" s="8"/>
      <c r="M5" s="8">
        <f>D5</f>
        <v>10500000</v>
      </c>
      <c r="N5" s="8"/>
      <c r="O5" s="6"/>
      <c r="P5" s="7"/>
      <c r="Q5" s="8"/>
      <c r="R5" s="66"/>
      <c r="S5" s="55"/>
    </row>
    <row r="6" spans="1:20">
      <c r="A6" s="45"/>
      <c r="B6" s="44" t="str">
        <f>Activos!B7</f>
        <v>API</v>
      </c>
      <c r="C6" s="46"/>
      <c r="D6" s="47">
        <f>Activos!E7</f>
        <v>2100000</v>
      </c>
      <c r="E6" s="47">
        <f>Activos!F7</f>
        <v>2</v>
      </c>
      <c r="F6" s="47">
        <f>Activos!G7</f>
        <v>2</v>
      </c>
      <c r="G6" s="47">
        <f>Activos!H7</f>
        <v>0</v>
      </c>
      <c r="H6" s="7">
        <f>D6</f>
        <v>2100000</v>
      </c>
      <c r="I6" s="1"/>
      <c r="J6" s="1"/>
      <c r="K6" s="1">
        <f>D6</f>
        <v>2100000</v>
      </c>
      <c r="L6" s="1"/>
      <c r="M6" s="1"/>
      <c r="N6" s="1">
        <f>D6</f>
        <v>2100000</v>
      </c>
      <c r="O6" s="15"/>
      <c r="P6" s="1"/>
      <c r="Q6" s="1"/>
      <c r="R6" s="67"/>
      <c r="S6" s="55"/>
    </row>
    <row r="7" spans="1:20">
      <c r="A7" s="45"/>
      <c r="B7" s="44" t="str">
        <f>Activos!B8</f>
        <v>Apple Imac</v>
      </c>
      <c r="C7" s="46">
        <v>2</v>
      </c>
      <c r="D7" s="47">
        <f>Activos!E8</f>
        <v>2000000</v>
      </c>
      <c r="E7" s="47">
        <f>Activos!F8</f>
        <v>3</v>
      </c>
      <c r="F7" s="47">
        <f>Activos!G8</f>
        <v>3</v>
      </c>
      <c r="G7" s="47">
        <f>Activos!H8</f>
        <v>500000</v>
      </c>
      <c r="H7" s="7">
        <f>D7*2</f>
        <v>4000000</v>
      </c>
      <c r="I7" s="1"/>
      <c r="J7" s="1"/>
      <c r="K7" s="1"/>
      <c r="L7" s="1">
        <f>H7</f>
        <v>4000000</v>
      </c>
      <c r="M7" s="1"/>
      <c r="N7" s="1"/>
      <c r="O7" s="18"/>
      <c r="P7" s="1"/>
      <c r="Q7" s="1"/>
      <c r="R7" s="67"/>
      <c r="S7" s="55"/>
    </row>
    <row r="8" spans="1:20">
      <c r="A8" s="45"/>
      <c r="B8" s="44"/>
      <c r="C8" s="46"/>
      <c r="D8" s="47"/>
      <c r="E8" s="46"/>
      <c r="F8" s="46"/>
      <c r="G8" s="48"/>
      <c r="H8" s="7"/>
      <c r="I8" s="1"/>
      <c r="J8" s="1"/>
      <c r="K8" s="1"/>
      <c r="L8" s="1"/>
      <c r="M8" s="1"/>
      <c r="N8" s="1"/>
      <c r="O8" s="1"/>
      <c r="P8" s="1"/>
      <c r="Q8" s="1"/>
      <c r="R8" s="67"/>
      <c r="S8" s="55"/>
    </row>
    <row r="9" spans="1:20" ht="43.5" customHeight="1" thickBot="1">
      <c r="B9" s="14" t="s">
        <v>28</v>
      </c>
      <c r="C9" s="3"/>
      <c r="D9" s="4"/>
      <c r="E9" s="5"/>
      <c r="F9" s="5"/>
      <c r="G9" s="21"/>
      <c r="H9" s="17">
        <f t="shared" ref="H9:Q9" si="0">SUM(H5:H8)</f>
        <v>16600000</v>
      </c>
      <c r="I9" s="11">
        <f t="shared" si="0"/>
        <v>0</v>
      </c>
      <c r="J9" s="11">
        <f t="shared" si="0"/>
        <v>0</v>
      </c>
      <c r="K9" s="11">
        <f t="shared" si="0"/>
        <v>2100000</v>
      </c>
      <c r="L9" s="11">
        <f t="shared" si="0"/>
        <v>4000000</v>
      </c>
      <c r="M9" s="11">
        <f t="shared" si="0"/>
        <v>10500000</v>
      </c>
      <c r="N9" s="11">
        <f t="shared" si="0"/>
        <v>2100000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ref="R9" si="1">SUM(R5:R8)</f>
        <v>0</v>
      </c>
      <c r="S9" s="55"/>
    </row>
    <row r="10" spans="1:20" ht="7.5" customHeight="1">
      <c r="T10" s="56">
        <f>SUM(S5:S9)</f>
        <v>0</v>
      </c>
    </row>
    <row r="11" spans="1:20" ht="15.75" thickBot="1"/>
    <row r="12" spans="1:20" ht="38.25">
      <c r="A12" s="121" t="s">
        <v>40</v>
      </c>
      <c r="B12" s="142" t="s">
        <v>12</v>
      </c>
      <c r="C12" s="2" t="s">
        <v>7</v>
      </c>
      <c r="D12" s="2" t="s">
        <v>13</v>
      </c>
      <c r="E12" s="2" t="s">
        <v>14</v>
      </c>
      <c r="F12" s="2" t="s">
        <v>15</v>
      </c>
      <c r="G12" s="19" t="s">
        <v>16</v>
      </c>
      <c r="H12" s="145" t="s">
        <v>22</v>
      </c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</row>
    <row r="13" spans="1:20" ht="25.5">
      <c r="A13" s="121"/>
      <c r="B13" s="143"/>
      <c r="C13" s="75"/>
      <c r="D13" s="75"/>
      <c r="E13" s="75"/>
      <c r="F13" s="75"/>
      <c r="G13" s="76"/>
      <c r="H13" s="77"/>
      <c r="I13" s="77"/>
      <c r="J13" s="78"/>
      <c r="K13" s="77"/>
      <c r="L13" s="78"/>
      <c r="M13" s="77"/>
      <c r="N13" s="78"/>
      <c r="O13" s="77"/>
      <c r="P13" s="78"/>
      <c r="Q13" s="77"/>
      <c r="R13" s="78"/>
      <c r="S13" s="77"/>
      <c r="T13" s="55" t="s">
        <v>34</v>
      </c>
    </row>
    <row r="14" spans="1:20" ht="18.75" thickBot="1">
      <c r="A14" s="121"/>
      <c r="B14" s="144"/>
      <c r="C14" s="9" t="s">
        <v>18</v>
      </c>
      <c r="D14" s="9" t="s">
        <v>19</v>
      </c>
      <c r="E14" s="9" t="s">
        <v>20</v>
      </c>
      <c r="F14" s="9" t="s">
        <v>20</v>
      </c>
      <c r="G14" s="20" t="s">
        <v>21</v>
      </c>
      <c r="H14" s="25">
        <v>0</v>
      </c>
      <c r="I14" s="10">
        <v>1</v>
      </c>
      <c r="J14" s="10">
        <v>2</v>
      </c>
      <c r="K14" s="10">
        <v>3</v>
      </c>
      <c r="L14" s="10">
        <v>4</v>
      </c>
      <c r="M14" s="10">
        <v>5</v>
      </c>
      <c r="N14" s="10">
        <v>6</v>
      </c>
      <c r="O14" s="10">
        <v>7</v>
      </c>
      <c r="P14" s="10">
        <v>8</v>
      </c>
      <c r="Q14" s="10">
        <v>9</v>
      </c>
      <c r="R14" s="65">
        <v>10</v>
      </c>
      <c r="S14" s="55"/>
    </row>
    <row r="15" spans="1:20">
      <c r="A15" s="45"/>
      <c r="B15" s="44" t="str">
        <f>B5</f>
        <v>Licencia del software (GPS)</v>
      </c>
      <c r="C15" s="46"/>
      <c r="D15" s="47">
        <f>D5</f>
        <v>10500000</v>
      </c>
      <c r="E15" s="47">
        <f t="shared" ref="E15:G17" si="2">E5</f>
        <v>6</v>
      </c>
      <c r="F15" s="47">
        <f t="shared" si="2"/>
        <v>4</v>
      </c>
      <c r="G15" s="47">
        <f t="shared" si="2"/>
        <v>0</v>
      </c>
      <c r="H15" s="7"/>
      <c r="I15" s="7">
        <f t="shared" ref="I15:L15" si="3">$H$5/$E$15</f>
        <v>1750000</v>
      </c>
      <c r="J15" s="7">
        <f t="shared" si="3"/>
        <v>1750000</v>
      </c>
      <c r="K15" s="7">
        <f t="shared" si="3"/>
        <v>1750000</v>
      </c>
      <c r="L15" s="7">
        <f t="shared" si="3"/>
        <v>1750000</v>
      </c>
      <c r="M15" s="7"/>
      <c r="N15" s="7">
        <f>$M$5/$E$15</f>
        <v>1750000</v>
      </c>
      <c r="O15" s="7">
        <f t="shared" ref="O15" si="4">$M$5/$E$15</f>
        <v>1750000</v>
      </c>
      <c r="P15" s="7"/>
      <c r="Q15" s="7"/>
      <c r="R15" s="66"/>
      <c r="S15" s="55"/>
    </row>
    <row r="16" spans="1:20">
      <c r="A16" s="45"/>
      <c r="B16" s="44" t="str">
        <f>B6</f>
        <v>API</v>
      </c>
      <c r="C16" s="46"/>
      <c r="D16" s="47">
        <f>D6</f>
        <v>2100000</v>
      </c>
      <c r="E16" s="47">
        <f t="shared" si="2"/>
        <v>2</v>
      </c>
      <c r="F16" s="47">
        <f t="shared" si="2"/>
        <v>2</v>
      </c>
      <c r="G16" s="47">
        <f t="shared" si="2"/>
        <v>0</v>
      </c>
      <c r="H16" s="7"/>
      <c r="I16" s="7">
        <f>$H$6/$E$16</f>
        <v>1050000</v>
      </c>
      <c r="J16" s="7">
        <f>$H$6/$E$16</f>
        <v>1050000</v>
      </c>
      <c r="K16" s="7"/>
      <c r="L16" s="7">
        <f>$K$6/$E$6</f>
        <v>1050000</v>
      </c>
      <c r="M16" s="7">
        <f>$K$6/$E$6</f>
        <v>1050000</v>
      </c>
      <c r="N16" s="1"/>
      <c r="O16" s="100">
        <f>$N$6/$E$6</f>
        <v>1050000</v>
      </c>
      <c r="P16" s="98"/>
      <c r="Q16" s="1"/>
      <c r="R16" s="67"/>
      <c r="S16" s="55"/>
    </row>
    <row r="17" spans="1:20">
      <c r="A17" s="45"/>
      <c r="B17" s="44" t="str">
        <f>B7</f>
        <v>Apple Imac</v>
      </c>
      <c r="C17" s="46">
        <v>2</v>
      </c>
      <c r="D17" s="47">
        <f>D7</f>
        <v>2000000</v>
      </c>
      <c r="E17" s="47">
        <f t="shared" si="2"/>
        <v>3</v>
      </c>
      <c r="F17" s="47">
        <f t="shared" si="2"/>
        <v>3</v>
      </c>
      <c r="G17" s="47">
        <f t="shared" si="2"/>
        <v>500000</v>
      </c>
      <c r="H17" s="7"/>
      <c r="I17" s="7">
        <f>$H$7/$E$17</f>
        <v>1333333.3333333333</v>
      </c>
      <c r="J17" s="7">
        <f t="shared" ref="J17:K17" si="5">$H$7/$E$17</f>
        <v>1333333.3333333333</v>
      </c>
      <c r="K17" s="7">
        <f t="shared" si="5"/>
        <v>1333333.3333333333</v>
      </c>
      <c r="L17" s="7"/>
      <c r="M17" s="1">
        <f>$L$7/$E$17</f>
        <v>1333333.3333333333</v>
      </c>
      <c r="N17" s="1">
        <f t="shared" ref="N17:O17" si="6">$L$7/$E$17</f>
        <v>1333333.3333333333</v>
      </c>
      <c r="O17" s="1">
        <f t="shared" si="6"/>
        <v>1333333.3333333333</v>
      </c>
      <c r="P17" s="1"/>
      <c r="Q17" s="1"/>
      <c r="R17" s="67"/>
      <c r="S17" s="55"/>
    </row>
    <row r="18" spans="1:20">
      <c r="A18" s="45"/>
      <c r="B18" s="44"/>
      <c r="C18" s="46"/>
      <c r="D18" s="47"/>
      <c r="E18" s="46"/>
      <c r="F18" s="46"/>
      <c r="G18" s="48"/>
      <c r="H18" s="7"/>
      <c r="I18" s="7"/>
      <c r="J18" s="7"/>
      <c r="K18" s="7"/>
      <c r="L18" s="7"/>
      <c r="M18" s="7"/>
      <c r="N18" s="1"/>
      <c r="O18" s="1"/>
      <c r="P18" s="1"/>
      <c r="Q18" s="1"/>
      <c r="R18" s="67"/>
      <c r="S18" s="55"/>
    </row>
    <row r="19" spans="1:20" ht="30" customHeight="1" thickBot="1">
      <c r="B19" s="14" t="s">
        <v>28</v>
      </c>
      <c r="C19" s="3"/>
      <c r="D19" s="4"/>
      <c r="E19" s="5"/>
      <c r="F19" s="5"/>
      <c r="G19" s="21"/>
      <c r="H19" s="17">
        <f t="shared" ref="H19:R19" si="7">SUM(H15:H18)</f>
        <v>0</v>
      </c>
      <c r="I19" s="11">
        <f t="shared" si="7"/>
        <v>4133333.333333333</v>
      </c>
      <c r="J19" s="11">
        <f t="shared" si="7"/>
        <v>4133333.333333333</v>
      </c>
      <c r="K19" s="11">
        <f t="shared" si="7"/>
        <v>3083333.333333333</v>
      </c>
      <c r="L19" s="11">
        <f t="shared" si="7"/>
        <v>2800000</v>
      </c>
      <c r="M19" s="11">
        <f t="shared" si="7"/>
        <v>2383333.333333333</v>
      </c>
      <c r="N19" s="11">
        <f t="shared" si="7"/>
        <v>3083333.333333333</v>
      </c>
      <c r="O19" s="11">
        <f t="shared" si="7"/>
        <v>4133333.333333333</v>
      </c>
      <c r="P19" s="11">
        <f t="shared" si="7"/>
        <v>0</v>
      </c>
      <c r="Q19" s="11">
        <f t="shared" si="7"/>
        <v>0</v>
      </c>
      <c r="R19" s="11">
        <f t="shared" si="7"/>
        <v>0</v>
      </c>
      <c r="S19" s="56">
        <f>SUM(S14:S18)</f>
        <v>0</v>
      </c>
    </row>
    <row r="20" spans="1:20" ht="11.25" customHeight="1" thickBot="1"/>
    <row r="21" spans="1:20" ht="38.25">
      <c r="A21" s="121" t="s">
        <v>40</v>
      </c>
      <c r="B21" s="142" t="s">
        <v>12</v>
      </c>
      <c r="C21" s="2" t="s">
        <v>7</v>
      </c>
      <c r="D21" s="2" t="s">
        <v>13</v>
      </c>
      <c r="E21" s="2" t="s">
        <v>14</v>
      </c>
      <c r="F21" s="2" t="s">
        <v>15</v>
      </c>
      <c r="G21" s="19" t="s">
        <v>16</v>
      </c>
      <c r="H21" s="145" t="s">
        <v>23</v>
      </c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1:20" ht="25.5">
      <c r="A22" s="121"/>
      <c r="B22" s="143"/>
      <c r="C22" s="75"/>
      <c r="D22" s="75"/>
      <c r="E22" s="75"/>
      <c r="F22" s="75"/>
      <c r="G22" s="76"/>
      <c r="H22" s="77"/>
      <c r="I22" s="77"/>
      <c r="J22" s="78"/>
      <c r="K22" s="77"/>
      <c r="L22" s="78"/>
      <c r="M22" s="77"/>
      <c r="N22" s="78"/>
      <c r="O22" s="77"/>
      <c r="P22" s="78"/>
      <c r="Q22" s="77"/>
      <c r="R22" s="78"/>
      <c r="S22" s="77"/>
      <c r="T22" s="55" t="s">
        <v>34</v>
      </c>
    </row>
    <row r="23" spans="1:20" ht="18.75" thickBot="1">
      <c r="A23" s="121"/>
      <c r="B23" s="144"/>
      <c r="C23" s="9" t="s">
        <v>18</v>
      </c>
      <c r="D23" s="9" t="s">
        <v>19</v>
      </c>
      <c r="E23" s="9" t="s">
        <v>20</v>
      </c>
      <c r="F23" s="9" t="s">
        <v>20</v>
      </c>
      <c r="G23" s="20" t="s">
        <v>21</v>
      </c>
      <c r="H23" s="25">
        <v>0</v>
      </c>
      <c r="I23" s="10">
        <v>1</v>
      </c>
      <c r="J23" s="10">
        <v>2</v>
      </c>
      <c r="K23" s="10">
        <v>3</v>
      </c>
      <c r="L23" s="10">
        <v>4</v>
      </c>
      <c r="M23" s="10">
        <v>5</v>
      </c>
      <c r="N23" s="10">
        <v>6</v>
      </c>
      <c r="O23" s="10">
        <v>7</v>
      </c>
      <c r="P23" s="10">
        <v>8</v>
      </c>
      <c r="Q23" s="10">
        <v>9</v>
      </c>
      <c r="R23" s="65">
        <v>10</v>
      </c>
      <c r="S23" s="55"/>
    </row>
    <row r="24" spans="1:20">
      <c r="A24" s="45"/>
      <c r="B24" s="44" t="str">
        <f>B5</f>
        <v>Licencia del software (GPS)</v>
      </c>
      <c r="C24" s="46"/>
      <c r="D24" s="47">
        <f>D5</f>
        <v>10500000</v>
      </c>
      <c r="E24" s="47">
        <f t="shared" ref="E24:G26" si="8">E5</f>
        <v>6</v>
      </c>
      <c r="F24" s="47">
        <f t="shared" si="8"/>
        <v>4</v>
      </c>
      <c r="G24" s="47">
        <f t="shared" si="8"/>
        <v>0</v>
      </c>
      <c r="H24" s="7"/>
      <c r="I24" s="8"/>
      <c r="J24" s="8"/>
      <c r="K24" s="8"/>
      <c r="L24" s="8">
        <f>L15*(E24-F24)</f>
        <v>3500000</v>
      </c>
      <c r="M24" s="8"/>
      <c r="N24" s="8"/>
      <c r="O24" s="6">
        <f>O15*4</f>
        <v>7000000</v>
      </c>
      <c r="P24" s="7"/>
      <c r="Q24" s="8"/>
      <c r="R24" s="66"/>
      <c r="S24" s="55"/>
    </row>
    <row r="25" spans="1:20">
      <c r="A25" s="45"/>
      <c r="B25" s="44" t="str">
        <f>B6</f>
        <v>API</v>
      </c>
      <c r="C25" s="46"/>
      <c r="D25" s="47">
        <f>D6</f>
        <v>2100000</v>
      </c>
      <c r="E25" s="47">
        <f t="shared" si="8"/>
        <v>2</v>
      </c>
      <c r="F25" s="47">
        <f t="shared" si="8"/>
        <v>2</v>
      </c>
      <c r="G25" s="47">
        <f t="shared" si="8"/>
        <v>0</v>
      </c>
      <c r="H25" s="7"/>
      <c r="I25" s="1"/>
      <c r="J25" s="1"/>
      <c r="K25" s="1"/>
      <c r="L25" s="1"/>
      <c r="M25" s="1"/>
      <c r="N25" s="1"/>
      <c r="O25" s="99">
        <f>O16</f>
        <v>1050000</v>
      </c>
      <c r="P25" s="1"/>
      <c r="Q25" s="1"/>
      <c r="R25" s="67"/>
      <c r="S25" s="55"/>
    </row>
    <row r="26" spans="1:20">
      <c r="A26" s="45"/>
      <c r="B26" s="44" t="str">
        <f>B7</f>
        <v>Apple Imac</v>
      </c>
      <c r="C26" s="46">
        <v>2</v>
      </c>
      <c r="D26" s="47">
        <f>D7</f>
        <v>2000000</v>
      </c>
      <c r="E26" s="47">
        <f t="shared" si="8"/>
        <v>3</v>
      </c>
      <c r="F26" s="47">
        <f t="shared" si="8"/>
        <v>3</v>
      </c>
      <c r="G26" s="47">
        <f t="shared" si="8"/>
        <v>500000</v>
      </c>
      <c r="H26" s="7"/>
      <c r="I26" s="1"/>
      <c r="J26" s="1"/>
      <c r="K26" s="1"/>
      <c r="L26" s="1"/>
      <c r="M26" s="1"/>
      <c r="N26" s="1"/>
      <c r="O26" s="18"/>
      <c r="P26" s="1"/>
      <c r="Q26" s="1"/>
      <c r="R26" s="67"/>
      <c r="S26" s="55"/>
    </row>
    <row r="27" spans="1:20">
      <c r="A27" s="45"/>
      <c r="B27" s="44"/>
      <c r="C27" s="46"/>
      <c r="D27" s="47"/>
      <c r="E27" s="46"/>
      <c r="F27" s="46"/>
      <c r="G27" s="48"/>
      <c r="H27" s="7"/>
      <c r="I27" s="1"/>
      <c r="J27" s="1"/>
      <c r="K27" s="1"/>
      <c r="L27" s="1"/>
      <c r="M27" s="1"/>
      <c r="N27" s="1"/>
      <c r="O27" s="1"/>
      <c r="P27" s="1"/>
      <c r="Q27" s="1"/>
      <c r="R27" s="67"/>
      <c r="S27" s="55"/>
    </row>
    <row r="28" spans="1:20" ht="35.25" customHeight="1" thickBot="1">
      <c r="B28" s="14" t="s">
        <v>28</v>
      </c>
      <c r="C28" s="3"/>
      <c r="D28" s="4"/>
      <c r="E28" s="5"/>
      <c r="F28" s="5"/>
      <c r="G28" s="21"/>
      <c r="H28" s="17">
        <f t="shared" ref="H28:R28" si="9">SUM(H24:H27)</f>
        <v>0</v>
      </c>
      <c r="I28" s="11">
        <f t="shared" si="9"/>
        <v>0</v>
      </c>
      <c r="J28" s="11">
        <f t="shared" si="9"/>
        <v>0</v>
      </c>
      <c r="K28" s="11">
        <f t="shared" si="9"/>
        <v>0</v>
      </c>
      <c r="L28" s="11">
        <f t="shared" si="9"/>
        <v>3500000</v>
      </c>
      <c r="M28" s="11">
        <f t="shared" si="9"/>
        <v>0</v>
      </c>
      <c r="N28" s="11">
        <f t="shared" si="9"/>
        <v>0</v>
      </c>
      <c r="O28" s="11">
        <f t="shared" si="9"/>
        <v>8050000</v>
      </c>
      <c r="P28" s="11">
        <f t="shared" si="9"/>
        <v>0</v>
      </c>
      <c r="Q28" s="11">
        <f t="shared" si="9"/>
        <v>0</v>
      </c>
      <c r="R28" s="11">
        <f t="shared" si="9"/>
        <v>0</v>
      </c>
      <c r="S28" s="56">
        <f>SUM(S23:S27)</f>
        <v>0</v>
      </c>
    </row>
    <row r="29" spans="1:20" ht="10.5" customHeight="1" thickBot="1"/>
    <row r="30" spans="1:20" ht="38.25">
      <c r="A30" s="121" t="s">
        <v>40</v>
      </c>
      <c r="B30" s="142" t="s">
        <v>12</v>
      </c>
      <c r="C30" s="2" t="s">
        <v>7</v>
      </c>
      <c r="D30" s="2" t="s">
        <v>13</v>
      </c>
      <c r="E30" s="2" t="s">
        <v>14</v>
      </c>
      <c r="F30" s="2" t="s">
        <v>15</v>
      </c>
      <c r="G30" s="19" t="s">
        <v>16</v>
      </c>
      <c r="H30" s="145" t="s">
        <v>67</v>
      </c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</row>
    <row r="31" spans="1:20" ht="25.5">
      <c r="A31" s="121"/>
      <c r="B31" s="143"/>
      <c r="C31" s="75"/>
      <c r="D31" s="75"/>
      <c r="E31" s="75"/>
      <c r="F31" s="75"/>
      <c r="G31" s="76"/>
      <c r="H31" s="77"/>
      <c r="I31" s="77"/>
      <c r="J31" s="78"/>
      <c r="K31" s="77"/>
      <c r="L31" s="78"/>
      <c r="M31" s="77"/>
      <c r="N31" s="78"/>
      <c r="O31" s="77"/>
      <c r="P31" s="78"/>
      <c r="Q31" s="77"/>
      <c r="R31" s="78"/>
      <c r="S31" s="77"/>
      <c r="T31" s="55" t="s">
        <v>34</v>
      </c>
    </row>
    <row r="32" spans="1:20" ht="18.75" thickBot="1">
      <c r="A32" s="121"/>
      <c r="B32" s="144"/>
      <c r="C32" s="9" t="s">
        <v>18</v>
      </c>
      <c r="D32" s="9" t="s">
        <v>19</v>
      </c>
      <c r="E32" s="9" t="s">
        <v>20</v>
      </c>
      <c r="F32" s="9" t="s">
        <v>20</v>
      </c>
      <c r="G32" s="20" t="s">
        <v>21</v>
      </c>
      <c r="H32" s="25">
        <v>0</v>
      </c>
      <c r="I32" s="10">
        <v>1</v>
      </c>
      <c r="J32" s="10">
        <v>2</v>
      </c>
      <c r="K32" s="10">
        <v>3</v>
      </c>
      <c r="L32" s="10">
        <v>4</v>
      </c>
      <c r="M32" s="10">
        <v>5</v>
      </c>
      <c r="N32" s="10">
        <v>6</v>
      </c>
      <c r="O32" s="10">
        <v>7</v>
      </c>
      <c r="P32" s="10">
        <v>8</v>
      </c>
      <c r="Q32" s="10">
        <v>9</v>
      </c>
      <c r="R32" s="65">
        <v>10</v>
      </c>
      <c r="S32" s="55"/>
    </row>
    <row r="33" spans="1:20">
      <c r="A33" s="45"/>
      <c r="B33" s="44" t="str">
        <f>B5</f>
        <v>Licencia del software (GPS)</v>
      </c>
      <c r="C33" s="46"/>
      <c r="D33" s="47">
        <f>D5</f>
        <v>10500000</v>
      </c>
      <c r="E33" s="47">
        <f t="shared" ref="E33:G35" si="10">E5</f>
        <v>6</v>
      </c>
      <c r="F33" s="47">
        <f t="shared" si="10"/>
        <v>4</v>
      </c>
      <c r="G33" s="47">
        <f t="shared" si="10"/>
        <v>0</v>
      </c>
      <c r="H33" s="7"/>
      <c r="I33" s="8"/>
      <c r="J33" s="8"/>
      <c r="K33" s="8"/>
      <c r="L33" s="8"/>
      <c r="M33" s="8"/>
      <c r="N33" s="8"/>
      <c r="O33" s="6"/>
      <c r="P33" s="7"/>
      <c r="Q33" s="8"/>
      <c r="R33" s="66"/>
      <c r="S33" s="55"/>
    </row>
    <row r="34" spans="1:20">
      <c r="A34" s="45"/>
      <c r="B34" s="44" t="str">
        <f t="shared" ref="B34:B35" si="11">B6</f>
        <v>API</v>
      </c>
      <c r="C34" s="46"/>
      <c r="D34" s="47">
        <f>D6</f>
        <v>2100000</v>
      </c>
      <c r="E34" s="47">
        <f t="shared" si="10"/>
        <v>2</v>
      </c>
      <c r="F34" s="47">
        <f t="shared" si="10"/>
        <v>2</v>
      </c>
      <c r="G34" s="47">
        <f t="shared" si="10"/>
        <v>0</v>
      </c>
      <c r="H34" s="7"/>
      <c r="I34" s="1"/>
      <c r="J34" s="1"/>
      <c r="K34" s="1"/>
      <c r="L34" s="1"/>
      <c r="M34" s="1"/>
      <c r="N34" s="1"/>
      <c r="O34" s="15"/>
      <c r="P34" s="1"/>
      <c r="Q34" s="1"/>
      <c r="R34" s="67"/>
      <c r="S34" s="55"/>
    </row>
    <row r="35" spans="1:20">
      <c r="A35" s="45"/>
      <c r="B35" s="44" t="str">
        <f t="shared" si="11"/>
        <v>Apple Imac</v>
      </c>
      <c r="C35" s="46">
        <v>2</v>
      </c>
      <c r="D35" s="47">
        <f>D7</f>
        <v>2000000</v>
      </c>
      <c r="E35" s="47">
        <f t="shared" si="10"/>
        <v>3</v>
      </c>
      <c r="F35" s="47">
        <f t="shared" si="10"/>
        <v>3</v>
      </c>
      <c r="G35" s="47">
        <f t="shared" si="10"/>
        <v>500000</v>
      </c>
      <c r="H35" s="7"/>
      <c r="I35" s="1"/>
      <c r="J35" s="1"/>
      <c r="K35" s="1">
        <f>G35*C35</f>
        <v>1000000</v>
      </c>
      <c r="L35" s="1"/>
      <c r="M35" s="1"/>
      <c r="N35" s="1"/>
      <c r="O35" s="91">
        <f>G35*C35</f>
        <v>1000000</v>
      </c>
      <c r="P35" s="1"/>
      <c r="Q35" s="1"/>
      <c r="R35" s="67"/>
      <c r="S35" s="55"/>
    </row>
    <row r="36" spans="1:20">
      <c r="A36" s="45"/>
      <c r="B36" s="44"/>
      <c r="C36" s="46"/>
      <c r="D36" s="47"/>
      <c r="E36" s="46"/>
      <c r="F36" s="46"/>
      <c r="G36" s="48"/>
      <c r="H36" s="7"/>
      <c r="I36" s="1"/>
      <c r="J36" s="1"/>
      <c r="K36" s="1"/>
      <c r="L36" s="1"/>
      <c r="M36" s="1"/>
      <c r="N36" s="1"/>
      <c r="O36" s="1"/>
      <c r="P36" s="1"/>
      <c r="Q36" s="1"/>
      <c r="R36" s="67"/>
      <c r="S36" s="55"/>
    </row>
    <row r="37" spans="1:20" ht="24" thickBot="1">
      <c r="B37" s="14" t="s">
        <v>28</v>
      </c>
      <c r="C37" s="3"/>
      <c r="D37" s="4"/>
      <c r="E37" s="5"/>
      <c r="F37" s="5"/>
      <c r="G37" s="21"/>
      <c r="H37" s="17">
        <f t="shared" ref="H37:R37" si="12">SUM(H33:H36)</f>
        <v>0</v>
      </c>
      <c r="I37" s="11">
        <f t="shared" si="12"/>
        <v>0</v>
      </c>
      <c r="J37" s="11">
        <f t="shared" si="12"/>
        <v>0</v>
      </c>
      <c r="K37" s="11">
        <f t="shared" si="12"/>
        <v>1000000</v>
      </c>
      <c r="L37" s="11">
        <f t="shared" si="12"/>
        <v>0</v>
      </c>
      <c r="M37" s="11">
        <f t="shared" si="12"/>
        <v>0</v>
      </c>
      <c r="N37" s="11">
        <f t="shared" si="12"/>
        <v>0</v>
      </c>
      <c r="O37" s="11">
        <f t="shared" si="12"/>
        <v>1000000</v>
      </c>
      <c r="P37" s="11">
        <f t="shared" si="12"/>
        <v>0</v>
      </c>
      <c r="Q37" s="11">
        <f t="shared" si="12"/>
        <v>0</v>
      </c>
      <c r="R37" s="11">
        <f t="shared" si="12"/>
        <v>0</v>
      </c>
      <c r="S37" s="56">
        <f>SUM(S32:S36)</f>
        <v>0</v>
      </c>
    </row>
    <row r="42" spans="1:20" ht="31.5">
      <c r="T42" s="57">
        <f>SUM(S37,S28,S19,T10)</f>
        <v>0</v>
      </c>
    </row>
  </sheetData>
  <mergeCells count="12">
    <mergeCell ref="A30:A32"/>
    <mergeCell ref="B30:B32"/>
    <mergeCell ref="H2:S2"/>
    <mergeCell ref="H30:S30"/>
    <mergeCell ref="H21:S21"/>
    <mergeCell ref="H12:S12"/>
    <mergeCell ref="A2:A4"/>
    <mergeCell ref="A12:A14"/>
    <mergeCell ref="B12:B14"/>
    <mergeCell ref="A21:A23"/>
    <mergeCell ref="B21:B23"/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5"/>
  <sheetViews>
    <sheetView showGridLines="0" zoomScale="70" zoomScaleNormal="70" workbookViewId="0">
      <selection activeCell="C19" sqref="C19"/>
    </sheetView>
  </sheetViews>
  <sheetFormatPr baseColWidth="10" defaultRowHeight="15"/>
  <cols>
    <col min="2" max="2" width="39.85546875" customWidth="1"/>
    <col min="3" max="3" width="22.5703125" bestFit="1" customWidth="1"/>
    <col min="4" max="4" width="21.7109375" bestFit="1" customWidth="1"/>
    <col min="5" max="5" width="22.140625" bestFit="1" customWidth="1"/>
    <col min="6" max="6" width="21" bestFit="1" customWidth="1"/>
    <col min="7" max="7" width="20.28515625" bestFit="1" customWidth="1"/>
    <col min="8" max="8" width="19.7109375" bestFit="1" customWidth="1"/>
    <col min="9" max="9" width="18.28515625" bestFit="1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15"/>
      <c r="B2" s="36"/>
      <c r="C2" s="49">
        <v>0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1">
        <v>10</v>
      </c>
      <c r="N2" s="59" t="s">
        <v>32</v>
      </c>
    </row>
    <row r="3" spans="1:14" ht="15.75">
      <c r="A3" t="s">
        <v>49</v>
      </c>
      <c r="B3" s="27" t="s">
        <v>50</v>
      </c>
      <c r="C3" s="26"/>
      <c r="D3" s="26">
        <f>Actividad!D50</f>
        <v>30000000</v>
      </c>
      <c r="E3" s="26">
        <f>Actividad!E50</f>
        <v>195000000</v>
      </c>
      <c r="F3" s="26">
        <f>Actividad!F50</f>
        <v>322500000</v>
      </c>
      <c r="G3" s="26">
        <f>Actividad!G50</f>
        <v>370875000</v>
      </c>
      <c r="H3" s="26">
        <f>Actividad!H50</f>
        <v>426506249.99999994</v>
      </c>
      <c r="I3" s="26">
        <f>Actividad!I50</f>
        <v>490482187.49999994</v>
      </c>
      <c r="J3" s="26">
        <f>Actividad!J50</f>
        <v>376036343.75</v>
      </c>
      <c r="K3" s="26"/>
      <c r="L3" s="26"/>
      <c r="M3" s="26"/>
      <c r="N3" s="59"/>
    </row>
    <row r="4" spans="1:14" ht="15.75">
      <c r="A4" t="s">
        <v>49</v>
      </c>
      <c r="B4" s="28" t="s">
        <v>51</v>
      </c>
      <c r="C4" s="12">
        <f>Calendarios!H37</f>
        <v>0</v>
      </c>
      <c r="D4" s="12">
        <f>Calendarios!I37</f>
        <v>0</v>
      </c>
      <c r="E4" s="12">
        <f>Calendarios!J37</f>
        <v>0</v>
      </c>
      <c r="F4" s="12">
        <f>Calendarios!K37</f>
        <v>1000000</v>
      </c>
      <c r="G4" s="12">
        <f>Calendarios!L37</f>
        <v>0</v>
      </c>
      <c r="H4" s="12">
        <f>Calendarios!M37</f>
        <v>0</v>
      </c>
      <c r="I4" s="12">
        <f>Calendarios!N37</f>
        <v>0</v>
      </c>
      <c r="J4" s="12">
        <f>Calendarios!O37</f>
        <v>1000000</v>
      </c>
      <c r="K4" s="12"/>
      <c r="L4" s="12"/>
      <c r="M4" s="12"/>
      <c r="N4" s="59"/>
    </row>
    <row r="5" spans="1:14" ht="15.75">
      <c r="B5" s="28" t="s">
        <v>52</v>
      </c>
      <c r="C5" s="12">
        <f>-Actividad!E24</f>
        <v>0</v>
      </c>
      <c r="D5" s="12">
        <f>-Actividad!F24</f>
        <v>-6370000</v>
      </c>
      <c r="E5" s="12">
        <f>-Actividad!G24</f>
        <v>-38608000</v>
      </c>
      <c r="F5" s="12">
        <f>-Actividad!H24</f>
        <v>-145016320</v>
      </c>
      <c r="G5" s="12">
        <f>-Actividad!I24</f>
        <v>-235234972.80000001</v>
      </c>
      <c r="H5" s="12">
        <f>-Actividad!J24</f>
        <v>-269106471.71200001</v>
      </c>
      <c r="I5" s="12">
        <f>-Actividad!K24</f>
        <v>-309209705.58047998</v>
      </c>
      <c r="J5" s="12">
        <f>-Actividad!L24</f>
        <v>-354002595.05369914</v>
      </c>
      <c r="K5" s="12"/>
      <c r="L5" s="12"/>
      <c r="M5" s="12"/>
      <c r="N5" s="59"/>
    </row>
    <row r="6" spans="1:14" ht="15.75">
      <c r="B6" s="28" t="s">
        <v>53</v>
      </c>
      <c r="C6" s="12">
        <f>-Actividad!E37</f>
        <v>-600000</v>
      </c>
      <c r="D6" s="12">
        <f>-Actividad!F37</f>
        <v>-38380000</v>
      </c>
      <c r="E6" s="12">
        <f>-Actividad!G37</f>
        <v>-32905800</v>
      </c>
      <c r="F6" s="12">
        <f>-Actividad!H37</f>
        <v>-33553503</v>
      </c>
      <c r="G6" s="12">
        <f>-Actividad!I37</f>
        <v>-34223875.604999997</v>
      </c>
      <c r="H6" s="12">
        <f>-Actividad!J37</f>
        <v>-34917711.251175001</v>
      </c>
      <c r="I6" s="12">
        <f>-Actividad!K37</f>
        <v>-35635831.144966125</v>
      </c>
      <c r="J6" s="12">
        <f>-Actividad!L37</f>
        <v>-36379085.235039942</v>
      </c>
      <c r="K6" s="12"/>
      <c r="L6" s="12"/>
      <c r="M6" s="12"/>
      <c r="N6" s="59"/>
    </row>
    <row r="7" spans="1:14" ht="15.75">
      <c r="B7" s="28" t="s">
        <v>44</v>
      </c>
      <c r="C7" s="12">
        <f>'tabla amortización'!E6</f>
        <v>0</v>
      </c>
      <c r="D7" s="12">
        <f>-'tabla amortización'!E7</f>
        <v>-54000</v>
      </c>
      <c r="E7" s="12">
        <f>-'tabla amortización'!E8</f>
        <v>-50928.823610339605</v>
      </c>
      <c r="F7" s="12">
        <f>-'tabla amortización'!E9</f>
        <v>-46936.294303781098</v>
      </c>
      <c r="G7" s="12">
        <f>-'tabla amortización'!E10</f>
        <v>-41746.006205255027</v>
      </c>
      <c r="H7" s="12">
        <f>-'tabla amortización'!E11</f>
        <v>-34998.631677171143</v>
      </c>
      <c r="I7" s="12">
        <f>-'tabla amortización'!E12</f>
        <v>-26227.044790662094</v>
      </c>
      <c r="J7" s="12">
        <f>-'tabla amortización'!E13</f>
        <v>-14823.981838200332</v>
      </c>
      <c r="K7" s="12"/>
      <c r="L7" s="12"/>
      <c r="M7" s="12"/>
      <c r="N7" s="59"/>
    </row>
    <row r="8" spans="1:14" ht="15.75">
      <c r="B8" s="29" t="s">
        <v>84</v>
      </c>
      <c r="C8" s="26">
        <f>-Calendarios!H19</f>
        <v>0</v>
      </c>
      <c r="D8" s="26">
        <f>-Calendarios!I19</f>
        <v>-4133333.333333333</v>
      </c>
      <c r="E8" s="26">
        <f>-Calendarios!J19</f>
        <v>-4133333.333333333</v>
      </c>
      <c r="F8" s="26">
        <f>-Calendarios!K19</f>
        <v>-3083333.333333333</v>
      </c>
      <c r="G8" s="26">
        <f>-Calendarios!L19</f>
        <v>-2800000</v>
      </c>
      <c r="H8" s="26">
        <f>-Calendarios!M19</f>
        <v>-2383333.333333333</v>
      </c>
      <c r="I8" s="26">
        <f>-Calendarios!N19</f>
        <v>-3083333.333333333</v>
      </c>
      <c r="J8" s="26">
        <f>-Calendarios!O19</f>
        <v>-4133333.333333333</v>
      </c>
      <c r="K8" s="26"/>
      <c r="L8" s="26"/>
      <c r="M8" s="26"/>
      <c r="N8" s="59"/>
    </row>
    <row r="9" spans="1:14" ht="15.75">
      <c r="B9" s="29" t="s">
        <v>83</v>
      </c>
      <c r="C9" s="26">
        <f>-Calendarios!H28</f>
        <v>0</v>
      </c>
      <c r="D9" s="26">
        <f>-Calendarios!I28</f>
        <v>0</v>
      </c>
      <c r="E9" s="26">
        <f>-Calendarios!J28</f>
        <v>0</v>
      </c>
      <c r="F9" s="26">
        <f>-Calendarios!K28</f>
        <v>0</v>
      </c>
      <c r="G9" s="26">
        <f>-Calendarios!L28</f>
        <v>-3500000</v>
      </c>
      <c r="H9" s="26">
        <f>-Calendarios!M28</f>
        <v>0</v>
      </c>
      <c r="I9" s="26">
        <f>-Calendarios!N28</f>
        <v>0</v>
      </c>
      <c r="J9" s="26">
        <f>-Calendarios!O28</f>
        <v>-8050000</v>
      </c>
      <c r="K9" s="26"/>
      <c r="L9" s="26"/>
      <c r="M9" s="26"/>
      <c r="N9" s="59"/>
    </row>
    <row r="10" spans="1:14" ht="15.7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59"/>
    </row>
    <row r="11" spans="1:14" ht="16.5" thickBot="1">
      <c r="B11" s="37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59"/>
    </row>
    <row r="12" spans="1:14" ht="15.75">
      <c r="B12" s="79" t="s">
        <v>24</v>
      </c>
      <c r="C12" s="82">
        <f t="shared" ref="C12:J12" si="0">SUM(C3:C11)</f>
        <v>-600000</v>
      </c>
      <c r="D12" s="82">
        <f t="shared" si="0"/>
        <v>-18937333.333333332</v>
      </c>
      <c r="E12" s="82">
        <f t="shared" si="0"/>
        <v>119301937.84305634</v>
      </c>
      <c r="F12" s="82">
        <f t="shared" si="0"/>
        <v>141799907.37236288</v>
      </c>
      <c r="G12" s="82">
        <f t="shared" si="0"/>
        <v>95074405.588794738</v>
      </c>
      <c r="H12" s="82">
        <f t="shared" si="0"/>
        <v>120063735.07181443</v>
      </c>
      <c r="I12" s="82">
        <f t="shared" si="0"/>
        <v>142527090.39642984</v>
      </c>
      <c r="J12" s="82">
        <f t="shared" si="0"/>
        <v>-25543493.85391061</v>
      </c>
      <c r="K12" s="82"/>
      <c r="L12" s="82"/>
      <c r="M12" s="82"/>
      <c r="N12" s="59"/>
    </row>
    <row r="13" spans="1:14" ht="16.5" thickBot="1">
      <c r="B13" s="30" t="s">
        <v>27</v>
      </c>
      <c r="C13" s="13">
        <f>-C12*$A$15</f>
        <v>180000</v>
      </c>
      <c r="D13" s="13">
        <f>-D12*$A$15</f>
        <v>5681199.9999999991</v>
      </c>
      <c r="E13" s="13">
        <f t="shared" ref="E13:J13" si="1">-E12*$A$15</f>
        <v>-35790581.352916896</v>
      </c>
      <c r="F13" s="13">
        <f t="shared" si="1"/>
        <v>-42539972.211708866</v>
      </c>
      <c r="G13" s="13">
        <f t="shared" si="1"/>
        <v>-28522321.676638421</v>
      </c>
      <c r="H13" s="13">
        <f t="shared" si="1"/>
        <v>-36019120.52154433</v>
      </c>
      <c r="I13" s="13">
        <f t="shared" si="1"/>
        <v>-42758127.118928947</v>
      </c>
      <c r="J13" s="13">
        <f t="shared" si="1"/>
        <v>7663048.1561731827</v>
      </c>
      <c r="K13" s="13"/>
      <c r="L13" s="13"/>
      <c r="M13" s="13"/>
      <c r="N13" s="59"/>
    </row>
    <row r="14" spans="1:14" ht="24" customHeight="1" thickBot="1">
      <c r="A14" t="s">
        <v>31</v>
      </c>
      <c r="B14" s="80" t="s">
        <v>25</v>
      </c>
      <c r="C14" s="81">
        <f>SUM(C12:C13)</f>
        <v>-420000</v>
      </c>
      <c r="D14" s="81">
        <f t="shared" ref="D14:J14" si="2">SUM(D12:D13)</f>
        <v>-13256133.333333332</v>
      </c>
      <c r="E14" s="81">
        <f t="shared" si="2"/>
        <v>83511356.49013944</v>
      </c>
      <c r="F14" s="81">
        <f t="shared" si="2"/>
        <v>99259935.160654008</v>
      </c>
      <c r="G14" s="81">
        <f t="shared" si="2"/>
        <v>66552083.912156314</v>
      </c>
      <c r="H14" s="81">
        <f t="shared" si="2"/>
        <v>84044614.55027011</v>
      </c>
      <c r="I14" s="81">
        <f t="shared" si="2"/>
        <v>99768963.277500898</v>
      </c>
      <c r="J14" s="81">
        <f t="shared" si="2"/>
        <v>-17880445.697737426</v>
      </c>
      <c r="K14" s="81"/>
      <c r="L14" s="81"/>
      <c r="M14" s="81"/>
      <c r="N14" s="59"/>
    </row>
    <row r="15" spans="1:14" ht="23.25" customHeight="1">
      <c r="A15" s="74">
        <v>0.3</v>
      </c>
      <c r="B15" s="29" t="s">
        <v>85</v>
      </c>
      <c r="C15" s="26">
        <f>-C8</f>
        <v>0</v>
      </c>
      <c r="D15" s="26">
        <f t="shared" ref="D15:J15" si="3">-D8</f>
        <v>4133333.333333333</v>
      </c>
      <c r="E15" s="26">
        <f t="shared" si="3"/>
        <v>4133333.333333333</v>
      </c>
      <c r="F15" s="26">
        <f t="shared" si="3"/>
        <v>3083333.333333333</v>
      </c>
      <c r="G15" s="26">
        <f t="shared" si="3"/>
        <v>2800000</v>
      </c>
      <c r="H15" s="26">
        <f t="shared" si="3"/>
        <v>2383333.333333333</v>
      </c>
      <c r="I15" s="26">
        <f t="shared" si="3"/>
        <v>3083333.333333333</v>
      </c>
      <c r="J15" s="26">
        <f t="shared" si="3"/>
        <v>4133333.333333333</v>
      </c>
      <c r="K15" s="26"/>
      <c r="L15" s="26"/>
      <c r="M15" s="26"/>
      <c r="N15" s="59"/>
    </row>
    <row r="16" spans="1:14" ht="24.75" customHeight="1">
      <c r="B16" s="29" t="s">
        <v>54</v>
      </c>
      <c r="C16" s="26">
        <f>Calendarios!H28</f>
        <v>0</v>
      </c>
      <c r="D16" s="26">
        <f>Calendarios!I28</f>
        <v>0</v>
      </c>
      <c r="E16" s="26">
        <f>Calendarios!J28</f>
        <v>0</v>
      </c>
      <c r="F16" s="26">
        <f>Calendarios!K28</f>
        <v>0</v>
      </c>
      <c r="G16" s="26">
        <f>Calendarios!L28</f>
        <v>3500000</v>
      </c>
      <c r="H16" s="26">
        <f>Calendarios!M28</f>
        <v>0</v>
      </c>
      <c r="I16" s="26">
        <f>Calendarios!N28</f>
        <v>0</v>
      </c>
      <c r="J16" s="26">
        <f>Calendarios!O28</f>
        <v>8050000</v>
      </c>
      <c r="K16" s="26"/>
      <c r="L16" s="26"/>
      <c r="M16" s="26"/>
      <c r="N16" s="59"/>
    </row>
    <row r="17" spans="1:17" ht="16.5" customHeight="1">
      <c r="B17" s="29" t="s">
        <v>55</v>
      </c>
      <c r="C17" s="26">
        <f>-'tabla amortización'!D6</f>
        <v>0</v>
      </c>
      <c r="D17" s="26">
        <f>-'tabla amortización'!D7</f>
        <v>-10237.254632201308</v>
      </c>
      <c r="E17" s="26">
        <f>-'tabla amortización'!D8</f>
        <v>-13308.431021861703</v>
      </c>
      <c r="F17" s="26">
        <f>-'tabla amortización'!D9</f>
        <v>-17300.960328420209</v>
      </c>
      <c r="G17" s="26">
        <f>-'tabla amortización'!D10</f>
        <v>-22491.24842694628</v>
      </c>
      <c r="H17" s="26">
        <f>-'tabla amortización'!D11</f>
        <v>-29238.622955030165</v>
      </c>
      <c r="I17" s="26">
        <f>-'tabla amortización'!D12</f>
        <v>-38010.20984153921</v>
      </c>
      <c r="J17" s="26">
        <f>-'tabla amortización'!D13</f>
        <v>-49413.272794000979</v>
      </c>
      <c r="K17" s="26"/>
      <c r="L17" s="26"/>
      <c r="M17" s="26"/>
      <c r="N17" s="59"/>
    </row>
    <row r="18" spans="1:17" ht="16.5" customHeight="1">
      <c r="B18" s="28" t="s">
        <v>56</v>
      </c>
      <c r="C18" s="12">
        <f>'tabla amortización'!I4</f>
        <v>180000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/>
      <c r="L18" s="12"/>
      <c r="M18" s="12"/>
      <c r="N18" s="59"/>
    </row>
    <row r="19" spans="1:17" ht="16.5" customHeight="1">
      <c r="B19" s="28" t="s">
        <v>86</v>
      </c>
      <c r="C19" s="12">
        <f>(Actividad!E24+Actividad!E37)*70%</f>
        <v>420000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59"/>
    </row>
    <row r="20" spans="1:17" ht="16.5" customHeight="1">
      <c r="B20" s="28" t="s">
        <v>57</v>
      </c>
      <c r="C20" s="12">
        <f>-Actividad!E53</f>
        <v>-300000</v>
      </c>
      <c r="D20" s="12">
        <f>-C20</f>
        <v>300000</v>
      </c>
      <c r="E20" s="12"/>
      <c r="F20" s="12"/>
      <c r="G20" s="12"/>
      <c r="H20" s="12"/>
      <c r="I20" s="12"/>
      <c r="J20" s="18"/>
      <c r="K20" s="12"/>
      <c r="L20" s="12"/>
      <c r="N20" s="59"/>
    </row>
    <row r="21" spans="1:17" ht="16.5" customHeight="1">
      <c r="B21" s="28" t="s">
        <v>59</v>
      </c>
      <c r="C21" s="12"/>
      <c r="D21" s="12"/>
      <c r="E21" s="12"/>
      <c r="F21" s="12"/>
      <c r="G21" s="12"/>
      <c r="H21" s="12"/>
      <c r="I21" s="12"/>
      <c r="J21" s="12">
        <f>10000*Activos!C17</f>
        <v>7000000</v>
      </c>
      <c r="K21" s="12"/>
      <c r="L21" s="12"/>
      <c r="N21" s="59"/>
    </row>
    <row r="22" spans="1:17" ht="15.75">
      <c r="B22" s="3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9"/>
    </row>
    <row r="23" spans="1:17" ht="16.5" thickBot="1">
      <c r="B23" s="3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59"/>
      <c r="Q23" t="s">
        <v>58</v>
      </c>
    </row>
    <row r="24" spans="1:17" ht="15.75" customHeight="1" thickBot="1">
      <c r="B24" s="52" t="s">
        <v>26</v>
      </c>
      <c r="C24" s="84">
        <f t="shared" ref="C24:J24" si="4">SUM(C14:C23)</f>
        <v>-120000</v>
      </c>
      <c r="D24" s="84">
        <f t="shared" si="4"/>
        <v>-8833037.254632201</v>
      </c>
      <c r="E24" s="84">
        <f t="shared" si="4"/>
        <v>87631381.392450914</v>
      </c>
      <c r="F24" s="84">
        <f t="shared" si="4"/>
        <v>102325967.53365892</v>
      </c>
      <c r="G24" s="84">
        <f t="shared" si="4"/>
        <v>72829592.66372937</v>
      </c>
      <c r="H24" s="84">
        <f t="shared" si="4"/>
        <v>86398709.260648414</v>
      </c>
      <c r="I24" s="84">
        <f t="shared" si="4"/>
        <v>102814286.40099269</v>
      </c>
      <c r="J24" s="84">
        <f t="shared" si="4"/>
        <v>1253474.3628019057</v>
      </c>
      <c r="K24" s="84"/>
      <c r="L24" s="84"/>
      <c r="M24" s="84"/>
      <c r="N24" s="59"/>
      <c r="Q24" t="s">
        <v>60</v>
      </c>
    </row>
    <row r="25" spans="1:17" ht="15.75" customHeight="1" thickBot="1">
      <c r="B25" s="87" t="s">
        <v>33</v>
      </c>
      <c r="C25" s="88">
        <f t="shared" ref="C25:J25" si="5">C24*((1+$C$30)^-C2)</f>
        <v>-120000</v>
      </c>
      <c r="D25" s="85">
        <f t="shared" si="5"/>
        <v>-7886640.4059216073</v>
      </c>
      <c r="E25" s="85">
        <f t="shared" si="5"/>
        <v>69859200.727400273</v>
      </c>
      <c r="F25" s="85">
        <f t="shared" si="5"/>
        <v>72833602.528854787</v>
      </c>
      <c r="G25" s="85">
        <f t="shared" si="5"/>
        <v>46284522.780659884</v>
      </c>
      <c r="H25" s="85">
        <f t="shared" si="5"/>
        <v>49024947.933915146</v>
      </c>
      <c r="I25" s="85">
        <f t="shared" si="5"/>
        <v>52088917.192381084</v>
      </c>
      <c r="J25" s="85">
        <f t="shared" si="5"/>
        <v>567008.14445835457</v>
      </c>
      <c r="K25" s="85"/>
      <c r="L25" s="85"/>
      <c r="M25" s="85"/>
      <c r="N25" s="59"/>
    </row>
    <row r="26" spans="1:17" ht="18" customHeight="1" thickBot="1">
      <c r="B26" s="87"/>
      <c r="C26" s="88"/>
      <c r="D26" s="89"/>
      <c r="E26" s="89"/>
      <c r="F26" s="89"/>
      <c r="G26" s="89"/>
      <c r="H26" s="89"/>
      <c r="I26" s="85"/>
      <c r="J26" s="85"/>
      <c r="K26" s="85"/>
      <c r="L26" s="85"/>
      <c r="M26" s="85"/>
      <c r="N26" s="59"/>
      <c r="O26" s="61" t="s">
        <v>37</v>
      </c>
    </row>
    <row r="27" spans="1:17" ht="19.5" customHeight="1">
      <c r="N27" s="59"/>
      <c r="O27" s="63">
        <f>SUM(N3:N27)+D33</f>
        <v>0</v>
      </c>
    </row>
    <row r="28" spans="1:17" ht="30.75" customHeight="1">
      <c r="B28" t="s">
        <v>62</v>
      </c>
      <c r="O28" s="62"/>
    </row>
    <row r="29" spans="1:17" ht="26.25" customHeight="1"/>
    <row r="30" spans="1:17" ht="15.75" thickBot="1">
      <c r="B30" t="s">
        <v>63</v>
      </c>
      <c r="C30" s="68">
        <v>0.12</v>
      </c>
      <c r="D30" s="59" t="s">
        <v>32</v>
      </c>
    </row>
    <row r="31" spans="1:17">
      <c r="A31" t="s">
        <v>61</v>
      </c>
      <c r="B31" s="31" t="s">
        <v>33</v>
      </c>
      <c r="C31" s="86">
        <f>SUM(C25:M25)</f>
        <v>282651558.90174788</v>
      </c>
      <c r="D31" s="59"/>
      <c r="E31" s="83">
        <f>NPV(C30,D24:M24)+C24</f>
        <v>282651558.90174788</v>
      </c>
    </row>
    <row r="32" spans="1:17" ht="15.75" thickBot="1">
      <c r="B32" s="32" t="s">
        <v>102</v>
      </c>
      <c r="C32" s="120">
        <f>IRR(C24:J24)</f>
        <v>8.867986463770503</v>
      </c>
      <c r="D32" s="59"/>
    </row>
    <row r="33" spans="3:5" ht="21">
      <c r="D33" s="60">
        <f>SUM(D31:D32)</f>
        <v>0</v>
      </c>
    </row>
    <row r="34" spans="3:5">
      <c r="C34" s="33"/>
      <c r="D34" s="34"/>
      <c r="E34" s="33"/>
    </row>
    <row r="35" spans="3:5">
      <c r="C35" s="33"/>
      <c r="D35" s="34"/>
      <c r="E35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2"/>
  <sheetViews>
    <sheetView workbookViewId="0">
      <selection activeCell="A3" sqref="A3:K23"/>
    </sheetView>
  </sheetViews>
  <sheetFormatPr baseColWidth="10" defaultRowHeight="15"/>
  <cols>
    <col min="3" max="3" width="12" bestFit="1" customWidth="1"/>
    <col min="4" max="5" width="12.7109375" bestFit="1" customWidth="1"/>
    <col min="6" max="6" width="13.7109375" bestFit="1" customWidth="1"/>
    <col min="8" max="8" width="13.140625" bestFit="1" customWidth="1"/>
    <col min="9" max="9" width="14.42578125" bestFit="1" customWidth="1"/>
    <col min="14" max="14" width="16.7109375" bestFit="1" customWidth="1"/>
  </cols>
  <sheetData>
    <row r="1" spans="1:15">
      <c r="A1" s="35" t="s">
        <v>36</v>
      </c>
      <c r="B1" s="35"/>
      <c r="C1" s="35"/>
      <c r="D1" s="35"/>
      <c r="E1" s="35"/>
      <c r="F1" s="35"/>
    </row>
    <row r="2" spans="1:15" ht="18.75">
      <c r="N2" s="58" t="s">
        <v>35</v>
      </c>
      <c r="O2" s="58"/>
    </row>
    <row r="3" spans="1:15">
      <c r="H3" s="24" t="s">
        <v>46</v>
      </c>
    </row>
    <row r="4" spans="1:15">
      <c r="H4" s="18" t="s">
        <v>45</v>
      </c>
      <c r="I4" s="69">
        <f>(Actividad!E24+Actividad!E37)*30%</f>
        <v>180000</v>
      </c>
    </row>
    <row r="5" spans="1:15">
      <c r="B5" s="24" t="s">
        <v>41</v>
      </c>
      <c r="C5" s="24" t="s">
        <v>42</v>
      </c>
      <c r="D5" s="24" t="s">
        <v>43</v>
      </c>
      <c r="E5" s="24" t="s">
        <v>44</v>
      </c>
      <c r="F5" s="24" t="s">
        <v>45</v>
      </c>
      <c r="H5" s="18" t="s">
        <v>44</v>
      </c>
      <c r="I5" s="70">
        <v>0.3</v>
      </c>
    </row>
    <row r="6" spans="1:15">
      <c r="B6" s="18">
        <v>0</v>
      </c>
      <c r="C6" s="18"/>
      <c r="D6" s="69">
        <v>0</v>
      </c>
      <c r="E6" s="69">
        <v>0</v>
      </c>
      <c r="F6" s="71">
        <f>I4</f>
        <v>180000</v>
      </c>
      <c r="H6" s="18" t="s">
        <v>41</v>
      </c>
      <c r="I6" s="18">
        <v>7</v>
      </c>
    </row>
    <row r="7" spans="1:15">
      <c r="B7" s="18">
        <v>1</v>
      </c>
      <c r="C7" s="71">
        <f>$H$11</f>
        <v>64237.254632201308</v>
      </c>
      <c r="D7" s="71">
        <f>C7-E7</f>
        <v>10237.254632201308</v>
      </c>
      <c r="E7" s="71">
        <f>F6*$I$5</f>
        <v>54000</v>
      </c>
      <c r="F7" s="71">
        <f>F6-D7</f>
        <v>169762.74536779869</v>
      </c>
      <c r="H7" s="18"/>
      <c r="I7" s="18"/>
    </row>
    <row r="8" spans="1:15">
      <c r="B8" s="18">
        <v>2</v>
      </c>
      <c r="C8" s="71">
        <f t="shared" ref="C8:C13" si="0">$H$11</f>
        <v>64237.254632201308</v>
      </c>
      <c r="D8" s="71">
        <f t="shared" ref="D8:D13" si="1">C8-E8</f>
        <v>13308.431021861703</v>
      </c>
      <c r="E8" s="71">
        <f t="shared" ref="E8:E13" si="2">F7*$I$5</f>
        <v>50928.823610339605</v>
      </c>
      <c r="F8" s="71">
        <f>F7-D8</f>
        <v>156454.31434593699</v>
      </c>
      <c r="H8" s="18"/>
      <c r="I8" s="18"/>
    </row>
    <row r="9" spans="1:15">
      <c r="B9" s="18">
        <v>3</v>
      </c>
      <c r="C9" s="71">
        <f t="shared" si="0"/>
        <v>64237.254632201308</v>
      </c>
      <c r="D9" s="71">
        <f t="shared" si="1"/>
        <v>17300.960328420209</v>
      </c>
      <c r="E9" s="71">
        <f t="shared" si="2"/>
        <v>46936.294303781098</v>
      </c>
      <c r="F9" s="71">
        <f t="shared" ref="F9:F13" si="3">F8-D9</f>
        <v>139153.35401751677</v>
      </c>
    </row>
    <row r="10" spans="1:15">
      <c r="B10" s="18">
        <v>4</v>
      </c>
      <c r="C10" s="71">
        <f t="shared" si="0"/>
        <v>64237.254632201308</v>
      </c>
      <c r="D10" s="71">
        <f t="shared" si="1"/>
        <v>22491.24842694628</v>
      </c>
      <c r="E10" s="71">
        <f t="shared" si="2"/>
        <v>41746.006205255027</v>
      </c>
      <c r="F10" s="71">
        <f t="shared" si="3"/>
        <v>116662.10559057049</v>
      </c>
      <c r="H10" s="24" t="s">
        <v>42</v>
      </c>
      <c r="I10" s="146"/>
      <c r="J10" s="147"/>
      <c r="K10" s="147"/>
    </row>
    <row r="11" spans="1:15">
      <c r="B11" s="18">
        <v>5</v>
      </c>
      <c r="C11" s="71">
        <f t="shared" si="0"/>
        <v>64237.254632201308</v>
      </c>
      <c r="D11" s="71">
        <f t="shared" si="1"/>
        <v>29238.622955030165</v>
      </c>
      <c r="E11" s="71">
        <f t="shared" si="2"/>
        <v>34998.631677171143</v>
      </c>
      <c r="F11" s="71">
        <f t="shared" si="3"/>
        <v>87423.48263554032</v>
      </c>
      <c r="H11" s="69">
        <f>I4*(I16/I17)</f>
        <v>64237.254632201308</v>
      </c>
      <c r="I11" s="72">
        <f>PMT(I5,I6,I4)</f>
        <v>-64237.254632201315</v>
      </c>
    </row>
    <row r="12" spans="1:15">
      <c r="B12" s="18">
        <v>6</v>
      </c>
      <c r="C12" s="71">
        <f t="shared" si="0"/>
        <v>64237.254632201308</v>
      </c>
      <c r="D12" s="71">
        <f t="shared" si="1"/>
        <v>38010.20984153921</v>
      </c>
      <c r="E12" s="71">
        <f t="shared" si="2"/>
        <v>26227.044790662094</v>
      </c>
      <c r="F12" s="71">
        <f t="shared" si="3"/>
        <v>49413.27279400111</v>
      </c>
    </row>
    <row r="13" spans="1:15">
      <c r="B13" s="18">
        <v>7</v>
      </c>
      <c r="C13" s="71">
        <f t="shared" si="0"/>
        <v>64237.254632201308</v>
      </c>
      <c r="D13" s="71">
        <f t="shared" si="1"/>
        <v>49413.272794000979</v>
      </c>
      <c r="E13" s="71">
        <f t="shared" si="2"/>
        <v>14823.981838200332</v>
      </c>
      <c r="F13" s="71">
        <f t="shared" si="3"/>
        <v>1.3096723705530167E-10</v>
      </c>
    </row>
    <row r="14" spans="1:15">
      <c r="B14" s="18">
        <v>8</v>
      </c>
      <c r="C14" s="71"/>
      <c r="D14" s="71"/>
      <c r="E14" s="71"/>
      <c r="F14" s="71"/>
      <c r="H14" s="148" t="s">
        <v>64</v>
      </c>
      <c r="I14" s="148"/>
    </row>
    <row r="15" spans="1:15">
      <c r="B15" s="18"/>
      <c r="C15" s="71"/>
      <c r="D15" s="71"/>
      <c r="E15" s="71"/>
      <c r="F15" s="71"/>
    </row>
    <row r="16" spans="1:15">
      <c r="B16" s="18"/>
      <c r="C16" s="71"/>
      <c r="D16" s="71"/>
      <c r="E16" s="71"/>
      <c r="F16" s="71"/>
      <c r="H16" t="s">
        <v>65</v>
      </c>
      <c r="I16">
        <f>(I5*((1+I5)^I6))</f>
        <v>1.8824555100000007</v>
      </c>
    </row>
    <row r="17" spans="2:9">
      <c r="B17" s="18"/>
      <c r="C17" s="71"/>
      <c r="D17" s="71"/>
      <c r="E17" s="71"/>
      <c r="F17" s="71"/>
      <c r="H17" t="s">
        <v>66</v>
      </c>
      <c r="I17">
        <f>((I5+1)^I6)-1</f>
        <v>5.2748517000000028</v>
      </c>
    </row>
    <row r="18" spans="2:9">
      <c r="B18" s="18"/>
      <c r="C18" s="71"/>
      <c r="D18" s="71"/>
      <c r="E18" s="71"/>
      <c r="F18" s="71"/>
    </row>
    <row r="19" spans="2:9">
      <c r="B19" s="18"/>
      <c r="C19" s="71"/>
      <c r="D19" s="71"/>
      <c r="E19" s="71"/>
      <c r="F19" s="71"/>
    </row>
    <row r="20" spans="2:9">
      <c r="B20" s="18"/>
      <c r="C20" s="71"/>
      <c r="D20" s="71"/>
      <c r="E20" s="71"/>
      <c r="F20" s="71"/>
    </row>
    <row r="21" spans="2:9">
      <c r="B21" s="18"/>
      <c r="C21" s="71"/>
      <c r="D21" s="71"/>
      <c r="E21" s="71"/>
      <c r="F21" s="71"/>
    </row>
    <row r="22" spans="2:9">
      <c r="B22" s="18"/>
      <c r="C22" s="71"/>
      <c r="D22" s="71"/>
      <c r="E22" s="71"/>
      <c r="F22" s="71"/>
    </row>
  </sheetData>
  <mergeCells count="2">
    <mergeCell ref="I10:K10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</vt:lpstr>
      <vt:lpstr>Actividad</vt:lpstr>
      <vt:lpstr>Calendarios</vt:lpstr>
      <vt:lpstr>Flujo</vt:lpstr>
      <vt:lpstr>tabla amortización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2017-07-13T06:39:02Z</dcterms:modified>
</cp:coreProperties>
</file>