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codeName="ThisWorkbook" defaultThemeVersion="124226"/>
  <bookViews>
    <workbookView xWindow="0" yWindow="0" windowWidth="20490" windowHeight="7755" activeTab="1"/>
  </bookViews>
  <sheets>
    <sheet name="Activos" sheetId="2" r:id="rId1"/>
    <sheet name="Costos y Capital de Trabajo" sheetId="1" r:id="rId2"/>
    <sheet name="Inversiones" sheetId="3" r:id="rId3"/>
    <sheet name="Flujo Caja" sheetId="4" r:id="rId4"/>
    <sheet name="tabla amortización" sheetId="6" r:id="rId5"/>
    <sheet name="PUNTAJES" sheetId="5" r:id="rId6"/>
  </sheets>
  <externalReferences>
    <externalReference r:id="rId7"/>
  </externalReferences>
  <calcPr calcId="124519"/>
</workbook>
</file>

<file path=xl/calcChain.xml><?xml version="1.0" encoding="utf-8"?>
<calcChain xmlns="http://schemas.openxmlformats.org/spreadsheetml/2006/main">
  <c r="F26" i="1"/>
  <c r="G26"/>
  <c r="H26"/>
  <c r="I26"/>
  <c r="J26"/>
  <c r="K26"/>
  <c r="L26"/>
  <c r="E26"/>
  <c r="N23" i="3"/>
  <c r="E24" i="1"/>
  <c r="G23" l="1"/>
  <c r="H23"/>
  <c r="I23"/>
  <c r="J23"/>
  <c r="K23"/>
  <c r="L23"/>
  <c r="F23"/>
  <c r="E23"/>
  <c r="E22"/>
  <c r="E21"/>
  <c r="D8" i="4"/>
  <c r="E8"/>
  <c r="F8"/>
  <c r="G8"/>
  <c r="H8"/>
  <c r="I8"/>
  <c r="J8"/>
  <c r="D9"/>
  <c r="E9"/>
  <c r="F9"/>
  <c r="G9"/>
  <c r="H9"/>
  <c r="I9"/>
  <c r="J9"/>
  <c r="C8"/>
  <c r="N14" i="3"/>
  <c r="M5"/>
  <c r="L14"/>
  <c r="K14"/>
  <c r="J5"/>
  <c r="I14"/>
  <c r="H14"/>
  <c r="K22"/>
  <c r="K13"/>
  <c r="I13"/>
  <c r="J13"/>
  <c r="H13"/>
  <c r="G6"/>
  <c r="G7"/>
  <c r="G5"/>
  <c r="G4"/>
  <c r="D5"/>
  <c r="E5"/>
  <c r="F5"/>
  <c r="C5"/>
  <c r="D4"/>
  <c r="E4"/>
  <c r="F4"/>
  <c r="C4"/>
  <c r="B31" l="1"/>
  <c r="C31"/>
  <c r="D31"/>
  <c r="E31"/>
  <c r="F31"/>
  <c r="B32"/>
  <c r="C32"/>
  <c r="D32"/>
  <c r="E32"/>
  <c r="F32"/>
  <c r="A32"/>
  <c r="B22"/>
  <c r="C22"/>
  <c r="D22"/>
  <c r="E22"/>
  <c r="F22"/>
  <c r="B23"/>
  <c r="C23"/>
  <c r="D23"/>
  <c r="E23"/>
  <c r="F23"/>
  <c r="A23"/>
  <c r="B13"/>
  <c r="C13"/>
  <c r="D13"/>
  <c r="E13"/>
  <c r="F13"/>
  <c r="B14"/>
  <c r="C14"/>
  <c r="D14"/>
  <c r="E14"/>
  <c r="F14"/>
  <c r="A14"/>
  <c r="B4"/>
  <c r="B5"/>
  <c r="A5"/>
  <c r="E7" i="2"/>
  <c r="E6"/>
  <c r="A31" i="3"/>
  <c r="A22"/>
  <c r="A13"/>
  <c r="A4"/>
  <c r="D5" i="1"/>
  <c r="E5"/>
  <c r="F5"/>
  <c r="G5"/>
  <c r="H5"/>
  <c r="I5"/>
  <c r="C5"/>
  <c r="E4"/>
  <c r="F4"/>
  <c r="G4"/>
  <c r="H4"/>
  <c r="I4"/>
  <c r="D4"/>
  <c r="G3"/>
  <c r="H3"/>
  <c r="I3" s="1"/>
  <c r="F3"/>
  <c r="E3"/>
  <c r="J35"/>
  <c r="D37"/>
  <c r="A15" i="4"/>
  <c r="C30"/>
  <c r="E3"/>
  <c r="F3"/>
  <c r="G3"/>
  <c r="H3"/>
  <c r="I3"/>
  <c r="J3"/>
  <c r="D3"/>
  <c r="C5"/>
  <c r="D4"/>
  <c r="E4"/>
  <c r="F4"/>
  <c r="G4"/>
  <c r="H4"/>
  <c r="I4"/>
  <c r="J4"/>
  <c r="C4"/>
  <c r="J7"/>
  <c r="D5"/>
  <c r="E5"/>
  <c r="F5"/>
  <c r="G5"/>
  <c r="H5"/>
  <c r="I5"/>
  <c r="J5"/>
  <c r="G16"/>
  <c r="J15"/>
  <c r="I15"/>
  <c r="H15"/>
  <c r="G15"/>
  <c r="C9"/>
  <c r="D6"/>
  <c r="E6"/>
  <c r="F6"/>
  <c r="G6"/>
  <c r="H6"/>
  <c r="I6"/>
  <c r="J6"/>
  <c r="C6"/>
  <c r="C20"/>
  <c r="D20" s="1"/>
  <c r="C18"/>
  <c r="J21"/>
  <c r="J16"/>
  <c r="J17"/>
  <c r="D33"/>
  <c r="O27"/>
  <c r="I16"/>
  <c r="H16"/>
  <c r="F16"/>
  <c r="E16"/>
  <c r="D16"/>
  <c r="C16"/>
  <c r="F15"/>
  <c r="E15"/>
  <c r="D15"/>
  <c r="C15"/>
  <c r="C12"/>
  <c r="I16" i="6"/>
  <c r="I15"/>
  <c r="C12"/>
  <c r="C11"/>
  <c r="C10"/>
  <c r="C9"/>
  <c r="C8"/>
  <c r="C7"/>
  <c r="C6"/>
  <c r="I10"/>
  <c r="E37" i="1"/>
  <c r="I38"/>
  <c r="G38"/>
  <c r="E38"/>
  <c r="J34"/>
  <c r="J38" s="1"/>
  <c r="I34"/>
  <c r="H34"/>
  <c r="H38" s="1"/>
  <c r="G34"/>
  <c r="F34"/>
  <c r="F38" s="1"/>
  <c r="E34"/>
  <c r="D34"/>
  <c r="D38" s="1"/>
  <c r="E30"/>
  <c r="C19" i="4" s="1"/>
  <c r="G30" i="1"/>
  <c r="H30"/>
  <c r="F30"/>
  <c r="E17"/>
  <c r="E43" l="1"/>
  <c r="E12" i="4"/>
  <c r="E13" s="1"/>
  <c r="E14" s="1"/>
  <c r="E24" s="1"/>
  <c r="E25" s="1"/>
  <c r="G12"/>
  <c r="G13" s="1"/>
  <c r="G14" s="1"/>
  <c r="G24" s="1"/>
  <c r="G25" s="1"/>
  <c r="F12"/>
  <c r="F13" s="1"/>
  <c r="F14" s="1"/>
  <c r="F24" s="1"/>
  <c r="F25" s="1"/>
  <c r="H12"/>
  <c r="H13" s="1"/>
  <c r="H14" s="1"/>
  <c r="H24" s="1"/>
  <c r="H25" s="1"/>
  <c r="J12"/>
  <c r="J13" s="1"/>
  <c r="J14" s="1"/>
  <c r="J24" s="1"/>
  <c r="J25" s="1"/>
  <c r="D12"/>
  <c r="D13" s="1"/>
  <c r="D14" s="1"/>
  <c r="D24" s="1"/>
  <c r="C13"/>
  <c r="C14" s="1"/>
  <c r="C24" s="1"/>
  <c r="C32" s="1"/>
  <c r="H10" i="6"/>
  <c r="F5"/>
  <c r="E46" i="1"/>
  <c r="F37"/>
  <c r="F43" s="1"/>
  <c r="H17"/>
  <c r="F17"/>
  <c r="G17"/>
  <c r="I37"/>
  <c r="I43" s="1"/>
  <c r="D43"/>
  <c r="J37"/>
  <c r="J43" s="1"/>
  <c r="G37" l="1"/>
  <c r="G43" s="1"/>
  <c r="H37"/>
  <c r="H43" s="1"/>
  <c r="E31" i="4"/>
  <c r="D25"/>
  <c r="C25"/>
  <c r="C31" s="1"/>
  <c r="E6" i="6"/>
  <c r="I30" i="1"/>
  <c r="I17"/>
  <c r="K17"/>
  <c r="L17"/>
  <c r="J17"/>
  <c r="D6" i="6" l="1"/>
  <c r="C7" i="4"/>
  <c r="J30" i="1"/>
  <c r="F6" i="6" l="1"/>
  <c r="C17" i="4"/>
  <c r="K30" i="1"/>
  <c r="L30"/>
  <c r="E7" i="6" l="1"/>
  <c r="D7" l="1"/>
  <c r="D7" i="4"/>
  <c r="D17" l="1"/>
  <c r="F7" i="6"/>
  <c r="E8" l="1"/>
  <c r="D8" l="1"/>
  <c r="E7" i="4"/>
  <c r="E17" l="1"/>
  <c r="F8" i="6"/>
  <c r="E9" l="1"/>
  <c r="D9" l="1"/>
  <c r="F7" i="4"/>
  <c r="F17" l="1"/>
  <c r="F9" i="6"/>
  <c r="E10" l="1"/>
  <c r="D10" l="1"/>
  <c r="G7" i="4"/>
  <c r="G17" l="1"/>
  <c r="F10" i="6"/>
  <c r="E11" s="1"/>
  <c r="D11" l="1"/>
  <c r="H7" i="4"/>
  <c r="F11" i="6" l="1"/>
  <c r="E12" s="1"/>
  <c r="H17" i="4"/>
  <c r="D12" i="6" l="1"/>
  <c r="I7" i="4"/>
  <c r="I12" s="1"/>
  <c r="I13" s="1"/>
  <c r="I14" s="1"/>
  <c r="F12" i="6" l="1"/>
  <c r="I17" i="4"/>
  <c r="I24" s="1"/>
  <c r="I25" s="1"/>
  <c r="C9" i="5" l="1"/>
  <c r="C6"/>
  <c r="C8"/>
  <c r="T36" i="3" l="1"/>
  <c r="Q35"/>
  <c r="R35"/>
  <c r="Q26"/>
  <c r="R26"/>
  <c r="Q17"/>
  <c r="R17"/>
  <c r="Q8"/>
  <c r="R8"/>
  <c r="T41" l="1"/>
  <c r="C7" i="5" l="1"/>
  <c r="C5" l="1"/>
  <c r="C4" l="1"/>
  <c r="G8" i="3"/>
  <c r="T27"/>
  <c r="T18"/>
  <c r="T9"/>
  <c r="C11" i="5" l="1"/>
  <c r="G17" i="3"/>
  <c r="H35"/>
  <c r="I35"/>
  <c r="J35"/>
  <c r="K35"/>
  <c r="L35"/>
  <c r="M35"/>
  <c r="N35"/>
  <c r="O35"/>
  <c r="P35"/>
  <c r="S35"/>
  <c r="G35"/>
  <c r="H26"/>
  <c r="I26"/>
  <c r="J26"/>
  <c r="K26"/>
  <c r="L26"/>
  <c r="M26"/>
  <c r="N26"/>
  <c r="O26"/>
  <c r="P26"/>
  <c r="S26"/>
  <c r="G26"/>
  <c r="H17"/>
  <c r="I17"/>
  <c r="J17"/>
  <c r="K17"/>
  <c r="L17"/>
  <c r="M17"/>
  <c r="N17"/>
  <c r="O17"/>
  <c r="P17"/>
  <c r="S17"/>
  <c r="H8"/>
  <c r="I8"/>
  <c r="J8"/>
  <c r="K8"/>
  <c r="L8"/>
  <c r="M8"/>
  <c r="N8"/>
  <c r="O8"/>
  <c r="P8"/>
  <c r="S8"/>
</calcChain>
</file>

<file path=xl/comments1.xml><?xml version="1.0" encoding="utf-8"?>
<comments xmlns="http://schemas.openxmlformats.org/spreadsheetml/2006/main">
  <authors>
    <author>Autor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Netamente del producto</t>
        </r>
      </text>
    </comment>
    <comment ref="B19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Del arriendo de quipos, pagos, sueldos, bleh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B3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Van &gt; 0 : Inversion producirá ganancias por encima de la rentabilidad -&gt; El proyecto se acepta.
Van &lt; 0 : La inversión producirá pérdidad -&gt; El proyecto se rechaza.
Van = 0: Ni ganancias ni pérdidas -&gt; Se decide en base a otros factores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Van</t>
        </r>
      </text>
    </comment>
    <comment ref="B32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Tir &gt; Trema : Proyecto será aceptado. 
Tir &lt; Trema: Proyecto rechazado.
Tir = Trema: No Decide</t>
        </r>
      </text>
    </comment>
  </commentList>
</comments>
</file>

<file path=xl/sharedStrings.xml><?xml version="1.0" encoding="utf-8"?>
<sst xmlns="http://schemas.openxmlformats.org/spreadsheetml/2006/main" count="169" uniqueCount="105">
  <si>
    <t>Unidad</t>
  </si>
  <si>
    <t>Año</t>
  </si>
  <si>
    <t>Unidades a vender</t>
  </si>
  <si>
    <t>c/u</t>
  </si>
  <si>
    <t>Precio de venta</t>
  </si>
  <si>
    <t>$</t>
  </si>
  <si>
    <t>activo</t>
  </si>
  <si>
    <t>cantidad</t>
  </si>
  <si>
    <t>costo unitario</t>
  </si>
  <si>
    <t>valor de liquidación</t>
  </si>
  <si>
    <t>años</t>
  </si>
  <si>
    <t>% valor original</t>
  </si>
  <si>
    <t>Activo</t>
  </si>
  <si>
    <t>Valor Adquisición</t>
  </si>
  <si>
    <t xml:space="preserve">Vida útil depreciación </t>
  </si>
  <si>
    <t>Vida útil real (años)</t>
  </si>
  <si>
    <t>Valor de venta al término de vida útil real</t>
  </si>
  <si>
    <t>Inversiones por año</t>
  </si>
  <si>
    <t>numero</t>
  </si>
  <si>
    <t xml:space="preserve"> ($)</t>
  </si>
  <si>
    <t>(años)</t>
  </si>
  <si>
    <t>(% valor original)</t>
  </si>
  <si>
    <t>Depreciación por año</t>
  </si>
  <si>
    <t>Valor libro por año</t>
  </si>
  <si>
    <t>Venta de activos por año</t>
  </si>
  <si>
    <t>Utilidad</t>
  </si>
  <si>
    <t>Utilidad Neta</t>
  </si>
  <si>
    <t>Flujo de proyecto</t>
  </si>
  <si>
    <t xml:space="preserve">Impuesto </t>
  </si>
  <si>
    <t>Total</t>
  </si>
  <si>
    <t>vida contable</t>
  </si>
  <si>
    <t>vida real</t>
  </si>
  <si>
    <t>TASA IMP</t>
  </si>
  <si>
    <t>PUNTAJE</t>
  </si>
  <si>
    <t>VAN</t>
  </si>
  <si>
    <t>Calendarios</t>
  </si>
  <si>
    <t>PUNTAJES</t>
  </si>
  <si>
    <t>TOTAL</t>
  </si>
  <si>
    <t>Puntaje Tabla</t>
  </si>
  <si>
    <t>Tabla</t>
  </si>
  <si>
    <t>En esta hoja realice lo necesario para construir la tabla de amortización</t>
  </si>
  <si>
    <t>total</t>
  </si>
  <si>
    <t>ACTIVIDAD TOTAL</t>
  </si>
  <si>
    <t>INGRESOS TOTALES</t>
  </si>
  <si>
    <t>Año de adquisición</t>
  </si>
  <si>
    <t>Periodo</t>
  </si>
  <si>
    <t>Cuota</t>
  </si>
  <si>
    <t>Amortización</t>
  </si>
  <si>
    <t>Interes</t>
  </si>
  <si>
    <t>Saldo</t>
  </si>
  <si>
    <t>Datos</t>
  </si>
  <si>
    <t>Flujo Alternativa 1</t>
  </si>
  <si>
    <t>Flujo Alternativa 2</t>
  </si>
  <si>
    <t>Flujo Alternativa 3</t>
  </si>
  <si>
    <t>Actividad</t>
  </si>
  <si>
    <t>costo total</t>
  </si>
  <si>
    <t>Ingreso total</t>
  </si>
  <si>
    <t>Para Calendarios</t>
  </si>
  <si>
    <t>Valores Básicos</t>
  </si>
  <si>
    <t>Dólar</t>
  </si>
  <si>
    <t>Costo Variable</t>
  </si>
  <si>
    <t>Costo Anual</t>
  </si>
  <si>
    <t>Costo Fijo</t>
  </si>
  <si>
    <t>Cantidad</t>
  </si>
  <si>
    <t>Costo por mes</t>
  </si>
  <si>
    <t>Programadores</t>
  </si>
  <si>
    <t>Diseñador</t>
  </si>
  <si>
    <t>Administrativo</t>
  </si>
  <si>
    <t>Suscriptores</t>
  </si>
  <si>
    <t>costo variable total</t>
  </si>
  <si>
    <t>Capital de Trabajo</t>
  </si>
  <si>
    <t>VP*((i*(1+i)^n)/((i+1)^n) - 1)</t>
  </si>
  <si>
    <t>Numerador</t>
  </si>
  <si>
    <t>Denominador</t>
  </si>
  <si>
    <t>+</t>
  </si>
  <si>
    <t>Ingreso por venta</t>
  </si>
  <si>
    <t>Venta de activo</t>
  </si>
  <si>
    <t>Costos Variables</t>
  </si>
  <si>
    <t>Costos Fijos</t>
  </si>
  <si>
    <t>Depreciación</t>
  </si>
  <si>
    <t>Valor libro</t>
  </si>
  <si>
    <t>Depreciacion</t>
  </si>
  <si>
    <t>Valor Libro+</t>
  </si>
  <si>
    <t>Amortización-</t>
  </si>
  <si>
    <t>Inversión Prestamo+</t>
  </si>
  <si>
    <t>Inversión+</t>
  </si>
  <si>
    <t>Capital de trabajo-</t>
  </si>
  <si>
    <t>Valor de desecho +</t>
  </si>
  <si>
    <t>Capital de trabajo se recupera al final</t>
  </si>
  <si>
    <t>Valor de desecho positivo al final</t>
  </si>
  <si>
    <t>(Flujo sin venta ni inversion)-Depreciacion/Trema</t>
  </si>
  <si>
    <t>TREMA</t>
  </si>
  <si>
    <t>Valor de desecho</t>
  </si>
  <si>
    <t>TIR</t>
  </si>
  <si>
    <t>Trema</t>
  </si>
  <si>
    <t>Taza Impuesto</t>
  </si>
  <si>
    <t>Suscripciones</t>
  </si>
  <si>
    <t>Totales</t>
  </si>
  <si>
    <t>Generales</t>
  </si>
  <si>
    <t>Anteriores</t>
  </si>
  <si>
    <t>Licencia Software GPS</t>
  </si>
  <si>
    <t>API</t>
  </si>
  <si>
    <t>Los Testeadores</t>
  </si>
  <si>
    <t>Paseo</t>
  </si>
  <si>
    <t>Oficina</t>
  </si>
</sst>
</file>

<file path=xl/styles.xml><?xml version="1.0" encoding="utf-8"?>
<styleSheet xmlns="http://schemas.openxmlformats.org/spreadsheetml/2006/main">
  <numFmts count="4">
    <numFmt numFmtId="8" formatCode="&quot;$&quot;#,##0.00;[Red]&quot;$&quot;\-#,##0.00"/>
    <numFmt numFmtId="42" formatCode="_ &quot;$&quot;* #,##0_ ;_ &quot;$&quot;* \-#,##0_ ;_ &quot;$&quot;* &quot;-&quot;_ ;_ @_ "/>
    <numFmt numFmtId="41" formatCode="_ * #,##0_ ;_ * \-#,##0_ ;_ * &quot;-&quot;_ ;_ @_ "/>
    <numFmt numFmtId="164" formatCode="#,##0_ ;[Red]\-#,##0\ "/>
  </numFmts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20"/>
      <color theme="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1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9" fontId="25" fillId="0" borderId="0" applyFont="0" applyFill="0" applyBorder="0" applyAlignment="0" applyProtection="0"/>
  </cellStyleXfs>
  <cellXfs count="165">
    <xf numFmtId="0" fontId="0" fillId="0" borderId="0" xfId="0"/>
    <xf numFmtId="3" fontId="0" fillId="0" borderId="8" xfId="0" applyNumberFormat="1" applyBorder="1" applyAlignment="1">
      <alignment vertical="center"/>
    </xf>
    <xf numFmtId="3" fontId="0" fillId="0" borderId="8" xfId="0" applyNumberFormat="1" applyFill="1" applyBorder="1" applyAlignment="1">
      <alignment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right" vertical="center"/>
    </xf>
    <xf numFmtId="3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vertical="center"/>
    </xf>
    <xf numFmtId="3" fontId="0" fillId="0" borderId="9" xfId="0" applyNumberFormat="1" applyBorder="1" applyAlignment="1">
      <alignment vertical="center"/>
    </xf>
    <xf numFmtId="3" fontId="0" fillId="0" borderId="19" xfId="0" applyNumberFormat="1" applyBorder="1" applyAlignment="1">
      <alignment horizontal="center"/>
    </xf>
    <xf numFmtId="3" fontId="0" fillId="0" borderId="18" xfId="0" applyNumberFormat="1" applyBorder="1" applyAlignment="1">
      <alignment vertical="center"/>
    </xf>
    <xf numFmtId="3" fontId="0" fillId="0" borderId="19" xfId="0" applyNumberFormat="1" applyBorder="1" applyAlignment="1">
      <alignment vertical="center"/>
    </xf>
    <xf numFmtId="3" fontId="0" fillId="0" borderId="20" xfId="0" applyNumberFormat="1" applyBorder="1" applyAlignment="1">
      <alignment vertical="center"/>
    </xf>
    <xf numFmtId="0" fontId="3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1" xfId="0" applyBorder="1" applyAlignment="1">
      <alignment horizontal="right" vertical="center"/>
    </xf>
    <xf numFmtId="3" fontId="0" fillId="0" borderId="19" xfId="0" applyNumberForma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3" fontId="4" fillId="0" borderId="10" xfId="0" applyNumberFormat="1" applyFont="1" applyBorder="1" applyAlignment="1">
      <alignment horizontal="center" vertical="center"/>
    </xf>
    <xf numFmtId="164" fontId="0" fillId="0" borderId="7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0" fontId="5" fillId="0" borderId="16" xfId="0" applyFont="1" applyBorder="1" applyAlignment="1">
      <alignment horizontal="right" vertical="center"/>
    </xf>
    <xf numFmtId="0" fontId="1" fillId="0" borderId="16" xfId="0" applyFont="1" applyBorder="1" applyAlignment="1">
      <alignment horizontal="right" vertical="center"/>
    </xf>
    <xf numFmtId="0" fontId="0" fillId="0" borderId="0" xfId="0" applyBorder="1"/>
    <xf numFmtId="164" fontId="0" fillId="0" borderId="0" xfId="0" applyNumberFormat="1" applyFill="1" applyBorder="1" applyAlignment="1">
      <alignment horizontal="center" vertical="center"/>
    </xf>
    <xf numFmtId="0" fontId="1" fillId="0" borderId="18" xfId="0" applyFont="1" applyFill="1" applyBorder="1"/>
    <xf numFmtId="0" fontId="1" fillId="0" borderId="16" xfId="0" applyFont="1" applyBorder="1" applyAlignment="1">
      <alignment horizontal="right" vertical="center" wrapText="1"/>
    </xf>
    <xf numFmtId="3" fontId="4" fillId="0" borderId="16" xfId="0" applyNumberFormat="1" applyFont="1" applyBorder="1" applyAlignment="1">
      <alignment horizontal="center" vertical="center"/>
    </xf>
    <xf numFmtId="0" fontId="0" fillId="0" borderId="8" xfId="0" applyBorder="1"/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9" fontId="0" fillId="0" borderId="26" xfId="0" applyNumberFormat="1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left" vertical="center"/>
    </xf>
    <xf numFmtId="0" fontId="6" fillId="4" borderId="8" xfId="0" applyFont="1" applyFill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0" fillId="0" borderId="9" xfId="0" applyBorder="1"/>
    <xf numFmtId="3" fontId="4" fillId="0" borderId="27" xfId="0" applyNumberFormat="1" applyFont="1" applyBorder="1" applyAlignment="1">
      <alignment horizontal="center" vertical="center"/>
    </xf>
    <xf numFmtId="3" fontId="0" fillId="0" borderId="18" xfId="0" applyNumberFormat="1" applyFill="1" applyBorder="1" applyAlignment="1">
      <alignment vertical="center"/>
    </xf>
    <xf numFmtId="3" fontId="0" fillId="0" borderId="20" xfId="0" applyNumberFormat="1" applyFill="1" applyBorder="1" applyAlignment="1">
      <alignment vertical="center"/>
    </xf>
    <xf numFmtId="3" fontId="0" fillId="0" borderId="14" xfId="0" applyNumberFormat="1" applyFill="1" applyBorder="1" applyAlignment="1">
      <alignment vertical="center"/>
    </xf>
    <xf numFmtId="3" fontId="0" fillId="0" borderId="9" xfId="0" applyNumberFormat="1" applyFill="1" applyBorder="1" applyAlignment="1">
      <alignment vertical="center"/>
    </xf>
    <xf numFmtId="164" fontId="0" fillId="0" borderId="21" xfId="0" applyNumberFormat="1" applyBorder="1" applyAlignment="1">
      <alignment horizontal="center"/>
    </xf>
    <xf numFmtId="0" fontId="9" fillId="0" borderId="1" xfId="0" applyFont="1" applyBorder="1"/>
    <xf numFmtId="0" fontId="9" fillId="0" borderId="6" xfId="0" applyFont="1" applyBorder="1"/>
    <xf numFmtId="0" fontId="9" fillId="0" borderId="28" xfId="0" applyFont="1" applyBorder="1"/>
    <xf numFmtId="0" fontId="9" fillId="0" borderId="2" xfId="0" applyFont="1" applyBorder="1"/>
    <xf numFmtId="0" fontId="0" fillId="0" borderId="13" xfId="0" applyBorder="1"/>
    <xf numFmtId="0" fontId="0" fillId="0" borderId="16" xfId="0" applyBorder="1"/>
    <xf numFmtId="0" fontId="0" fillId="0" borderId="0" xfId="0" applyFill="1"/>
    <xf numFmtId="0" fontId="6" fillId="0" borderId="0" xfId="0" applyFont="1" applyFill="1"/>
    <xf numFmtId="0" fontId="9" fillId="0" borderId="0" xfId="0" applyFont="1" applyBorder="1"/>
    <xf numFmtId="0" fontId="9" fillId="0" borderId="29" xfId="0" applyFont="1" applyBorder="1"/>
    <xf numFmtId="0" fontId="18" fillId="0" borderId="0" xfId="0" applyFont="1"/>
    <xf numFmtId="3" fontId="20" fillId="0" borderId="8" xfId="0" applyNumberFormat="1" applyFont="1" applyBorder="1" applyAlignment="1">
      <alignment horizontal="right" vertical="center"/>
    </xf>
    <xf numFmtId="0" fontId="6" fillId="7" borderId="8" xfId="0" applyFont="1" applyFill="1" applyBorder="1" applyAlignment="1">
      <alignment horizontal="left" vertical="center"/>
    </xf>
    <xf numFmtId="0" fontId="21" fillId="6" borderId="8" xfId="0" applyFont="1" applyFill="1" applyBorder="1" applyAlignment="1">
      <alignment horizontal="center" vertical="center"/>
    </xf>
    <xf numFmtId="0" fontId="21" fillId="6" borderId="8" xfId="0" applyFont="1" applyFill="1" applyBorder="1" applyAlignment="1">
      <alignment horizontal="center" vertical="center" wrapText="1"/>
    </xf>
    <xf numFmtId="0" fontId="22" fillId="8" borderId="8" xfId="0" applyFont="1" applyFill="1" applyBorder="1" applyAlignment="1">
      <alignment vertical="center"/>
    </xf>
    <xf numFmtId="0" fontId="22" fillId="0" borderId="8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3" fontId="23" fillId="0" borderId="8" xfId="0" applyNumberFormat="1" applyFont="1" applyBorder="1" applyAlignment="1">
      <alignment horizontal="center" vertical="center"/>
    </xf>
    <xf numFmtId="9" fontId="23" fillId="0" borderId="8" xfId="0" applyNumberFormat="1" applyFont="1" applyBorder="1" applyAlignment="1">
      <alignment horizontal="center" vertical="center"/>
    </xf>
    <xf numFmtId="164" fontId="8" fillId="4" borderId="30" xfId="0" applyNumberFormat="1" applyFont="1" applyFill="1" applyBorder="1" applyAlignment="1">
      <alignment horizontal="center"/>
    </xf>
    <xf numFmtId="164" fontId="8" fillId="4" borderId="31" xfId="0" applyNumberFormat="1" applyFont="1" applyFill="1" applyBorder="1" applyAlignment="1">
      <alignment horizontal="center"/>
    </xf>
    <xf numFmtId="164" fontId="8" fillId="4" borderId="32" xfId="0" applyNumberFormat="1" applyFont="1" applyFill="1" applyBorder="1" applyAlignment="1">
      <alignment horizontal="center"/>
    </xf>
    <xf numFmtId="0" fontId="9" fillId="9" borderId="17" xfId="0" applyFont="1" applyFill="1" applyBorder="1" applyAlignment="1">
      <alignment horizontal="center" vertical="center"/>
    </xf>
    <xf numFmtId="0" fontId="0" fillId="10" borderId="0" xfId="0" applyFill="1"/>
    <xf numFmtId="0" fontId="19" fillId="10" borderId="8" xfId="0" applyFont="1" applyFill="1" applyBorder="1"/>
    <xf numFmtId="0" fontId="19" fillId="10" borderId="8" xfId="0" applyFont="1" applyFill="1" applyBorder="1" applyAlignment="1">
      <alignment horizontal="center" vertical="center"/>
    </xf>
    <xf numFmtId="0" fontId="10" fillId="10" borderId="0" xfId="0" applyFont="1" applyFill="1"/>
    <xf numFmtId="0" fontId="14" fillId="10" borderId="0" xfId="0" applyFont="1" applyFill="1" applyAlignment="1">
      <alignment horizontal="center"/>
    </xf>
    <xf numFmtId="0" fontId="13" fillId="10" borderId="0" xfId="0" applyFont="1" applyFill="1"/>
    <xf numFmtId="0" fontId="6" fillId="10" borderId="0" xfId="0" applyFont="1" applyFill="1"/>
    <xf numFmtId="0" fontId="12" fillId="10" borderId="0" xfId="0" applyFont="1" applyFill="1"/>
    <xf numFmtId="0" fontId="11" fillId="10" borderId="0" xfId="0" applyFont="1" applyFill="1" applyAlignment="1">
      <alignment horizontal="center"/>
    </xf>
    <xf numFmtId="0" fontId="17" fillId="10" borderId="0" xfId="0" applyFont="1" applyFill="1" applyAlignment="1"/>
    <xf numFmtId="0" fontId="14" fillId="10" borderId="0" xfId="0" applyFont="1" applyFill="1" applyAlignment="1"/>
    <xf numFmtId="0" fontId="24" fillId="10" borderId="8" xfId="0" applyFont="1" applyFill="1" applyBorder="1"/>
    <xf numFmtId="0" fontId="24" fillId="10" borderId="8" xfId="0" applyFont="1" applyFill="1" applyBorder="1" applyAlignment="1">
      <alignment horizontal="center" vertical="center"/>
    </xf>
    <xf numFmtId="0" fontId="0" fillId="2" borderId="0" xfId="0" applyFill="1"/>
    <xf numFmtId="0" fontId="2" fillId="0" borderId="25" xfId="0" applyFont="1" applyBorder="1" applyAlignment="1">
      <alignment horizontal="center" vertical="center"/>
    </xf>
    <xf numFmtId="3" fontId="0" fillId="0" borderId="26" xfId="0" applyNumberFormat="1" applyBorder="1" applyAlignment="1">
      <alignment vertical="center"/>
    </xf>
    <xf numFmtId="3" fontId="0" fillId="0" borderId="33" xfId="0" applyNumberFormat="1" applyBorder="1" applyAlignment="1">
      <alignment vertical="center"/>
    </xf>
    <xf numFmtId="3" fontId="0" fillId="0" borderId="26" xfId="0" applyNumberFormat="1" applyFill="1" applyBorder="1" applyAlignment="1">
      <alignment vertical="center"/>
    </xf>
    <xf numFmtId="3" fontId="0" fillId="0" borderId="33" xfId="0" applyNumberFormat="1" applyFill="1" applyBorder="1" applyAlignment="1">
      <alignment vertical="center"/>
    </xf>
    <xf numFmtId="42" fontId="0" fillId="0" borderId="8" xfId="2" applyFont="1" applyBorder="1"/>
    <xf numFmtId="41" fontId="0" fillId="0" borderId="8" xfId="1" applyFont="1" applyBorder="1"/>
    <xf numFmtId="9" fontId="0" fillId="0" borderId="8" xfId="0" applyNumberFormat="1" applyBorder="1"/>
    <xf numFmtId="0" fontId="6" fillId="4" borderId="8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21" fillId="6" borderId="8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3" borderId="8" xfId="0" applyFont="1" applyFill="1" applyBorder="1"/>
    <xf numFmtId="0" fontId="6" fillId="4" borderId="15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/>
    </xf>
    <xf numFmtId="0" fontId="6" fillId="4" borderId="34" xfId="0" applyFont="1" applyFill="1" applyBorder="1" applyAlignment="1"/>
    <xf numFmtId="0" fontId="6" fillId="4" borderId="19" xfId="0" applyFont="1" applyFill="1" applyBorder="1" applyAlignment="1">
      <alignment horizontal="center" vertical="center" wrapText="1"/>
    </xf>
    <xf numFmtId="0" fontId="6" fillId="4" borderId="19" xfId="0" applyFont="1" applyFill="1" applyBorder="1" applyAlignment="1">
      <alignment horizontal="center" vertical="center"/>
    </xf>
    <xf numFmtId="0" fontId="6" fillId="4" borderId="8" xfId="0" applyFont="1" applyFill="1" applyBorder="1"/>
    <xf numFmtId="0" fontId="10" fillId="12" borderId="8" xfId="0" applyFont="1" applyFill="1" applyBorder="1"/>
    <xf numFmtId="41" fontId="10" fillId="12" borderId="8" xfId="1" applyFont="1" applyFill="1" applyBorder="1"/>
    <xf numFmtId="0" fontId="16" fillId="11" borderId="33" xfId="0" applyFont="1" applyFill="1" applyBorder="1" applyAlignment="1">
      <alignment horizontal="center"/>
    </xf>
    <xf numFmtId="0" fontId="16" fillId="11" borderId="34" xfId="0" applyFont="1" applyFill="1" applyBorder="1" applyAlignment="1">
      <alignment horizontal="center"/>
    </xf>
    <xf numFmtId="0" fontId="16" fillId="11" borderId="7" xfId="0" applyFont="1" applyFill="1" applyBorder="1" applyAlignment="1">
      <alignment horizontal="center"/>
    </xf>
    <xf numFmtId="41" fontId="0" fillId="11" borderId="8" xfId="1" applyFont="1" applyFill="1" applyBorder="1"/>
    <xf numFmtId="0" fontId="6" fillId="4" borderId="8" xfId="0" applyFont="1" applyFill="1" applyBorder="1" applyAlignment="1"/>
    <xf numFmtId="0" fontId="6" fillId="2" borderId="0" xfId="0" applyFont="1" applyFill="1" applyBorder="1" applyAlignment="1"/>
    <xf numFmtId="0" fontId="6" fillId="2" borderId="0" xfId="0" applyFont="1" applyFill="1" applyBorder="1"/>
    <xf numFmtId="0" fontId="0" fillId="2" borderId="0" xfId="0" applyFill="1" applyBorder="1"/>
    <xf numFmtId="41" fontId="0" fillId="0" borderId="8" xfId="0" applyNumberFormat="1" applyBorder="1"/>
    <xf numFmtId="0" fontId="6" fillId="4" borderId="33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42" fontId="0" fillId="0" borderId="8" xfId="2" applyFont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6" fillId="7" borderId="34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42" fontId="20" fillId="0" borderId="8" xfId="2" applyFont="1" applyBorder="1" applyAlignment="1">
      <alignment horizontal="right" vertical="center"/>
    </xf>
    <xf numFmtId="164" fontId="0" fillId="0" borderId="0" xfId="0" applyNumberFormat="1"/>
    <xf numFmtId="0" fontId="1" fillId="11" borderId="0" xfId="0" applyFont="1" applyFill="1" applyAlignment="1">
      <alignment wrapText="1"/>
    </xf>
    <xf numFmtId="42" fontId="1" fillId="11" borderId="0" xfId="2" applyNumberFormat="1" applyFont="1" applyFill="1"/>
    <xf numFmtId="0" fontId="10" fillId="13" borderId="0" xfId="0" applyFont="1" applyFill="1"/>
    <xf numFmtId="0" fontId="0" fillId="13" borderId="0" xfId="0" applyFill="1"/>
    <xf numFmtId="0" fontId="11" fillId="2" borderId="0" xfId="0" applyFont="1" applyFill="1"/>
    <xf numFmtId="0" fontId="0" fillId="2" borderId="8" xfId="0" applyFill="1" applyBorder="1"/>
    <xf numFmtId="42" fontId="0" fillId="2" borderId="8" xfId="2" applyFont="1" applyFill="1" applyBorder="1"/>
    <xf numFmtId="9" fontId="0" fillId="2" borderId="8" xfId="3" applyFont="1" applyFill="1" applyBorder="1"/>
    <xf numFmtId="42" fontId="0" fillId="2" borderId="8" xfId="0" applyNumberFormat="1" applyFill="1" applyBorder="1"/>
    <xf numFmtId="0" fontId="0" fillId="2" borderId="3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8" fontId="0" fillId="2" borderId="0" xfId="0" applyNumberFormat="1" applyFill="1"/>
    <xf numFmtId="0" fontId="0" fillId="2" borderId="0" xfId="0" applyFill="1" applyAlignment="1">
      <alignment horizontal="center"/>
    </xf>
    <xf numFmtId="0" fontId="9" fillId="11" borderId="1" xfId="0" applyFont="1" applyFill="1" applyBorder="1"/>
    <xf numFmtId="164" fontId="1" fillId="11" borderId="3" xfId="0" applyNumberFormat="1" applyFont="1" applyFill="1" applyBorder="1" applyAlignment="1">
      <alignment horizontal="center"/>
    </xf>
    <xf numFmtId="0" fontId="15" fillId="11" borderId="17" xfId="0" applyFont="1" applyFill="1" applyBorder="1"/>
    <xf numFmtId="164" fontId="16" fillId="11" borderId="23" xfId="0" applyNumberFormat="1" applyFont="1" applyFill="1" applyBorder="1" applyAlignment="1">
      <alignment horizontal="center"/>
    </xf>
    <xf numFmtId="10" fontId="0" fillId="5" borderId="0" xfId="0" applyNumberFormat="1" applyFill="1"/>
    <xf numFmtId="164" fontId="1" fillId="9" borderId="36" xfId="0" applyNumberFormat="1" applyFont="1" applyFill="1" applyBorder="1" applyAlignment="1">
      <alignment horizontal="center" vertical="center"/>
    </xf>
    <xf numFmtId="0" fontId="9" fillId="0" borderId="17" xfId="0" applyFont="1" applyFill="1" applyBorder="1"/>
    <xf numFmtId="42" fontId="28" fillId="0" borderId="7" xfId="0" applyNumberFormat="1" applyFont="1" applyBorder="1"/>
    <xf numFmtId="42" fontId="1" fillId="0" borderId="8" xfId="0" applyNumberFormat="1" applyFont="1" applyBorder="1"/>
    <xf numFmtId="42" fontId="28" fillId="0" borderId="8" xfId="0" applyNumberFormat="1" applyFont="1" applyBorder="1"/>
    <xf numFmtId="9" fontId="0" fillId="0" borderId="0" xfId="0" applyNumberFormat="1"/>
    <xf numFmtId="42" fontId="0" fillId="0" borderId="5" xfId="0" applyNumberFormat="1" applyBorder="1"/>
    <xf numFmtId="9" fontId="0" fillId="0" borderId="12" xfId="0" applyNumberFormat="1" applyBorder="1"/>
    <xf numFmtId="3" fontId="20" fillId="11" borderId="8" xfId="0" applyNumberFormat="1" applyFont="1" applyFill="1" applyBorder="1" applyAlignment="1">
      <alignment horizontal="right" vertical="center"/>
    </xf>
    <xf numFmtId="0" fontId="29" fillId="11" borderId="8" xfId="0" applyFont="1" applyFill="1" applyBorder="1" applyAlignment="1">
      <alignment vertical="center"/>
    </xf>
    <xf numFmtId="0" fontId="29" fillId="0" borderId="8" xfId="0" applyFont="1" applyBorder="1" applyAlignment="1">
      <alignment vertical="center"/>
    </xf>
    <xf numFmtId="41" fontId="0" fillId="0" borderId="19" xfId="1" applyFont="1" applyBorder="1" applyAlignment="1">
      <alignment horizontal="center"/>
    </xf>
    <xf numFmtId="41" fontId="0" fillId="0" borderId="11" xfId="1" applyFont="1" applyBorder="1" applyAlignment="1">
      <alignment vertical="center"/>
    </xf>
    <xf numFmtId="41" fontId="3" fillId="0" borderId="11" xfId="1" applyFont="1" applyBorder="1" applyAlignment="1">
      <alignment horizontal="center" vertical="center" wrapText="1"/>
    </xf>
    <xf numFmtId="3" fontId="1" fillId="0" borderId="18" xfId="0" applyNumberFormat="1" applyFont="1" applyFill="1" applyBorder="1"/>
  </cellXfs>
  <cellStyles count="4">
    <cellStyle name="Millares [0]" xfId="1" builtinId="6"/>
    <cellStyle name="Moneda [0]" xfId="2" builtinId="7"/>
    <cellStyle name="Normal" xfId="0" builtinId="0"/>
    <cellStyle name="Porcentual" xfId="3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niela-Paredes-Patricio-Castro-Prueba-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vos"/>
      <sheetName val="Actividad"/>
      <sheetName val="Calendarios"/>
      <sheetName val="Flujo"/>
      <sheetName val="tabla amortización"/>
    </sheetNames>
    <sheetDataSet>
      <sheetData sheetId="0"/>
      <sheetData sheetId="1"/>
      <sheetData sheetId="2"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M28">
            <v>0</v>
          </cell>
          <cell r="N28">
            <v>0</v>
          </cell>
        </row>
      </sheetData>
      <sheetData sheetId="3" refreshError="1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2"/>
  <dimension ref="B3:H14"/>
  <sheetViews>
    <sheetView showGridLines="0" workbookViewId="0">
      <selection activeCell="E6" sqref="E6"/>
    </sheetView>
  </sheetViews>
  <sheetFormatPr baseColWidth="10" defaultColWidth="8.85546875" defaultRowHeight="15"/>
  <cols>
    <col min="1" max="1" width="2.5703125" customWidth="1"/>
    <col min="2" max="2" width="22.140625" bestFit="1" customWidth="1"/>
    <col min="3" max="3" width="11.140625" bestFit="1" customWidth="1"/>
    <col min="4" max="4" width="13.140625" customWidth="1"/>
    <col min="5" max="5" width="12.42578125" customWidth="1"/>
    <col min="6" max="6" width="13.5703125" customWidth="1"/>
    <col min="7" max="7" width="15.5703125" customWidth="1"/>
    <col min="8" max="8" width="14.5703125" bestFit="1" customWidth="1"/>
    <col min="9" max="9" width="23.28515625" bestFit="1" customWidth="1"/>
    <col min="10" max="10" width="16.42578125" bestFit="1" customWidth="1"/>
  </cols>
  <sheetData>
    <row r="3" spans="2:8">
      <c r="D3" t="s">
        <v>57</v>
      </c>
    </row>
    <row r="4" spans="2:8" ht="27" customHeight="1">
      <c r="B4" s="92" t="s">
        <v>6</v>
      </c>
      <c r="C4" s="58" t="s">
        <v>7</v>
      </c>
      <c r="D4" s="92" t="s">
        <v>44</v>
      </c>
      <c r="E4" s="58" t="s">
        <v>8</v>
      </c>
      <c r="F4" s="58" t="s">
        <v>30</v>
      </c>
      <c r="G4" s="58" t="s">
        <v>31</v>
      </c>
      <c r="H4" s="58" t="s">
        <v>9</v>
      </c>
    </row>
    <row r="5" spans="2:8">
      <c r="B5" s="92"/>
      <c r="C5" s="57" t="s">
        <v>3</v>
      </c>
      <c r="D5" s="92"/>
      <c r="E5" s="57" t="s">
        <v>5</v>
      </c>
      <c r="F5" s="57" t="s">
        <v>10</v>
      </c>
      <c r="G5" s="57" t="s">
        <v>10</v>
      </c>
      <c r="H5" s="57" t="s">
        <v>11</v>
      </c>
    </row>
    <row r="6" spans="2:8">
      <c r="B6" s="59" t="s">
        <v>100</v>
      </c>
      <c r="C6" s="61">
        <v>1</v>
      </c>
      <c r="D6" s="60">
        <v>0</v>
      </c>
      <c r="E6" s="62">
        <f>15000*C12</f>
        <v>10500000</v>
      </c>
      <c r="F6" s="61">
        <v>6</v>
      </c>
      <c r="G6" s="61">
        <v>4</v>
      </c>
      <c r="H6" s="63">
        <v>0</v>
      </c>
    </row>
    <row r="7" spans="2:8">
      <c r="B7" s="59" t="s">
        <v>101</v>
      </c>
      <c r="C7" s="61">
        <v>1</v>
      </c>
      <c r="D7" s="60">
        <v>0</v>
      </c>
      <c r="E7" s="62">
        <f>3000*C12</f>
        <v>2100000</v>
      </c>
      <c r="F7" s="61">
        <v>2</v>
      </c>
      <c r="G7" s="61">
        <v>2</v>
      </c>
      <c r="H7" s="63">
        <v>0</v>
      </c>
    </row>
    <row r="8" spans="2:8">
      <c r="B8" s="59"/>
      <c r="C8" s="61"/>
      <c r="D8" s="60"/>
      <c r="E8" s="62"/>
      <c r="F8" s="61"/>
      <c r="G8" s="61"/>
      <c r="H8" s="63"/>
    </row>
    <row r="9" spans="2:8">
      <c r="B9" s="59"/>
      <c r="C9" s="61"/>
      <c r="D9" s="60"/>
      <c r="E9" s="62"/>
      <c r="F9" s="61"/>
      <c r="G9" s="61"/>
      <c r="H9" s="63"/>
    </row>
    <row r="11" spans="2:8">
      <c r="B11" s="102" t="s">
        <v>58</v>
      </c>
      <c r="C11" s="103"/>
    </row>
    <row r="12" spans="2:8">
      <c r="B12" s="104" t="s">
        <v>59</v>
      </c>
      <c r="C12" s="28">
        <v>700</v>
      </c>
    </row>
    <row r="13" spans="2:8">
      <c r="B13" s="104" t="s">
        <v>94</v>
      </c>
      <c r="C13" s="89">
        <v>0.12</v>
      </c>
    </row>
    <row r="14" spans="2:8">
      <c r="B14" s="104" t="s">
        <v>95</v>
      </c>
      <c r="C14" s="89">
        <v>0.3</v>
      </c>
    </row>
  </sheetData>
  <mergeCells count="3">
    <mergeCell ref="B4:B5"/>
    <mergeCell ref="D4:D5"/>
    <mergeCell ref="B11:C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1"/>
  <dimension ref="B2:N46"/>
  <sheetViews>
    <sheetView showGridLines="0" tabSelected="1" topLeftCell="A4" workbookViewId="0">
      <selection activeCell="F27" sqref="F27"/>
    </sheetView>
  </sheetViews>
  <sheetFormatPr baseColWidth="10" defaultColWidth="8.85546875" defaultRowHeight="15"/>
  <cols>
    <col min="1" max="1" width="3.85546875" customWidth="1"/>
    <col min="2" max="2" width="19.140625" bestFit="1" customWidth="1"/>
    <col min="4" max="4" width="17.28515625" bestFit="1" customWidth="1"/>
    <col min="5" max="13" width="13.5703125" bestFit="1" customWidth="1"/>
    <col min="16" max="16" width="15.5703125" customWidth="1"/>
  </cols>
  <sheetData>
    <row r="2" spans="2:14">
      <c r="B2" s="160" t="s">
        <v>96</v>
      </c>
      <c r="C2" s="57">
        <v>1</v>
      </c>
      <c r="D2" s="57">
        <v>2</v>
      </c>
      <c r="E2" s="57">
        <v>3</v>
      </c>
      <c r="F2" s="57">
        <v>4</v>
      </c>
      <c r="G2" s="57">
        <v>5</v>
      </c>
      <c r="H2" s="57">
        <v>6</v>
      </c>
      <c r="I2" s="57">
        <v>7</v>
      </c>
      <c r="J2" s="57">
        <v>8</v>
      </c>
      <c r="K2" s="57">
        <v>9</v>
      </c>
      <c r="L2" s="57">
        <v>10</v>
      </c>
    </row>
    <row r="3" spans="2:14">
      <c r="B3" s="160" t="s">
        <v>98</v>
      </c>
      <c r="C3" s="55">
        <v>30</v>
      </c>
      <c r="D3" s="55">
        <v>100</v>
      </c>
      <c r="E3" s="55">
        <f>D3+D3*15%</f>
        <v>115</v>
      </c>
      <c r="F3" s="55">
        <f>E3+E3*15%</f>
        <v>132.25</v>
      </c>
      <c r="G3" s="55">
        <f t="shared" ref="G3:L3" si="0">F3+F3*15%</f>
        <v>152.08750000000001</v>
      </c>
      <c r="H3" s="55">
        <f t="shared" si="0"/>
        <v>174.90062499999999</v>
      </c>
      <c r="I3" s="55">
        <f t="shared" si="0"/>
        <v>201.13571875</v>
      </c>
      <c r="J3" s="55"/>
      <c r="K3" s="55"/>
      <c r="L3" s="55"/>
    </row>
    <row r="4" spans="2:14">
      <c r="B4" s="160" t="s">
        <v>99</v>
      </c>
      <c r="C4" s="55">
        <v>0</v>
      </c>
      <c r="D4" s="55">
        <f>C3</f>
        <v>30</v>
      </c>
      <c r="E4" s="55">
        <f t="shared" ref="E4:L4" si="1">D3</f>
        <v>100</v>
      </c>
      <c r="F4" s="55">
        <f t="shared" si="1"/>
        <v>115</v>
      </c>
      <c r="G4" s="55">
        <f t="shared" si="1"/>
        <v>132.25</v>
      </c>
      <c r="H4" s="55">
        <f t="shared" si="1"/>
        <v>152.08750000000001</v>
      </c>
      <c r="I4" s="55">
        <f t="shared" si="1"/>
        <v>174.90062499999999</v>
      </c>
      <c r="J4" s="55"/>
      <c r="K4" s="55"/>
      <c r="L4" s="55"/>
    </row>
    <row r="5" spans="2:14">
      <c r="B5" s="159" t="s">
        <v>97</v>
      </c>
      <c r="C5" s="158">
        <f>SUM(C3:C4)</f>
        <v>30</v>
      </c>
      <c r="D5" s="158">
        <f t="shared" ref="D5:L5" si="2">SUM(D3:D4)</f>
        <v>130</v>
      </c>
      <c r="E5" s="158">
        <f t="shared" si="2"/>
        <v>215</v>
      </c>
      <c r="F5" s="158">
        <f t="shared" si="2"/>
        <v>247.25</v>
      </c>
      <c r="G5" s="158">
        <f t="shared" si="2"/>
        <v>284.33749999999998</v>
      </c>
      <c r="H5" s="158">
        <f t="shared" si="2"/>
        <v>326.98812499999997</v>
      </c>
      <c r="I5" s="158">
        <f t="shared" si="2"/>
        <v>376.03634375000001</v>
      </c>
      <c r="J5" s="158"/>
      <c r="K5" s="158"/>
      <c r="L5" s="158"/>
    </row>
    <row r="7" spans="2:14">
      <c r="B7" s="93" t="s">
        <v>60</v>
      </c>
      <c r="C7" s="105"/>
      <c r="D7" s="106" t="s">
        <v>61</v>
      </c>
      <c r="E7" s="102" t="s">
        <v>1</v>
      </c>
      <c r="F7" s="107"/>
      <c r="G7" s="107"/>
      <c r="H7" s="107"/>
      <c r="I7" s="107"/>
      <c r="J7" s="107"/>
      <c r="K7" s="107"/>
      <c r="L7" s="107"/>
      <c r="M7" s="108"/>
      <c r="N7" s="108"/>
    </row>
    <row r="8" spans="2:14">
      <c r="B8" s="93"/>
      <c r="C8" s="109"/>
      <c r="D8" s="110"/>
      <c r="E8" s="111">
        <v>0</v>
      </c>
      <c r="F8" s="111">
        <v>1</v>
      </c>
      <c r="G8" s="111">
        <v>2</v>
      </c>
      <c r="H8" s="111">
        <v>3</v>
      </c>
      <c r="I8" s="111">
        <v>4</v>
      </c>
      <c r="J8" s="111">
        <v>5</v>
      </c>
      <c r="K8" s="111">
        <v>6</v>
      </c>
      <c r="L8" s="111">
        <v>7</v>
      </c>
      <c r="M8" s="111">
        <v>8</v>
      </c>
      <c r="N8" s="111">
        <v>9</v>
      </c>
    </row>
    <row r="9" spans="2:14">
      <c r="B9" s="112"/>
      <c r="C9" s="112"/>
      <c r="D9" s="113"/>
      <c r="E9" s="28"/>
      <c r="F9" s="88"/>
      <c r="G9" s="88"/>
      <c r="H9" s="88"/>
      <c r="I9" s="88"/>
      <c r="J9" s="88"/>
      <c r="K9" s="88"/>
      <c r="L9" s="88"/>
      <c r="M9" s="28"/>
      <c r="N9" s="28"/>
    </row>
    <row r="10" spans="2:14">
      <c r="B10" s="112"/>
      <c r="C10" s="112"/>
      <c r="D10" s="113"/>
      <c r="E10" s="28"/>
      <c r="F10" s="88"/>
      <c r="G10" s="88"/>
      <c r="H10" s="88"/>
      <c r="I10" s="88"/>
      <c r="J10" s="88"/>
      <c r="K10" s="88"/>
      <c r="L10" s="88"/>
      <c r="M10" s="28"/>
      <c r="N10" s="28"/>
    </row>
    <row r="11" spans="2:14">
      <c r="B11" s="112"/>
      <c r="C11" s="112"/>
      <c r="D11" s="113"/>
      <c r="E11" s="28"/>
      <c r="F11" s="88"/>
      <c r="G11" s="88"/>
      <c r="H11" s="88"/>
      <c r="I11" s="88"/>
      <c r="J11" s="88"/>
      <c r="K11" s="88"/>
      <c r="L11" s="88"/>
      <c r="M11" s="28"/>
      <c r="N11" s="28"/>
    </row>
    <row r="12" spans="2:14">
      <c r="B12" s="112"/>
      <c r="C12" s="112"/>
      <c r="D12" s="113"/>
      <c r="E12" s="28"/>
      <c r="F12" s="28"/>
      <c r="G12" s="88"/>
      <c r="H12" s="88"/>
      <c r="I12" s="88"/>
      <c r="J12" s="88"/>
      <c r="K12" s="88"/>
      <c r="L12" s="88"/>
      <c r="M12" s="28"/>
      <c r="N12" s="28"/>
    </row>
    <row r="13" spans="2:14">
      <c r="B13" s="112"/>
      <c r="C13" s="112"/>
      <c r="D13" s="113"/>
      <c r="E13" s="28"/>
      <c r="F13" s="88"/>
      <c r="G13" s="88"/>
      <c r="H13" s="88"/>
      <c r="I13" s="88"/>
      <c r="J13" s="88"/>
      <c r="K13" s="88"/>
      <c r="L13" s="88"/>
      <c r="M13" s="28"/>
      <c r="N13" s="28"/>
    </row>
    <row r="14" spans="2:14">
      <c r="B14" s="112"/>
      <c r="C14" s="112"/>
      <c r="D14" s="113"/>
      <c r="E14" s="28"/>
      <c r="F14" s="88"/>
      <c r="G14" s="88"/>
      <c r="H14" s="88"/>
      <c r="I14" s="88"/>
      <c r="J14" s="88"/>
      <c r="K14" s="88"/>
      <c r="L14" s="88"/>
      <c r="M14" s="28"/>
      <c r="N14" s="28"/>
    </row>
    <row r="15" spans="2:14">
      <c r="B15" s="112"/>
      <c r="C15" s="112"/>
      <c r="D15" s="113"/>
      <c r="E15" s="28"/>
      <c r="F15" s="88"/>
      <c r="G15" s="88"/>
      <c r="H15" s="88"/>
      <c r="I15" s="88"/>
      <c r="J15" s="88"/>
      <c r="K15" s="88"/>
      <c r="L15" s="88"/>
      <c r="M15" s="28"/>
      <c r="N15" s="28"/>
    </row>
    <row r="16" spans="2:14">
      <c r="B16" s="112"/>
      <c r="C16" s="112"/>
      <c r="D16" s="113"/>
      <c r="E16" s="28"/>
      <c r="F16" s="88"/>
      <c r="G16" s="88"/>
      <c r="H16" s="88"/>
      <c r="I16" s="88"/>
      <c r="J16" s="88"/>
      <c r="K16" s="88"/>
      <c r="L16" s="88"/>
      <c r="M16" s="28"/>
      <c r="N16" s="28"/>
    </row>
    <row r="17" spans="2:14">
      <c r="B17" s="114" t="s">
        <v>29</v>
      </c>
      <c r="C17" s="115"/>
      <c r="D17" s="116"/>
      <c r="E17" s="117">
        <f>SUM(E9:E16)</f>
        <v>0</v>
      </c>
      <c r="F17" s="117">
        <f t="shared" ref="F17:L17" si="3">SUM(F9:F16)</f>
        <v>0</v>
      </c>
      <c r="G17" s="117">
        <f t="shared" si="3"/>
        <v>0</v>
      </c>
      <c r="H17" s="117">
        <f t="shared" si="3"/>
        <v>0</v>
      </c>
      <c r="I17" s="117">
        <f t="shared" si="3"/>
        <v>0</v>
      </c>
      <c r="J17" s="117">
        <f t="shared" si="3"/>
        <v>0</v>
      </c>
      <c r="K17" s="117">
        <f t="shared" si="3"/>
        <v>0</v>
      </c>
      <c r="L17" s="117">
        <f t="shared" si="3"/>
        <v>0</v>
      </c>
      <c r="M17" s="28"/>
      <c r="N17" s="28"/>
    </row>
    <row r="18" spans="2:14">
      <c r="M18" s="81"/>
    </row>
    <row r="19" spans="2:14">
      <c r="B19" s="93" t="s">
        <v>62</v>
      </c>
      <c r="C19" s="106" t="s">
        <v>63</v>
      </c>
      <c r="D19" s="106" t="s">
        <v>64</v>
      </c>
      <c r="E19" s="118" t="s">
        <v>1</v>
      </c>
      <c r="F19" s="118"/>
      <c r="G19" s="118"/>
      <c r="H19" s="118"/>
      <c r="I19" s="118"/>
      <c r="J19" s="118"/>
      <c r="K19" s="118"/>
      <c r="L19" s="118"/>
      <c r="M19" s="119"/>
      <c r="N19" s="119"/>
    </row>
    <row r="20" spans="2:14">
      <c r="B20" s="93"/>
      <c r="C20" s="110"/>
      <c r="D20" s="110"/>
      <c r="E20" s="111">
        <v>0</v>
      </c>
      <c r="F20" s="111">
        <v>1</v>
      </c>
      <c r="G20" s="111">
        <v>2</v>
      </c>
      <c r="H20" s="111">
        <v>3</v>
      </c>
      <c r="I20" s="111">
        <v>4</v>
      </c>
      <c r="J20" s="111">
        <v>5</v>
      </c>
      <c r="K20" s="111">
        <v>6</v>
      </c>
      <c r="L20" s="111">
        <v>7</v>
      </c>
      <c r="M20" s="120"/>
      <c r="N20" s="120"/>
    </row>
    <row r="21" spans="2:14">
      <c r="B21" s="112" t="s">
        <v>65</v>
      </c>
      <c r="C21" s="112">
        <v>3</v>
      </c>
      <c r="D21" s="113">
        <v>650000</v>
      </c>
      <c r="E21" s="122">
        <f>D21*C21*5</f>
        <v>9750000</v>
      </c>
      <c r="F21" s="88"/>
      <c r="G21" s="28"/>
      <c r="H21" s="28"/>
      <c r="I21" s="28"/>
      <c r="J21" s="28"/>
      <c r="K21" s="28"/>
      <c r="L21" s="28"/>
      <c r="M21" s="121"/>
      <c r="N21" s="121"/>
    </row>
    <row r="22" spans="2:14">
      <c r="B22" s="112" t="s">
        <v>66</v>
      </c>
      <c r="C22" s="112">
        <v>1</v>
      </c>
      <c r="D22" s="113">
        <v>800000</v>
      </c>
      <c r="E22" s="122">
        <f>D22*3*C22</f>
        <v>2400000</v>
      </c>
      <c r="F22" s="122"/>
      <c r="G22" s="28"/>
      <c r="H22" s="28"/>
      <c r="I22" s="28"/>
      <c r="J22" s="28"/>
      <c r="K22" s="28"/>
      <c r="L22" s="28"/>
      <c r="M22" s="121"/>
      <c r="N22" s="121"/>
    </row>
    <row r="23" spans="2:14">
      <c r="B23" s="112" t="s">
        <v>67</v>
      </c>
      <c r="C23" s="112">
        <v>1</v>
      </c>
      <c r="D23" s="113">
        <v>600000</v>
      </c>
      <c r="E23" s="122">
        <f>D23*13*C23</f>
        <v>7800000</v>
      </c>
      <c r="F23" s="122">
        <f>$D$23*12</f>
        <v>7200000</v>
      </c>
      <c r="G23" s="122">
        <f t="shared" ref="G23:L23" si="4">$D$23*12</f>
        <v>7200000</v>
      </c>
      <c r="H23" s="122">
        <f t="shared" si="4"/>
        <v>7200000</v>
      </c>
      <c r="I23" s="122">
        <f t="shared" si="4"/>
        <v>7200000</v>
      </c>
      <c r="J23" s="122">
        <f t="shared" si="4"/>
        <v>7200000</v>
      </c>
      <c r="K23" s="122">
        <f t="shared" si="4"/>
        <v>7200000</v>
      </c>
      <c r="L23" s="122">
        <f t="shared" si="4"/>
        <v>7200000</v>
      </c>
      <c r="M23" s="121"/>
      <c r="N23" s="121"/>
    </row>
    <row r="24" spans="2:14">
      <c r="B24" s="112" t="s">
        <v>102</v>
      </c>
      <c r="C24" s="112">
        <v>1</v>
      </c>
      <c r="D24" s="113">
        <v>1200000</v>
      </c>
      <c r="E24" s="122">
        <f>D24*2</f>
        <v>2400000</v>
      </c>
      <c r="F24" s="88"/>
      <c r="G24" s="88"/>
      <c r="H24" s="88"/>
      <c r="I24" s="88"/>
      <c r="J24" s="88"/>
      <c r="K24" s="88"/>
      <c r="L24" s="88"/>
      <c r="M24" s="121"/>
      <c r="N24" s="121"/>
    </row>
    <row r="25" spans="2:14">
      <c r="B25" s="112" t="s">
        <v>103</v>
      </c>
      <c r="C25" s="112">
        <v>1</v>
      </c>
      <c r="D25" s="112"/>
      <c r="E25" s="88">
        <v>600000</v>
      </c>
      <c r="F25" s="88"/>
      <c r="G25" s="28"/>
      <c r="H25" s="28"/>
      <c r="I25" s="28"/>
      <c r="J25" s="28"/>
      <c r="K25" s="28"/>
      <c r="L25" s="28"/>
      <c r="M25" s="121"/>
      <c r="N25" s="121"/>
    </row>
    <row r="26" spans="2:14">
      <c r="B26" s="112" t="s">
        <v>104</v>
      </c>
      <c r="C26" s="112"/>
      <c r="D26" s="113">
        <v>200000</v>
      </c>
      <c r="E26" s="88">
        <f>$D$26*12</f>
        <v>2400000</v>
      </c>
      <c r="F26" s="88">
        <f t="shared" ref="F26:L26" si="5">$D$26*12</f>
        <v>2400000</v>
      </c>
      <c r="G26" s="88">
        <f t="shared" si="5"/>
        <v>2400000</v>
      </c>
      <c r="H26" s="88">
        <f t="shared" si="5"/>
        <v>2400000</v>
      </c>
      <c r="I26" s="88">
        <f t="shared" si="5"/>
        <v>2400000</v>
      </c>
      <c r="J26" s="88">
        <f t="shared" si="5"/>
        <v>2400000</v>
      </c>
      <c r="K26" s="88">
        <f t="shared" si="5"/>
        <v>2400000</v>
      </c>
      <c r="L26" s="88">
        <f t="shared" si="5"/>
        <v>2400000</v>
      </c>
      <c r="M26" s="121"/>
      <c r="N26" s="121"/>
    </row>
    <row r="27" spans="2:14">
      <c r="B27" s="112"/>
      <c r="C27" s="112"/>
      <c r="D27" s="113"/>
      <c r="E27" s="88"/>
      <c r="F27" s="88"/>
      <c r="G27" s="88"/>
      <c r="H27" s="88"/>
      <c r="I27" s="88"/>
      <c r="J27" s="88"/>
      <c r="K27" s="88"/>
      <c r="L27" s="88"/>
      <c r="M27" s="121"/>
      <c r="N27" s="121"/>
    </row>
    <row r="28" spans="2:14">
      <c r="B28" s="112"/>
      <c r="C28" s="112"/>
      <c r="D28" s="113"/>
      <c r="E28" s="88"/>
      <c r="F28" s="88"/>
      <c r="G28" s="88"/>
      <c r="H28" s="88"/>
      <c r="I28" s="88"/>
      <c r="J28" s="88"/>
      <c r="K28" s="88"/>
      <c r="L28" s="88"/>
      <c r="M28" s="121"/>
      <c r="N28" s="121"/>
    </row>
    <row r="29" spans="2:14">
      <c r="B29" s="112"/>
      <c r="C29" s="112"/>
      <c r="D29" s="113"/>
      <c r="E29" s="88"/>
      <c r="F29" s="88"/>
      <c r="G29" s="88"/>
      <c r="H29" s="88"/>
      <c r="I29" s="88"/>
      <c r="J29" s="88"/>
      <c r="K29" s="88"/>
      <c r="L29" s="88"/>
      <c r="M29" s="121"/>
      <c r="N29" s="121"/>
    </row>
    <row r="30" spans="2:14">
      <c r="B30" s="114" t="s">
        <v>29</v>
      </c>
      <c r="C30" s="115"/>
      <c r="D30" s="116"/>
      <c r="E30" s="117">
        <f>SUM(E21:E29)</f>
        <v>25350000</v>
      </c>
      <c r="F30" s="117">
        <f t="shared" ref="F30:L30" si="6">SUM(F21:F29)</f>
        <v>9600000</v>
      </c>
      <c r="G30" s="117">
        <f t="shared" si="6"/>
        <v>9600000</v>
      </c>
      <c r="H30" s="117">
        <f t="shared" si="6"/>
        <v>9600000</v>
      </c>
      <c r="I30" s="117">
        <f t="shared" si="6"/>
        <v>9600000</v>
      </c>
      <c r="J30" s="117">
        <f t="shared" si="6"/>
        <v>9600000</v>
      </c>
      <c r="K30" s="117">
        <f t="shared" si="6"/>
        <v>9600000</v>
      </c>
      <c r="L30" s="117">
        <f t="shared" si="6"/>
        <v>9600000</v>
      </c>
      <c r="M30" s="121"/>
      <c r="N30" s="121"/>
    </row>
    <row r="32" spans="2:14">
      <c r="B32" s="105" t="s">
        <v>68</v>
      </c>
      <c r="C32" s="106" t="s">
        <v>0</v>
      </c>
      <c r="D32" s="123" t="s">
        <v>1</v>
      </c>
      <c r="E32" s="124"/>
      <c r="F32" s="124"/>
      <c r="G32" s="124"/>
      <c r="H32" s="124"/>
      <c r="I32" s="124"/>
      <c r="J32" s="124"/>
      <c r="K32" s="124"/>
      <c r="L32" s="124"/>
      <c r="M32" s="125"/>
    </row>
    <row r="33" spans="2:14">
      <c r="B33" s="109"/>
      <c r="C33" s="110"/>
      <c r="D33" s="90">
        <v>1</v>
      </c>
      <c r="E33" s="90">
        <v>2</v>
      </c>
      <c r="F33" s="90">
        <v>3</v>
      </c>
      <c r="G33" s="90">
        <v>4</v>
      </c>
      <c r="H33" s="90">
        <v>5</v>
      </c>
      <c r="I33" s="90">
        <v>6</v>
      </c>
      <c r="J33" s="90">
        <v>7</v>
      </c>
      <c r="K33" s="90">
        <v>8</v>
      </c>
      <c r="L33" s="90">
        <v>9</v>
      </c>
      <c r="M33" s="90">
        <v>10</v>
      </c>
    </row>
    <row r="34" spans="2:14">
      <c r="B34" s="34" t="s">
        <v>2</v>
      </c>
      <c r="C34" s="33" t="s">
        <v>3</v>
      </c>
      <c r="D34" s="55" t="e">
        <f t="shared" ref="D34:J34" si="7">#REF!</f>
        <v>#REF!</v>
      </c>
      <c r="E34" s="55" t="e">
        <f t="shared" ref="E34:K34" si="8">#REF!</f>
        <v>#REF!</v>
      </c>
      <c r="F34" s="55" t="e">
        <f t="shared" ref="F34:L34" si="9">#REF!</f>
        <v>#REF!</v>
      </c>
      <c r="G34" s="55" t="e">
        <f t="shared" ref="G34:M34" si="10">#REF!</f>
        <v>#REF!</v>
      </c>
      <c r="H34" s="55" t="e">
        <f t="shared" ref="H34:N34" si="11">#REF!</f>
        <v>#REF!</v>
      </c>
      <c r="I34" s="55" t="e">
        <f t="shared" ref="I34:N34" si="12">#REF!</f>
        <v>#REF!</v>
      </c>
      <c r="J34" s="55" t="e">
        <f t="shared" ref="J34:N34" si="13">#REF!</f>
        <v>#REF!</v>
      </c>
      <c r="K34" s="55"/>
      <c r="L34" s="55"/>
      <c r="M34" s="55"/>
    </row>
    <row r="35" spans="2:14">
      <c r="B35" s="34" t="s">
        <v>4</v>
      </c>
      <c r="C35" s="33" t="s">
        <v>5</v>
      </c>
      <c r="D35" s="126">
        <v>1000000</v>
      </c>
      <c r="E35" s="126">
        <v>1500000</v>
      </c>
      <c r="F35" s="126">
        <v>1500000</v>
      </c>
      <c r="G35" s="126">
        <v>1500000</v>
      </c>
      <c r="H35" s="126">
        <v>1500000</v>
      </c>
      <c r="I35" s="126">
        <v>1500000</v>
      </c>
      <c r="J35" s="126">
        <f>D35</f>
        <v>1000000</v>
      </c>
      <c r="K35" s="126"/>
      <c r="L35" s="126"/>
      <c r="M35" s="126"/>
      <c r="N35" s="81"/>
    </row>
    <row r="36" spans="2:14">
      <c r="B36" s="34" t="s">
        <v>69</v>
      </c>
      <c r="C36" s="33" t="s">
        <v>5</v>
      </c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81"/>
    </row>
    <row r="37" spans="2:14">
      <c r="B37" s="34" t="s">
        <v>56</v>
      </c>
      <c r="C37" s="33" t="s">
        <v>5</v>
      </c>
      <c r="D37" s="126" t="e">
        <f>D34*D35</f>
        <v>#REF!</v>
      </c>
      <c r="E37" s="126" t="e">
        <f>E34*E35</f>
        <v>#REF!</v>
      </c>
      <c r="F37" s="126" t="e">
        <f t="shared" ref="F37:J37" si="14">F34*F35</f>
        <v>#REF!</v>
      </c>
      <c r="G37" s="126" t="e">
        <f t="shared" si="14"/>
        <v>#REF!</v>
      </c>
      <c r="H37" s="126" t="e">
        <f t="shared" si="14"/>
        <v>#REF!</v>
      </c>
      <c r="I37" s="126" t="e">
        <f t="shared" si="14"/>
        <v>#REF!</v>
      </c>
      <c r="J37" s="126" t="e">
        <f t="shared" si="14"/>
        <v>#REF!</v>
      </c>
      <c r="K37" s="126"/>
      <c r="L37" s="126"/>
      <c r="M37" s="126"/>
      <c r="N37" s="68"/>
    </row>
    <row r="38" spans="2:14">
      <c r="B38" s="34" t="s">
        <v>55</v>
      </c>
      <c r="C38" s="33" t="s">
        <v>5</v>
      </c>
      <c r="D38" s="87" t="e">
        <f>D36*D34</f>
        <v>#REF!</v>
      </c>
      <c r="E38" s="87" t="e">
        <f t="shared" ref="E38:J38" si="15">E36*E34</f>
        <v>#REF!</v>
      </c>
      <c r="F38" s="87" t="e">
        <f t="shared" si="15"/>
        <v>#REF!</v>
      </c>
      <c r="G38" s="87" t="e">
        <f t="shared" si="15"/>
        <v>#REF!</v>
      </c>
      <c r="H38" s="87" t="e">
        <f t="shared" si="15"/>
        <v>#REF!</v>
      </c>
      <c r="I38" s="87" t="e">
        <f t="shared" si="15"/>
        <v>#REF!</v>
      </c>
      <c r="J38" s="87" t="e">
        <f t="shared" si="15"/>
        <v>#REF!</v>
      </c>
      <c r="K38" s="87"/>
      <c r="L38" s="87"/>
      <c r="M38" s="87"/>
      <c r="N38" s="68"/>
    </row>
    <row r="39" spans="2:14">
      <c r="B39" s="23"/>
      <c r="C39" s="23"/>
      <c r="D39" s="24"/>
      <c r="E39" s="24"/>
      <c r="F39" s="24"/>
      <c r="G39" s="24"/>
      <c r="H39" s="24"/>
      <c r="I39" s="24"/>
      <c r="J39" s="24"/>
      <c r="K39" s="24"/>
      <c r="L39" s="24"/>
      <c r="M39" s="24"/>
    </row>
    <row r="41" spans="2:14">
      <c r="B41" s="94" t="s">
        <v>42</v>
      </c>
      <c r="C41" s="95" t="s">
        <v>0</v>
      </c>
      <c r="D41" s="127" t="s">
        <v>1</v>
      </c>
      <c r="E41" s="128"/>
      <c r="F41" s="128"/>
      <c r="G41" s="128"/>
      <c r="H41" s="128"/>
      <c r="I41" s="128"/>
      <c r="J41" s="128"/>
      <c r="K41" s="128"/>
      <c r="L41" s="128"/>
      <c r="M41" s="129"/>
    </row>
    <row r="42" spans="2:14" ht="15" customHeight="1">
      <c r="B42" s="94"/>
      <c r="C42" s="95"/>
      <c r="D42" s="91">
        <v>1</v>
      </c>
      <c r="E42" s="91">
        <v>2</v>
      </c>
      <c r="F42" s="91">
        <v>3</v>
      </c>
      <c r="G42" s="91">
        <v>4</v>
      </c>
      <c r="H42" s="91">
        <v>5</v>
      </c>
      <c r="I42" s="91">
        <v>6</v>
      </c>
      <c r="J42" s="91">
        <v>7</v>
      </c>
      <c r="K42" s="91">
        <v>8</v>
      </c>
      <c r="L42" s="91">
        <v>9</v>
      </c>
      <c r="M42" s="91">
        <v>10</v>
      </c>
    </row>
    <row r="43" spans="2:14" ht="15" customHeight="1">
      <c r="B43" s="56" t="s">
        <v>43</v>
      </c>
      <c r="C43" s="91" t="s">
        <v>3</v>
      </c>
      <c r="D43" s="130" t="e">
        <f>D37</f>
        <v>#REF!</v>
      </c>
      <c r="E43" s="130" t="e">
        <f t="shared" ref="E43:J43" si="16">E37</f>
        <v>#REF!</v>
      </c>
      <c r="F43" s="130" t="e">
        <f t="shared" si="16"/>
        <v>#REF!</v>
      </c>
      <c r="G43" s="130" t="e">
        <f t="shared" si="16"/>
        <v>#REF!</v>
      </c>
      <c r="H43" s="130" t="e">
        <f t="shared" si="16"/>
        <v>#REF!</v>
      </c>
      <c r="I43" s="130" t="e">
        <f t="shared" si="16"/>
        <v>#REF!</v>
      </c>
      <c r="J43" s="130" t="e">
        <f t="shared" si="16"/>
        <v>#REF!</v>
      </c>
      <c r="K43" s="55"/>
      <c r="L43" s="55"/>
      <c r="M43" s="55"/>
      <c r="N43" s="68"/>
    </row>
    <row r="44" spans="2:14">
      <c r="N44" s="68"/>
    </row>
    <row r="45" spans="2:14">
      <c r="E45" s="131"/>
    </row>
    <row r="46" spans="2:14">
      <c r="D46" s="132" t="s">
        <v>70</v>
      </c>
      <c r="E46" s="133">
        <f>(E30+E17)/2</f>
        <v>12675000</v>
      </c>
    </row>
  </sheetData>
  <mergeCells count="15">
    <mergeCell ref="B19:B20"/>
    <mergeCell ref="C19:C20"/>
    <mergeCell ref="D19:D20"/>
    <mergeCell ref="B30:D30"/>
    <mergeCell ref="B41:B42"/>
    <mergeCell ref="C41:C42"/>
    <mergeCell ref="D41:M41"/>
    <mergeCell ref="B7:B8"/>
    <mergeCell ref="C7:C8"/>
    <mergeCell ref="D7:D8"/>
    <mergeCell ref="E7:L7"/>
    <mergeCell ref="B17:D17"/>
    <mergeCell ref="B32:B33"/>
    <mergeCell ref="C32:C33"/>
    <mergeCell ref="D32:M3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A1:T41"/>
  <sheetViews>
    <sheetView showGridLines="0" zoomScale="70" zoomScaleNormal="70" workbookViewId="0">
      <selection activeCell="O14" sqref="O14"/>
    </sheetView>
  </sheetViews>
  <sheetFormatPr baseColWidth="10" defaultRowHeight="15"/>
  <cols>
    <col min="1" max="1" width="29.28515625" bestFit="1" customWidth="1"/>
    <col min="2" max="2" width="12.5703125" customWidth="1"/>
    <col min="3" max="3" width="16.140625" customWidth="1"/>
    <col min="4" max="4" width="16.28515625" customWidth="1"/>
    <col min="6" max="6" width="16.7109375" customWidth="1"/>
    <col min="7" max="7" width="14.28515625" bestFit="1" customWidth="1"/>
    <col min="8" max="13" width="13.140625" bestFit="1" customWidth="1"/>
    <col min="14" max="14" width="13.42578125" customWidth="1"/>
    <col min="15" max="15" width="13.140625" bestFit="1" customWidth="1"/>
    <col min="16" max="18" width="13.42578125" customWidth="1"/>
    <col min="19" max="19" width="13.42578125" bestFit="1" customWidth="1"/>
  </cols>
  <sheetData>
    <row r="1" spans="1:20" ht="15.75" thickBot="1"/>
    <row r="2" spans="1:20" ht="38.25">
      <c r="A2" s="96" t="s">
        <v>12</v>
      </c>
      <c r="B2" s="3" t="s">
        <v>7</v>
      </c>
      <c r="C2" s="3" t="s">
        <v>13</v>
      </c>
      <c r="D2" s="3" t="s">
        <v>14</v>
      </c>
      <c r="E2" s="3" t="s">
        <v>15</v>
      </c>
      <c r="F2" s="29" t="s">
        <v>16</v>
      </c>
      <c r="G2" s="98" t="s">
        <v>17</v>
      </c>
      <c r="H2" s="99"/>
      <c r="I2" s="99"/>
      <c r="J2" s="99"/>
      <c r="K2" s="99"/>
      <c r="L2" s="99"/>
      <c r="M2" s="99"/>
      <c r="N2" s="99"/>
      <c r="O2" s="99"/>
      <c r="P2" s="99"/>
      <c r="Q2" s="100"/>
      <c r="R2" s="100"/>
      <c r="S2" s="101"/>
    </row>
    <row r="3" spans="1:20" ht="18.75" thickBot="1">
      <c r="A3" s="97"/>
      <c r="B3" s="12" t="s">
        <v>18</v>
      </c>
      <c r="C3" s="12" t="s">
        <v>19</v>
      </c>
      <c r="D3" s="12" t="s">
        <v>20</v>
      </c>
      <c r="E3" s="12" t="s">
        <v>20</v>
      </c>
      <c r="F3" s="30" t="s">
        <v>21</v>
      </c>
      <c r="G3" s="36">
        <v>0</v>
      </c>
      <c r="H3" s="13">
        <v>1</v>
      </c>
      <c r="I3" s="13">
        <v>2</v>
      </c>
      <c r="J3" s="13">
        <v>3</v>
      </c>
      <c r="K3" s="13">
        <v>4</v>
      </c>
      <c r="L3" s="13">
        <v>5</v>
      </c>
      <c r="M3" s="13">
        <v>6</v>
      </c>
      <c r="N3" s="13">
        <v>7</v>
      </c>
      <c r="O3" s="13">
        <v>8</v>
      </c>
      <c r="P3" s="13">
        <v>9</v>
      </c>
      <c r="Q3" s="82">
        <v>10</v>
      </c>
      <c r="R3" s="82">
        <v>11</v>
      </c>
      <c r="S3" s="14">
        <v>12</v>
      </c>
      <c r="T3" s="71" t="s">
        <v>36</v>
      </c>
    </row>
    <row r="4" spans="1:20">
      <c r="A4" s="25" t="str">
        <f>Activos!B6</f>
        <v>Licencia Software GPS</v>
      </c>
      <c r="B4" s="25">
        <f>Activos!C6</f>
        <v>1</v>
      </c>
      <c r="C4" s="164">
        <f>Activos!E6</f>
        <v>10500000</v>
      </c>
      <c r="D4" s="164">
        <f>Activos!F6</f>
        <v>6</v>
      </c>
      <c r="E4" s="164">
        <f>Activos!G6</f>
        <v>4</v>
      </c>
      <c r="F4" s="164">
        <f>Activos!H6</f>
        <v>0</v>
      </c>
      <c r="G4" s="9">
        <f>C4</f>
        <v>10500000</v>
      </c>
      <c r="H4" s="10"/>
      <c r="I4" s="10"/>
      <c r="J4" s="10"/>
      <c r="K4" s="10"/>
      <c r="L4" s="10"/>
      <c r="M4" s="10"/>
      <c r="N4" s="8"/>
      <c r="O4" s="9"/>
      <c r="P4" s="10"/>
      <c r="Q4" s="83"/>
      <c r="R4" s="83"/>
      <c r="S4" s="11"/>
      <c r="T4" s="71"/>
    </row>
    <row r="5" spans="1:20">
      <c r="A5" s="25" t="str">
        <f>Activos!B7</f>
        <v>API</v>
      </c>
      <c r="B5" s="25">
        <f>Activos!C7</f>
        <v>1</v>
      </c>
      <c r="C5" s="164">
        <f>Activos!E7</f>
        <v>2100000</v>
      </c>
      <c r="D5" s="164">
        <f>Activos!F7</f>
        <v>2</v>
      </c>
      <c r="E5" s="164">
        <f>Activos!G7</f>
        <v>2</v>
      </c>
      <c r="F5" s="164">
        <f>Activos!H7</f>
        <v>0</v>
      </c>
      <c r="G5" s="9">
        <f>C5</f>
        <v>2100000</v>
      </c>
      <c r="H5" s="1"/>
      <c r="I5" s="1"/>
      <c r="J5" s="1">
        <f>G5</f>
        <v>2100000</v>
      </c>
      <c r="K5" s="1"/>
      <c r="L5" s="1"/>
      <c r="M5" s="1">
        <f>G5</f>
        <v>2100000</v>
      </c>
      <c r="N5" s="23"/>
      <c r="O5" s="1"/>
      <c r="P5" s="1"/>
      <c r="Q5" s="84"/>
      <c r="R5" s="84"/>
      <c r="S5" s="37"/>
      <c r="T5" s="71"/>
    </row>
    <row r="6" spans="1:20">
      <c r="A6" s="25"/>
      <c r="B6" s="8"/>
      <c r="C6" s="8"/>
      <c r="D6" s="161"/>
      <c r="E6" s="8"/>
      <c r="F6" s="31"/>
      <c r="G6" s="9">
        <f>C6</f>
        <v>0</v>
      </c>
      <c r="H6" s="1"/>
      <c r="I6" s="1"/>
      <c r="J6" s="1"/>
      <c r="K6" s="1"/>
      <c r="L6" s="1"/>
      <c r="M6" s="1"/>
      <c r="N6" s="28"/>
      <c r="O6" s="1"/>
      <c r="P6" s="1"/>
      <c r="Q6" s="84"/>
      <c r="R6" s="84"/>
      <c r="S6" s="37"/>
      <c r="T6" s="71"/>
    </row>
    <row r="7" spans="1:20">
      <c r="A7" s="25"/>
      <c r="B7" s="8"/>
      <c r="C7" s="8"/>
      <c r="D7" s="161"/>
      <c r="E7" s="8"/>
      <c r="F7" s="31"/>
      <c r="G7" s="9">
        <f>C7</f>
        <v>0</v>
      </c>
      <c r="H7" s="1"/>
      <c r="I7" s="1"/>
      <c r="J7" s="1"/>
      <c r="K7" s="1"/>
      <c r="L7" s="1"/>
      <c r="M7" s="1"/>
      <c r="N7" s="1"/>
      <c r="O7" s="1"/>
      <c r="P7" s="1"/>
      <c r="Q7" s="84"/>
      <c r="R7" s="84"/>
      <c r="S7" s="7"/>
      <c r="T7" s="71"/>
    </row>
    <row r="8" spans="1:20" ht="15.75" thickBot="1">
      <c r="A8" s="21" t="s">
        <v>29</v>
      </c>
      <c r="B8" s="4"/>
      <c r="C8" s="5"/>
      <c r="D8" s="162"/>
      <c r="E8" s="6"/>
      <c r="F8" s="32"/>
      <c r="G8" s="27">
        <f t="shared" ref="G8:S8" si="0">SUM(G4:G7)</f>
        <v>12600000</v>
      </c>
      <c r="H8" s="18">
        <f t="shared" si="0"/>
        <v>0</v>
      </c>
      <c r="I8" s="18">
        <f t="shared" si="0"/>
        <v>0</v>
      </c>
      <c r="J8" s="18">
        <f t="shared" si="0"/>
        <v>2100000</v>
      </c>
      <c r="K8" s="18">
        <f t="shared" si="0"/>
        <v>0</v>
      </c>
      <c r="L8" s="18">
        <f t="shared" si="0"/>
        <v>0</v>
      </c>
      <c r="M8" s="18">
        <f t="shared" si="0"/>
        <v>2100000</v>
      </c>
      <c r="N8" s="18">
        <f t="shared" si="0"/>
        <v>0</v>
      </c>
      <c r="O8" s="18">
        <f t="shared" si="0"/>
        <v>0</v>
      </c>
      <c r="P8" s="18">
        <f t="shared" si="0"/>
        <v>0</v>
      </c>
      <c r="Q8" s="18">
        <f t="shared" ref="Q8" si="1">SUM(Q4:Q7)</f>
        <v>0</v>
      </c>
      <c r="R8" s="18">
        <f t="shared" ref="R8" si="2">SUM(R4:R7)</f>
        <v>0</v>
      </c>
      <c r="S8" s="38">
        <f t="shared" si="0"/>
        <v>0</v>
      </c>
      <c r="T8" s="71"/>
    </row>
    <row r="9" spans="1:20" ht="7.5" customHeight="1">
      <c r="T9" s="72">
        <f>SUM(T4:T8)</f>
        <v>0</v>
      </c>
    </row>
    <row r="10" spans="1:20" ht="15.75" thickBot="1"/>
    <row r="11" spans="1:20" ht="38.25">
      <c r="A11" s="96" t="s">
        <v>12</v>
      </c>
      <c r="B11" s="3" t="s">
        <v>7</v>
      </c>
      <c r="C11" s="3" t="s">
        <v>13</v>
      </c>
      <c r="D11" s="3" t="s">
        <v>14</v>
      </c>
      <c r="E11" s="3" t="s">
        <v>15</v>
      </c>
      <c r="F11" s="29" t="s">
        <v>16</v>
      </c>
      <c r="G11" s="98" t="s">
        <v>22</v>
      </c>
      <c r="H11" s="99"/>
      <c r="I11" s="99"/>
      <c r="J11" s="99"/>
      <c r="K11" s="99"/>
      <c r="L11" s="99"/>
      <c r="M11" s="99"/>
      <c r="N11" s="99"/>
      <c r="O11" s="99"/>
      <c r="P11" s="99"/>
      <c r="Q11" s="100"/>
      <c r="R11" s="100"/>
      <c r="S11" s="101"/>
    </row>
    <row r="12" spans="1:20" ht="18.75" thickBot="1">
      <c r="A12" s="97"/>
      <c r="B12" s="12" t="s">
        <v>18</v>
      </c>
      <c r="C12" s="12" t="s">
        <v>19</v>
      </c>
      <c r="D12" s="163" t="s">
        <v>20</v>
      </c>
      <c r="E12" s="12" t="s">
        <v>20</v>
      </c>
      <c r="F12" s="30" t="s">
        <v>21</v>
      </c>
      <c r="G12" s="36">
        <v>0</v>
      </c>
      <c r="H12" s="13">
        <v>1</v>
      </c>
      <c r="I12" s="13">
        <v>2</v>
      </c>
      <c r="J12" s="13">
        <v>3</v>
      </c>
      <c r="K12" s="13">
        <v>4</v>
      </c>
      <c r="L12" s="17">
        <v>5</v>
      </c>
      <c r="M12" s="13">
        <v>6</v>
      </c>
      <c r="N12" s="13">
        <v>7</v>
      </c>
      <c r="O12" s="13">
        <v>8</v>
      </c>
      <c r="P12" s="13">
        <v>9</v>
      </c>
      <c r="Q12" s="82">
        <v>10</v>
      </c>
      <c r="R12" s="82">
        <v>11</v>
      </c>
      <c r="S12" s="14">
        <v>12</v>
      </c>
      <c r="T12" s="71" t="s">
        <v>36</v>
      </c>
    </row>
    <row r="13" spans="1:20">
      <c r="A13" s="25" t="str">
        <f>A4</f>
        <v>Licencia Software GPS</v>
      </c>
      <c r="B13" s="25">
        <f t="shared" ref="B13:F13" si="3">B4</f>
        <v>1</v>
      </c>
      <c r="C13" s="25">
        <f t="shared" si="3"/>
        <v>10500000</v>
      </c>
      <c r="D13" s="25">
        <f t="shared" si="3"/>
        <v>6</v>
      </c>
      <c r="E13" s="25">
        <f t="shared" si="3"/>
        <v>4</v>
      </c>
      <c r="F13" s="25">
        <f t="shared" si="3"/>
        <v>0</v>
      </c>
      <c r="G13" s="39"/>
      <c r="H13" s="16">
        <f>$C$13/$D$13</f>
        <v>1750000</v>
      </c>
      <c r="I13" s="16">
        <f t="shared" ref="I13:K13" si="4">$C$13/$D$13</f>
        <v>1750000</v>
      </c>
      <c r="J13" s="16">
        <f t="shared" si="4"/>
        <v>1750000</v>
      </c>
      <c r="K13" s="16">
        <f>$C$13/$D$13</f>
        <v>1750000</v>
      </c>
      <c r="L13" s="16"/>
      <c r="M13" s="16"/>
      <c r="N13" s="16"/>
      <c r="O13" s="16"/>
      <c r="P13" s="16"/>
      <c r="Q13" s="85"/>
      <c r="R13" s="85"/>
      <c r="S13" s="40"/>
      <c r="T13" s="71"/>
    </row>
    <row r="14" spans="1:20">
      <c r="A14" s="25" t="str">
        <f>A5</f>
        <v>API</v>
      </c>
      <c r="B14" s="25">
        <f t="shared" ref="B14:F14" si="5">B5</f>
        <v>1</v>
      </c>
      <c r="C14" s="25">
        <f t="shared" si="5"/>
        <v>2100000</v>
      </c>
      <c r="D14" s="25">
        <f t="shared" si="5"/>
        <v>2</v>
      </c>
      <c r="E14" s="25">
        <f t="shared" si="5"/>
        <v>2</v>
      </c>
      <c r="F14" s="25">
        <f t="shared" si="5"/>
        <v>0</v>
      </c>
      <c r="G14" s="41"/>
      <c r="H14" s="2">
        <f>$C$14/$D$14</f>
        <v>1050000</v>
      </c>
      <c r="I14" s="2">
        <f>$C$14/$D$14</f>
        <v>1050000</v>
      </c>
      <c r="J14" s="2"/>
      <c r="K14" s="2">
        <f>H14</f>
        <v>1050000</v>
      </c>
      <c r="L14" s="2">
        <f>I14</f>
        <v>1050000</v>
      </c>
      <c r="M14" s="2"/>
      <c r="N14" s="2">
        <f>H14</f>
        <v>1050000</v>
      </c>
      <c r="O14" s="2"/>
      <c r="P14" s="2"/>
      <c r="Q14" s="86"/>
      <c r="R14" s="86"/>
      <c r="S14" s="42"/>
      <c r="T14" s="71"/>
    </row>
    <row r="15" spans="1:20">
      <c r="A15" s="25"/>
      <c r="B15" s="8"/>
      <c r="C15" s="8"/>
      <c r="D15" s="161"/>
      <c r="E15" s="8"/>
      <c r="F15" s="31"/>
      <c r="G15" s="41"/>
      <c r="H15" s="2"/>
      <c r="I15" s="2"/>
      <c r="J15" s="2"/>
      <c r="K15" s="2"/>
      <c r="L15" s="2"/>
      <c r="M15" s="2"/>
      <c r="N15" s="2"/>
      <c r="O15" s="2"/>
      <c r="P15" s="2"/>
      <c r="Q15" s="86"/>
      <c r="R15" s="86"/>
      <c r="S15" s="42"/>
      <c r="T15" s="71"/>
    </row>
    <row r="16" spans="1:20">
      <c r="A16" s="25"/>
      <c r="B16" s="8"/>
      <c r="C16" s="8"/>
      <c r="D16" s="161"/>
      <c r="E16" s="8"/>
      <c r="F16" s="31"/>
      <c r="G16" s="41"/>
      <c r="H16" s="2"/>
      <c r="I16" s="2"/>
      <c r="J16" s="2"/>
      <c r="K16" s="2"/>
      <c r="L16" s="2"/>
      <c r="M16" s="2"/>
      <c r="N16" s="2"/>
      <c r="O16" s="2"/>
      <c r="P16" s="2"/>
      <c r="Q16" s="86"/>
      <c r="R16" s="86"/>
      <c r="S16" s="42"/>
      <c r="T16" s="71"/>
    </row>
    <row r="17" spans="1:20" ht="15.75" thickBot="1">
      <c r="A17" s="22" t="s">
        <v>29</v>
      </c>
      <c r="B17" s="15"/>
      <c r="C17" s="5"/>
      <c r="D17" s="162"/>
      <c r="E17" s="6"/>
      <c r="F17" s="32"/>
      <c r="G17" s="27">
        <f t="shared" ref="G17:S17" si="6">SUM(G13:G16)</f>
        <v>0</v>
      </c>
      <c r="H17" s="27">
        <f t="shared" si="6"/>
        <v>2800000</v>
      </c>
      <c r="I17" s="27">
        <f t="shared" si="6"/>
        <v>2800000</v>
      </c>
      <c r="J17" s="27">
        <f t="shared" si="6"/>
        <v>1750000</v>
      </c>
      <c r="K17" s="27">
        <f t="shared" si="6"/>
        <v>2800000</v>
      </c>
      <c r="L17" s="27">
        <f t="shared" si="6"/>
        <v>1050000</v>
      </c>
      <c r="M17" s="27">
        <f t="shared" si="6"/>
        <v>0</v>
      </c>
      <c r="N17" s="27">
        <f t="shared" si="6"/>
        <v>1050000</v>
      </c>
      <c r="O17" s="27">
        <f t="shared" si="6"/>
        <v>0</v>
      </c>
      <c r="P17" s="27">
        <f t="shared" si="6"/>
        <v>0</v>
      </c>
      <c r="Q17" s="27">
        <f t="shared" ref="Q17" si="7">SUM(Q13:Q16)</f>
        <v>0</v>
      </c>
      <c r="R17" s="27">
        <f t="shared" ref="R17" si="8">SUM(R13:R16)</f>
        <v>0</v>
      </c>
      <c r="S17" s="27">
        <f t="shared" si="6"/>
        <v>0</v>
      </c>
      <c r="T17" s="71"/>
    </row>
    <row r="18" spans="1:20" ht="10.5" customHeight="1">
      <c r="T18" s="72">
        <f>SUM(T13:T17)</f>
        <v>0</v>
      </c>
    </row>
    <row r="19" spans="1:20" ht="11.25" customHeight="1" thickBot="1"/>
    <row r="20" spans="1:20" ht="38.25">
      <c r="A20" s="96" t="s">
        <v>12</v>
      </c>
      <c r="B20" s="3" t="s">
        <v>7</v>
      </c>
      <c r="C20" s="3" t="s">
        <v>13</v>
      </c>
      <c r="D20" s="3" t="s">
        <v>14</v>
      </c>
      <c r="E20" s="3" t="s">
        <v>15</v>
      </c>
      <c r="F20" s="29" t="s">
        <v>16</v>
      </c>
      <c r="G20" s="98" t="s">
        <v>23</v>
      </c>
      <c r="H20" s="99"/>
      <c r="I20" s="99"/>
      <c r="J20" s="99"/>
      <c r="K20" s="99"/>
      <c r="L20" s="99"/>
      <c r="M20" s="99"/>
      <c r="N20" s="99"/>
      <c r="O20" s="99"/>
      <c r="P20" s="99"/>
      <c r="Q20" s="100"/>
      <c r="R20" s="100"/>
      <c r="S20" s="101"/>
    </row>
    <row r="21" spans="1:20" ht="18.75" thickBot="1">
      <c r="A21" s="97"/>
      <c r="B21" s="12" t="s">
        <v>18</v>
      </c>
      <c r="C21" s="12" t="s">
        <v>19</v>
      </c>
      <c r="D21" s="12" t="s">
        <v>20</v>
      </c>
      <c r="E21" s="12" t="s">
        <v>20</v>
      </c>
      <c r="F21" s="30" t="s">
        <v>21</v>
      </c>
      <c r="G21" s="36">
        <v>0</v>
      </c>
      <c r="H21" s="13">
        <v>1</v>
      </c>
      <c r="I21" s="13">
        <v>2</v>
      </c>
      <c r="J21" s="17">
        <v>3</v>
      </c>
      <c r="K21" s="13">
        <v>4</v>
      </c>
      <c r="L21" s="13">
        <v>5</v>
      </c>
      <c r="M21" s="17">
        <v>6</v>
      </c>
      <c r="N21" s="13">
        <v>7</v>
      </c>
      <c r="O21" s="13">
        <v>8</v>
      </c>
      <c r="P21" s="17">
        <v>9</v>
      </c>
      <c r="Q21" s="82">
        <v>10</v>
      </c>
      <c r="R21" s="82">
        <v>11</v>
      </c>
      <c r="S21" s="14">
        <v>12</v>
      </c>
      <c r="T21" s="71" t="s">
        <v>36</v>
      </c>
    </row>
    <row r="22" spans="1:20">
      <c r="A22" s="25" t="str">
        <f>A4</f>
        <v>Licencia Software GPS</v>
      </c>
      <c r="B22" s="25">
        <f t="shared" ref="B22:F22" si="9">B4</f>
        <v>1</v>
      </c>
      <c r="C22" s="25">
        <f t="shared" si="9"/>
        <v>10500000</v>
      </c>
      <c r="D22" s="25">
        <f t="shared" si="9"/>
        <v>6</v>
      </c>
      <c r="E22" s="25">
        <f t="shared" si="9"/>
        <v>4</v>
      </c>
      <c r="F22" s="25">
        <f t="shared" si="9"/>
        <v>0</v>
      </c>
      <c r="G22" s="39"/>
      <c r="H22" s="16"/>
      <c r="I22" s="16"/>
      <c r="J22" s="16"/>
      <c r="K22" s="16">
        <f>H13*(D22-E22)</f>
        <v>3500000</v>
      </c>
      <c r="L22" s="16"/>
      <c r="M22" s="16"/>
      <c r="N22" s="16"/>
      <c r="O22" s="16"/>
      <c r="P22" s="16"/>
      <c r="Q22" s="85"/>
      <c r="R22" s="85"/>
      <c r="S22" s="40"/>
      <c r="T22" s="71"/>
    </row>
    <row r="23" spans="1:20">
      <c r="A23" s="25" t="str">
        <f>A5</f>
        <v>API</v>
      </c>
      <c r="B23" s="25">
        <f t="shared" ref="B23:F23" si="10">B5</f>
        <v>1</v>
      </c>
      <c r="C23" s="25">
        <f t="shared" si="10"/>
        <v>2100000</v>
      </c>
      <c r="D23" s="25">
        <f t="shared" si="10"/>
        <v>2</v>
      </c>
      <c r="E23" s="25">
        <f t="shared" si="10"/>
        <v>2</v>
      </c>
      <c r="F23" s="25">
        <f t="shared" si="10"/>
        <v>0</v>
      </c>
      <c r="G23" s="41"/>
      <c r="H23" s="2"/>
      <c r="I23" s="2"/>
      <c r="J23" s="2"/>
      <c r="K23" s="2"/>
      <c r="L23" s="2"/>
      <c r="M23" s="2"/>
      <c r="N23" s="2">
        <f>H14</f>
        <v>1050000</v>
      </c>
      <c r="O23" s="2"/>
      <c r="P23" s="2"/>
      <c r="Q23" s="86"/>
      <c r="R23" s="86"/>
      <c r="S23" s="42"/>
      <c r="T23" s="71"/>
    </row>
    <row r="24" spans="1:20">
      <c r="A24" s="25"/>
      <c r="B24" s="8"/>
      <c r="C24" s="8"/>
      <c r="D24" s="161"/>
      <c r="E24" s="8"/>
      <c r="F24" s="31"/>
      <c r="G24" s="41"/>
      <c r="H24" s="2"/>
      <c r="I24" s="2"/>
      <c r="J24" s="2"/>
      <c r="K24" s="2"/>
      <c r="L24" s="2"/>
      <c r="M24" s="2"/>
      <c r="N24" s="2"/>
      <c r="O24" s="2"/>
      <c r="P24" s="2"/>
      <c r="Q24" s="86"/>
      <c r="R24" s="86"/>
      <c r="S24" s="42"/>
      <c r="T24" s="71"/>
    </row>
    <row r="25" spans="1:20">
      <c r="A25" s="25"/>
      <c r="B25" s="8"/>
      <c r="C25" s="8"/>
      <c r="D25" s="161"/>
      <c r="E25" s="8"/>
      <c r="F25" s="31"/>
      <c r="G25" s="41"/>
      <c r="H25" s="2"/>
      <c r="I25" s="2"/>
      <c r="J25" s="2"/>
      <c r="K25" s="2"/>
      <c r="L25" s="2"/>
      <c r="M25" s="2"/>
      <c r="N25" s="2"/>
      <c r="O25" s="2"/>
      <c r="P25" s="2"/>
      <c r="Q25" s="86"/>
      <c r="R25" s="86"/>
      <c r="S25" s="42"/>
      <c r="T25" s="71"/>
    </row>
    <row r="26" spans="1:20" ht="15.75" thickBot="1">
      <c r="A26" s="22" t="s">
        <v>29</v>
      </c>
      <c r="B26" s="15"/>
      <c r="C26" s="5"/>
      <c r="D26" s="162"/>
      <c r="E26" s="6"/>
      <c r="F26" s="32"/>
      <c r="G26" s="27">
        <f t="shared" ref="G26:S26" si="11">SUM(G22:G25)</f>
        <v>0</v>
      </c>
      <c r="H26" s="27">
        <f t="shared" si="11"/>
        <v>0</v>
      </c>
      <c r="I26" s="27">
        <f t="shared" si="11"/>
        <v>0</v>
      </c>
      <c r="J26" s="27">
        <f t="shared" si="11"/>
        <v>0</v>
      </c>
      <c r="K26" s="27">
        <f t="shared" si="11"/>
        <v>3500000</v>
      </c>
      <c r="L26" s="27">
        <f t="shared" si="11"/>
        <v>0</v>
      </c>
      <c r="M26" s="27">
        <f t="shared" si="11"/>
        <v>0</v>
      </c>
      <c r="N26" s="27">
        <f t="shared" si="11"/>
        <v>1050000</v>
      </c>
      <c r="O26" s="27">
        <f t="shared" si="11"/>
        <v>0</v>
      </c>
      <c r="P26" s="27">
        <f t="shared" si="11"/>
        <v>0</v>
      </c>
      <c r="Q26" s="27">
        <f t="shared" ref="Q26" si="12">SUM(Q22:Q25)</f>
        <v>0</v>
      </c>
      <c r="R26" s="27">
        <f t="shared" ref="R26" si="13">SUM(R22:R25)</f>
        <v>0</v>
      </c>
      <c r="S26" s="27">
        <f t="shared" si="11"/>
        <v>0</v>
      </c>
      <c r="T26" s="71"/>
    </row>
    <row r="27" spans="1:20" ht="8.25" customHeight="1">
      <c r="T27" s="72">
        <f>SUM(T22:T26)</f>
        <v>0</v>
      </c>
    </row>
    <row r="28" spans="1:20" ht="10.5" customHeight="1" thickBot="1"/>
    <row r="29" spans="1:20" ht="38.25">
      <c r="A29" s="96" t="s">
        <v>12</v>
      </c>
      <c r="B29" s="3" t="s">
        <v>7</v>
      </c>
      <c r="C29" s="3" t="s">
        <v>13</v>
      </c>
      <c r="D29" s="3" t="s">
        <v>14</v>
      </c>
      <c r="E29" s="3" t="s">
        <v>15</v>
      </c>
      <c r="F29" s="29" t="s">
        <v>16</v>
      </c>
      <c r="G29" s="98" t="s">
        <v>24</v>
      </c>
      <c r="H29" s="99"/>
      <c r="I29" s="99"/>
      <c r="J29" s="99"/>
      <c r="K29" s="99"/>
      <c r="L29" s="99"/>
      <c r="M29" s="99"/>
      <c r="N29" s="99"/>
      <c r="O29" s="99"/>
      <c r="P29" s="99"/>
      <c r="Q29" s="100"/>
      <c r="R29" s="100"/>
      <c r="S29" s="101"/>
    </row>
    <row r="30" spans="1:20" ht="18.75" thickBot="1">
      <c r="A30" s="97"/>
      <c r="B30" s="12" t="s">
        <v>18</v>
      </c>
      <c r="C30" s="12" t="s">
        <v>19</v>
      </c>
      <c r="D30" s="12" t="s">
        <v>20</v>
      </c>
      <c r="E30" s="12" t="s">
        <v>20</v>
      </c>
      <c r="F30" s="30" t="s">
        <v>21</v>
      </c>
      <c r="G30" s="36">
        <v>0</v>
      </c>
      <c r="H30" s="13">
        <v>1</v>
      </c>
      <c r="I30" s="13">
        <v>2</v>
      </c>
      <c r="J30" s="17">
        <v>3</v>
      </c>
      <c r="K30" s="13">
        <v>4</v>
      </c>
      <c r="L30" s="13">
        <v>5</v>
      </c>
      <c r="M30" s="17">
        <v>6</v>
      </c>
      <c r="N30" s="13">
        <v>7</v>
      </c>
      <c r="O30" s="13">
        <v>8</v>
      </c>
      <c r="P30" s="17">
        <v>9</v>
      </c>
      <c r="Q30" s="82">
        <v>10</v>
      </c>
      <c r="R30" s="82">
        <v>11</v>
      </c>
      <c r="S30" s="14">
        <v>12</v>
      </c>
      <c r="T30" s="71" t="s">
        <v>36</v>
      </c>
    </row>
    <row r="31" spans="1:20">
      <c r="A31" s="25" t="str">
        <f>A4</f>
        <v>Licencia Software GPS</v>
      </c>
      <c r="B31" s="25">
        <f t="shared" ref="B31:F31" si="14">B4</f>
        <v>1</v>
      </c>
      <c r="C31" s="25">
        <f t="shared" si="14"/>
        <v>10500000</v>
      </c>
      <c r="D31" s="25">
        <f t="shared" si="14"/>
        <v>6</v>
      </c>
      <c r="E31" s="25">
        <f t="shared" si="14"/>
        <v>4</v>
      </c>
      <c r="F31" s="25">
        <f t="shared" si="14"/>
        <v>0</v>
      </c>
      <c r="G31" s="39"/>
      <c r="H31" s="16"/>
      <c r="I31" s="16"/>
      <c r="J31" s="16"/>
      <c r="K31" s="16"/>
      <c r="L31" s="16"/>
      <c r="M31" s="16"/>
      <c r="N31" s="16"/>
      <c r="O31" s="16"/>
      <c r="P31" s="16"/>
      <c r="Q31" s="85"/>
      <c r="R31" s="85"/>
      <c r="S31" s="40"/>
      <c r="T31" s="71"/>
    </row>
    <row r="32" spans="1:20">
      <c r="A32" s="25" t="str">
        <f>A5</f>
        <v>API</v>
      </c>
      <c r="B32" s="25">
        <f t="shared" ref="B32:F32" si="15">B5</f>
        <v>1</v>
      </c>
      <c r="C32" s="25">
        <f t="shared" si="15"/>
        <v>2100000</v>
      </c>
      <c r="D32" s="25">
        <f t="shared" si="15"/>
        <v>2</v>
      </c>
      <c r="E32" s="25">
        <f t="shared" si="15"/>
        <v>2</v>
      </c>
      <c r="F32" s="25">
        <f t="shared" si="15"/>
        <v>0</v>
      </c>
      <c r="G32" s="41"/>
      <c r="H32" s="2"/>
      <c r="I32" s="16"/>
      <c r="J32" s="2"/>
      <c r="K32" s="2"/>
      <c r="L32" s="2"/>
      <c r="M32" s="2"/>
      <c r="N32" s="2"/>
      <c r="O32" s="2"/>
      <c r="P32" s="2"/>
      <c r="Q32" s="86"/>
      <c r="R32" s="86"/>
      <c r="S32" s="42"/>
      <c r="T32" s="71"/>
    </row>
    <row r="33" spans="1:20">
      <c r="A33" s="25"/>
      <c r="B33" s="8"/>
      <c r="C33" s="8"/>
      <c r="D33" s="161"/>
      <c r="E33" s="8"/>
      <c r="F33" s="31"/>
      <c r="G33" s="41"/>
      <c r="H33" s="2"/>
      <c r="I33" s="2"/>
      <c r="J33" s="2"/>
      <c r="K33" s="2"/>
      <c r="L33" s="2"/>
      <c r="M33" s="2"/>
      <c r="N33" s="2"/>
      <c r="O33" s="2"/>
      <c r="P33" s="2"/>
      <c r="Q33" s="86"/>
      <c r="R33" s="86"/>
      <c r="S33" s="42"/>
      <c r="T33" s="71"/>
    </row>
    <row r="34" spans="1:20">
      <c r="A34" s="25"/>
      <c r="B34" s="8"/>
      <c r="C34" s="8"/>
      <c r="D34" s="161"/>
      <c r="E34" s="8"/>
      <c r="F34" s="31"/>
      <c r="G34" s="41"/>
      <c r="H34" s="2"/>
      <c r="I34" s="2"/>
      <c r="J34" s="2"/>
      <c r="K34" s="2"/>
      <c r="L34" s="2"/>
      <c r="M34" s="2"/>
      <c r="N34" s="2"/>
      <c r="O34" s="2"/>
      <c r="P34" s="2"/>
      <c r="Q34" s="86"/>
      <c r="R34" s="86"/>
      <c r="S34" s="42"/>
      <c r="T34" s="71"/>
    </row>
    <row r="35" spans="1:20" ht="15.75" thickBot="1">
      <c r="A35" s="26" t="s">
        <v>29</v>
      </c>
      <c r="B35" s="15"/>
      <c r="C35" s="5"/>
      <c r="D35" s="162"/>
      <c r="E35" s="6"/>
      <c r="F35" s="32"/>
      <c r="G35" s="27">
        <f t="shared" ref="G35:S35" si="16">SUM(G31:G34)</f>
        <v>0</v>
      </c>
      <c r="H35" s="27">
        <f t="shared" si="16"/>
        <v>0</v>
      </c>
      <c r="I35" s="27">
        <f t="shared" si="16"/>
        <v>0</v>
      </c>
      <c r="J35" s="27">
        <f t="shared" si="16"/>
        <v>0</v>
      </c>
      <c r="K35" s="27">
        <f t="shared" si="16"/>
        <v>0</v>
      </c>
      <c r="L35" s="27">
        <f t="shared" si="16"/>
        <v>0</v>
      </c>
      <c r="M35" s="27">
        <f t="shared" si="16"/>
        <v>0</v>
      </c>
      <c r="N35" s="27">
        <f t="shared" si="16"/>
        <v>0</v>
      </c>
      <c r="O35" s="27">
        <f t="shared" si="16"/>
        <v>0</v>
      </c>
      <c r="P35" s="27">
        <f t="shared" si="16"/>
        <v>0</v>
      </c>
      <c r="Q35" s="27">
        <f t="shared" ref="Q35" si="17">SUM(Q31:Q34)</f>
        <v>0</v>
      </c>
      <c r="R35" s="27">
        <f t="shared" ref="R35" si="18">SUM(R31:R34)</f>
        <v>0</v>
      </c>
      <c r="S35" s="27">
        <f t="shared" si="16"/>
        <v>0</v>
      </c>
      <c r="T35" s="71"/>
    </row>
    <row r="36" spans="1:20" ht="23.25">
      <c r="T36" s="72">
        <f>SUM(T31:T35)</f>
        <v>0</v>
      </c>
    </row>
    <row r="41" spans="1:20" ht="31.5">
      <c r="S41" s="73" t="s">
        <v>37</v>
      </c>
      <c r="T41" s="73">
        <f>SUM(T36,T27,T18,T9)</f>
        <v>0</v>
      </c>
    </row>
  </sheetData>
  <mergeCells count="8">
    <mergeCell ref="A29:A30"/>
    <mergeCell ref="G29:S29"/>
    <mergeCell ref="A2:A3"/>
    <mergeCell ref="G2:S2"/>
    <mergeCell ref="A11:A12"/>
    <mergeCell ref="G11:S11"/>
    <mergeCell ref="A20:A21"/>
    <mergeCell ref="G20:S2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5"/>
  <dimension ref="A1:Q35"/>
  <sheetViews>
    <sheetView showGridLines="0" zoomScale="70" zoomScaleNormal="70" workbookViewId="0">
      <selection activeCell="D9" sqref="D9"/>
    </sheetView>
  </sheetViews>
  <sheetFormatPr baseColWidth="10" defaultRowHeight="15"/>
  <cols>
    <col min="2" max="2" width="39.85546875" customWidth="1"/>
    <col min="3" max="3" width="22.5703125" bestFit="1" customWidth="1"/>
    <col min="4" max="4" width="21.7109375" bestFit="1" customWidth="1"/>
    <col min="5" max="5" width="22.140625" bestFit="1" customWidth="1"/>
    <col min="6" max="6" width="21" bestFit="1" customWidth="1"/>
    <col min="7" max="7" width="20.28515625" bestFit="1" customWidth="1"/>
    <col min="8" max="8" width="19.7109375" bestFit="1" customWidth="1"/>
    <col min="9" max="9" width="18.28515625" bestFit="1" customWidth="1"/>
    <col min="10" max="12" width="18.7109375" bestFit="1" customWidth="1"/>
    <col min="13" max="13" width="20.28515625" bestFit="1" customWidth="1"/>
  </cols>
  <sheetData>
    <row r="1" spans="1:14" ht="15.75" thickBot="1"/>
    <row r="2" spans="1:14" ht="16.5" thickBot="1">
      <c r="A2" s="23"/>
      <c r="B2" s="52"/>
      <c r="C2" s="64">
        <v>0</v>
      </c>
      <c r="D2" s="65">
        <v>1</v>
      </c>
      <c r="E2" s="65">
        <v>2</v>
      </c>
      <c r="F2" s="65">
        <v>3</v>
      </c>
      <c r="G2" s="65">
        <v>4</v>
      </c>
      <c r="H2" s="65">
        <v>5</v>
      </c>
      <c r="I2" s="65">
        <v>6</v>
      </c>
      <c r="J2" s="65">
        <v>7</v>
      </c>
      <c r="K2" s="65">
        <v>8</v>
      </c>
      <c r="L2" s="65">
        <v>9</v>
      </c>
      <c r="M2" s="66">
        <v>10</v>
      </c>
      <c r="N2" s="74" t="s">
        <v>33</v>
      </c>
    </row>
    <row r="3" spans="1:14" ht="15.75">
      <c r="A3" t="s">
        <v>74</v>
      </c>
      <c r="B3" s="44" t="s">
        <v>75</v>
      </c>
      <c r="C3" s="43"/>
      <c r="D3" s="43">
        <f>'Costos y Capital de Trabajo'!D51</f>
        <v>0</v>
      </c>
      <c r="E3" s="43">
        <f>'Costos y Capital de Trabajo'!E51</f>
        <v>0</v>
      </c>
      <c r="F3" s="43">
        <f>'Costos y Capital de Trabajo'!F51</f>
        <v>0</v>
      </c>
      <c r="G3" s="43">
        <f>'Costos y Capital de Trabajo'!G51</f>
        <v>0</v>
      </c>
      <c r="H3" s="43">
        <f>'Costos y Capital de Trabajo'!H51</f>
        <v>0</v>
      </c>
      <c r="I3" s="43">
        <f>'Costos y Capital de Trabajo'!I51</f>
        <v>0</v>
      </c>
      <c r="J3" s="43">
        <f>'Costos y Capital de Trabajo'!J51</f>
        <v>0</v>
      </c>
      <c r="K3" s="43"/>
      <c r="L3" s="43"/>
      <c r="M3" s="43"/>
      <c r="N3" s="74"/>
    </row>
    <row r="4" spans="1:14" ht="15.75">
      <c r="A4" t="s">
        <v>74</v>
      </c>
      <c r="B4" s="45" t="s">
        <v>76</v>
      </c>
      <c r="C4" s="19">
        <f>Inversiones!H37</f>
        <v>0</v>
      </c>
      <c r="D4" s="19">
        <f>Inversiones!I37</f>
        <v>0</v>
      </c>
      <c r="E4" s="19">
        <f>Inversiones!J37</f>
        <v>0</v>
      </c>
      <c r="F4" s="19">
        <f>Inversiones!K37</f>
        <v>0</v>
      </c>
      <c r="G4" s="19">
        <f>Inversiones!L37</f>
        <v>0</v>
      </c>
      <c r="H4" s="19">
        <f>Inversiones!M37</f>
        <v>0</v>
      </c>
      <c r="I4" s="19">
        <f>Inversiones!N37</f>
        <v>0</v>
      </c>
      <c r="J4" s="19">
        <f>Inversiones!O37</f>
        <v>0</v>
      </c>
      <c r="K4" s="19"/>
      <c r="L4" s="19"/>
      <c r="M4" s="19"/>
      <c r="N4" s="74"/>
    </row>
    <row r="5" spans="1:14" ht="15.75">
      <c r="B5" s="45" t="s">
        <v>77</v>
      </c>
      <c r="C5" s="19">
        <f>-'Costos y Capital de Trabajo'!E25</f>
        <v>-600000</v>
      </c>
      <c r="D5" s="19">
        <f>-'Costos y Capital de Trabajo'!F25</f>
        <v>0</v>
      </c>
      <c r="E5" s="19">
        <f>-'Costos y Capital de Trabajo'!G25</f>
        <v>0</v>
      </c>
      <c r="F5" s="19">
        <f>-'Costos y Capital de Trabajo'!H25</f>
        <v>0</v>
      </c>
      <c r="G5" s="19">
        <f>-'Costos y Capital de Trabajo'!I25</f>
        <v>0</v>
      </c>
      <c r="H5" s="19">
        <f>-'Costos y Capital de Trabajo'!J25</f>
        <v>0</v>
      </c>
      <c r="I5" s="19">
        <f>-'Costos y Capital de Trabajo'!K25</f>
        <v>0</v>
      </c>
      <c r="J5" s="19">
        <f>-'Costos y Capital de Trabajo'!L25</f>
        <v>0</v>
      </c>
      <c r="K5" s="19"/>
      <c r="L5" s="19"/>
      <c r="M5" s="19"/>
      <c r="N5" s="74"/>
    </row>
    <row r="6" spans="1:14" ht="15.75">
      <c r="B6" s="45" t="s">
        <v>78</v>
      </c>
      <c r="C6" s="19" t="e">
        <f>-'Costos y Capital de Trabajo'!E38</f>
        <v>#REF!</v>
      </c>
      <c r="D6" s="19" t="e">
        <f>-'Costos y Capital de Trabajo'!F38</f>
        <v>#REF!</v>
      </c>
      <c r="E6" s="19" t="e">
        <f>-'Costos y Capital de Trabajo'!G38</f>
        <v>#REF!</v>
      </c>
      <c r="F6" s="19" t="e">
        <f>-'Costos y Capital de Trabajo'!H38</f>
        <v>#REF!</v>
      </c>
      <c r="G6" s="19" t="e">
        <f>-'Costos y Capital de Trabajo'!I38</f>
        <v>#REF!</v>
      </c>
      <c r="H6" s="19" t="e">
        <f>-'Costos y Capital de Trabajo'!J38</f>
        <v>#REF!</v>
      </c>
      <c r="I6" s="19">
        <f>-'Costos y Capital de Trabajo'!K38</f>
        <v>0</v>
      </c>
      <c r="J6" s="19">
        <f>-'Costos y Capital de Trabajo'!L38</f>
        <v>0</v>
      </c>
      <c r="K6" s="19"/>
      <c r="L6" s="19"/>
      <c r="M6" s="19"/>
      <c r="N6" s="74"/>
    </row>
    <row r="7" spans="1:14" ht="15.75">
      <c r="B7" s="45" t="s">
        <v>48</v>
      </c>
      <c r="C7" s="19">
        <f>'tabla amortización'!E6</f>
        <v>0</v>
      </c>
      <c r="D7" s="19">
        <f>-'tabla amortización'!E7</f>
        <v>0</v>
      </c>
      <c r="E7" s="19">
        <f>-'tabla amortización'!E8</f>
        <v>0</v>
      </c>
      <c r="F7" s="19">
        <f>-'tabla amortización'!E9</f>
        <v>0</v>
      </c>
      <c r="G7" s="19">
        <f>-'tabla amortización'!E10</f>
        <v>0</v>
      </c>
      <c r="H7" s="19">
        <f>-'tabla amortización'!E11</f>
        <v>0</v>
      </c>
      <c r="I7" s="19">
        <f>-'tabla amortización'!E12</f>
        <v>0</v>
      </c>
      <c r="J7" s="19">
        <f>-'tabla amortización'!E13</f>
        <v>0</v>
      </c>
      <c r="K7" s="19"/>
      <c r="L7" s="19"/>
      <c r="M7" s="19"/>
      <c r="N7" s="74"/>
    </row>
    <row r="8" spans="1:14" ht="15.75">
      <c r="B8" s="46" t="s">
        <v>79</v>
      </c>
      <c r="C8" s="43">
        <f>Inversiones!G17</f>
        <v>0</v>
      </c>
      <c r="D8" s="43">
        <f>Inversiones!H17</f>
        <v>2800000</v>
      </c>
      <c r="E8" s="43">
        <f>Inversiones!I17</f>
        <v>2800000</v>
      </c>
      <c r="F8" s="43">
        <f>Inversiones!J17</f>
        <v>1750000</v>
      </c>
      <c r="G8" s="43">
        <f>Inversiones!K17</f>
        <v>2800000</v>
      </c>
      <c r="H8" s="43">
        <f>Inversiones!L17</f>
        <v>1050000</v>
      </c>
      <c r="I8" s="43">
        <f>Inversiones!M17</f>
        <v>0</v>
      </c>
      <c r="J8" s="43">
        <f>Inversiones!N17</f>
        <v>1050000</v>
      </c>
      <c r="K8" s="43"/>
      <c r="L8" s="43"/>
      <c r="M8" s="43"/>
      <c r="N8" s="74"/>
    </row>
    <row r="9" spans="1:14" ht="15.75">
      <c r="B9" s="46" t="s">
        <v>80</v>
      </c>
      <c r="C9" s="43">
        <f>-Inversiones!H28</f>
        <v>0</v>
      </c>
      <c r="D9" s="43">
        <f>-Inversiones!I28</f>
        <v>0</v>
      </c>
      <c r="E9" s="43">
        <f>-Inversiones!J28</f>
        <v>0</v>
      </c>
      <c r="F9" s="43">
        <f>-Inversiones!K28</f>
        <v>0</v>
      </c>
      <c r="G9" s="43">
        <f>-Inversiones!L28</f>
        <v>0</v>
      </c>
      <c r="H9" s="43">
        <f>-Inversiones!M28</f>
        <v>0</v>
      </c>
      <c r="I9" s="43">
        <f>-Inversiones!N28</f>
        <v>0</v>
      </c>
      <c r="J9" s="43">
        <f>-Inversiones!O28</f>
        <v>0</v>
      </c>
      <c r="K9" s="43"/>
      <c r="L9" s="43"/>
      <c r="M9" s="43"/>
      <c r="N9" s="74"/>
    </row>
    <row r="10" spans="1:14" ht="15.75">
      <c r="B10" s="46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74"/>
    </row>
    <row r="11" spans="1:14" ht="16.5" thickBot="1">
      <c r="B11" s="5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74"/>
    </row>
    <row r="12" spans="1:14" ht="15.75">
      <c r="B12" s="145" t="s">
        <v>25</v>
      </c>
      <c r="C12" s="146" t="e">
        <f t="shared" ref="C12:J12" si="0">SUM(C3:C11)</f>
        <v>#REF!</v>
      </c>
      <c r="D12" s="146" t="e">
        <f t="shared" si="0"/>
        <v>#REF!</v>
      </c>
      <c r="E12" s="146" t="e">
        <f t="shared" si="0"/>
        <v>#REF!</v>
      </c>
      <c r="F12" s="146" t="e">
        <f t="shared" si="0"/>
        <v>#REF!</v>
      </c>
      <c r="G12" s="146" t="e">
        <f t="shared" si="0"/>
        <v>#REF!</v>
      </c>
      <c r="H12" s="146" t="e">
        <f t="shared" si="0"/>
        <v>#REF!</v>
      </c>
      <c r="I12" s="146">
        <f t="shared" si="0"/>
        <v>0</v>
      </c>
      <c r="J12" s="146">
        <f t="shared" si="0"/>
        <v>1050000</v>
      </c>
      <c r="K12" s="146"/>
      <c r="L12" s="146"/>
      <c r="M12" s="146"/>
      <c r="N12" s="74"/>
    </row>
    <row r="13" spans="1:14" ht="16.5" thickBot="1">
      <c r="B13" s="47" t="s">
        <v>28</v>
      </c>
      <c r="C13" s="20" t="e">
        <f>-C12*$A$15</f>
        <v>#REF!</v>
      </c>
      <c r="D13" s="20" t="e">
        <f>-D12*$A$15</f>
        <v>#REF!</v>
      </c>
      <c r="E13" s="20" t="e">
        <f t="shared" ref="E13:J13" si="1">-E12*$A$15</f>
        <v>#REF!</v>
      </c>
      <c r="F13" s="20" t="e">
        <f t="shared" si="1"/>
        <v>#REF!</v>
      </c>
      <c r="G13" s="20" t="e">
        <f t="shared" si="1"/>
        <v>#REF!</v>
      </c>
      <c r="H13" s="20" t="e">
        <f t="shared" si="1"/>
        <v>#REF!</v>
      </c>
      <c r="I13" s="20">
        <f t="shared" si="1"/>
        <v>0</v>
      </c>
      <c r="J13" s="20">
        <f t="shared" si="1"/>
        <v>-315000</v>
      </c>
      <c r="K13" s="20"/>
      <c r="L13" s="20"/>
      <c r="M13" s="20"/>
      <c r="N13" s="74"/>
    </row>
    <row r="14" spans="1:14" ht="24" customHeight="1" thickBot="1">
      <c r="A14" t="s">
        <v>32</v>
      </c>
      <c r="B14" s="147" t="s">
        <v>26</v>
      </c>
      <c r="C14" s="148" t="e">
        <f>SUM(C12:C13)</f>
        <v>#REF!</v>
      </c>
      <c r="D14" s="148" t="e">
        <f t="shared" ref="D14:J14" si="2">SUM(D12:D13)</f>
        <v>#REF!</v>
      </c>
      <c r="E14" s="148" t="e">
        <f t="shared" si="2"/>
        <v>#REF!</v>
      </c>
      <c r="F14" s="148" t="e">
        <f t="shared" si="2"/>
        <v>#REF!</v>
      </c>
      <c r="G14" s="148" t="e">
        <f t="shared" si="2"/>
        <v>#REF!</v>
      </c>
      <c r="H14" s="148" t="e">
        <f t="shared" si="2"/>
        <v>#REF!</v>
      </c>
      <c r="I14" s="148">
        <f t="shared" si="2"/>
        <v>0</v>
      </c>
      <c r="J14" s="148">
        <f t="shared" si="2"/>
        <v>735000</v>
      </c>
      <c r="K14" s="148"/>
      <c r="L14" s="148"/>
      <c r="M14" s="148"/>
      <c r="N14" s="74"/>
    </row>
    <row r="15" spans="1:14" ht="23.25" customHeight="1">
      <c r="A15" s="149">
        <f>Activos!C14</f>
        <v>0.3</v>
      </c>
      <c r="B15" s="46" t="s">
        <v>81</v>
      </c>
      <c r="C15" s="43">
        <f>-C8</f>
        <v>0</v>
      </c>
      <c r="D15" s="43">
        <f t="shared" ref="D15:J15" si="3">-D8</f>
        <v>-2800000</v>
      </c>
      <c r="E15" s="43">
        <f t="shared" si="3"/>
        <v>-2800000</v>
      </c>
      <c r="F15" s="43">
        <f t="shared" si="3"/>
        <v>-1750000</v>
      </c>
      <c r="G15" s="43">
        <f t="shared" si="3"/>
        <v>-2800000</v>
      </c>
      <c r="H15" s="43">
        <f t="shared" si="3"/>
        <v>-1050000</v>
      </c>
      <c r="I15" s="43">
        <f t="shared" si="3"/>
        <v>0</v>
      </c>
      <c r="J15" s="43">
        <f t="shared" si="3"/>
        <v>-1050000</v>
      </c>
      <c r="K15" s="43"/>
      <c r="L15" s="43"/>
      <c r="M15" s="43"/>
      <c r="N15" s="74"/>
    </row>
    <row r="16" spans="1:14" ht="24.75" customHeight="1">
      <c r="B16" s="46" t="s">
        <v>82</v>
      </c>
      <c r="C16" s="43">
        <f>[1]Calendarios!H28</f>
        <v>0</v>
      </c>
      <c r="D16" s="43">
        <f>[1]Calendarios!I28</f>
        <v>0</v>
      </c>
      <c r="E16" s="43">
        <f>[1]Calendarios!J28</f>
        <v>0</v>
      </c>
      <c r="F16" s="43">
        <f>[1]Calendarios!K28</f>
        <v>0</v>
      </c>
      <c r="G16" s="43">
        <f>Inversiones!L28</f>
        <v>0</v>
      </c>
      <c r="H16" s="43">
        <f>[1]Calendarios!M28</f>
        <v>0</v>
      </c>
      <c r="I16" s="43">
        <f>[1]Calendarios!N28</f>
        <v>0</v>
      </c>
      <c r="J16" s="43">
        <f>Inversiones!O28</f>
        <v>0</v>
      </c>
      <c r="K16" s="43"/>
      <c r="L16" s="43"/>
      <c r="M16" s="43"/>
      <c r="N16" s="74"/>
    </row>
    <row r="17" spans="1:17" ht="16.5" customHeight="1">
      <c r="B17" s="46" t="s">
        <v>83</v>
      </c>
      <c r="C17" s="43">
        <f>-'tabla amortización'!D6</f>
        <v>0</v>
      </c>
      <c r="D17" s="43">
        <f>-'tabla amortización'!D7</f>
        <v>0</v>
      </c>
      <c r="E17" s="43">
        <f>-'tabla amortización'!D8</f>
        <v>0</v>
      </c>
      <c r="F17" s="43">
        <f>-'tabla amortización'!D9</f>
        <v>0</v>
      </c>
      <c r="G17" s="43">
        <f>-'tabla amortización'!D10</f>
        <v>0</v>
      </c>
      <c r="H17" s="43">
        <f>-'tabla amortización'!D11</f>
        <v>0</v>
      </c>
      <c r="I17" s="43">
        <f>-'tabla amortización'!D12</f>
        <v>0</v>
      </c>
      <c r="J17" s="43">
        <f>-'tabla amortización'!D13</f>
        <v>0</v>
      </c>
      <c r="K17" s="43"/>
      <c r="L17" s="43"/>
      <c r="M17" s="43"/>
      <c r="N17" s="74"/>
    </row>
    <row r="18" spans="1:17" ht="16.5" customHeight="1">
      <c r="B18" s="45" t="s">
        <v>84</v>
      </c>
      <c r="C18" s="19">
        <f>'tabla amortización'!I4</f>
        <v>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/>
      <c r="L18" s="19"/>
      <c r="M18" s="19"/>
      <c r="N18" s="74"/>
    </row>
    <row r="19" spans="1:17" ht="16.5" customHeight="1">
      <c r="B19" s="45" t="s">
        <v>85</v>
      </c>
      <c r="C19" s="19">
        <f>SUM('Costos y Capital de Trabajo'!E17,'Costos y Capital de Trabajo'!E30)</f>
        <v>25350000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74"/>
    </row>
    <row r="20" spans="1:17" ht="16.5" customHeight="1">
      <c r="B20" s="45" t="s">
        <v>86</v>
      </c>
      <c r="C20" s="19">
        <f>-'Costos y Capital de Trabajo'!E54</f>
        <v>0</v>
      </c>
      <c r="D20" s="19">
        <f>-C20</f>
        <v>0</v>
      </c>
      <c r="E20" s="19"/>
      <c r="F20" s="19"/>
      <c r="G20" s="19"/>
      <c r="H20" s="19"/>
      <c r="I20" s="19"/>
      <c r="J20" s="28"/>
      <c r="K20" s="19"/>
      <c r="L20" s="19"/>
      <c r="M20" s="28"/>
      <c r="N20" s="74"/>
    </row>
    <row r="21" spans="1:17" ht="16.5" customHeight="1">
      <c r="B21" s="45" t="s">
        <v>87</v>
      </c>
      <c r="C21" s="19"/>
      <c r="D21" s="19"/>
      <c r="E21" s="19"/>
      <c r="F21" s="19"/>
      <c r="G21" s="19"/>
      <c r="H21" s="19"/>
      <c r="I21" s="19"/>
      <c r="J21" s="19">
        <f>10000*Activos!C17</f>
        <v>0</v>
      </c>
      <c r="K21" s="19"/>
      <c r="L21" s="19"/>
      <c r="M21" s="28"/>
      <c r="N21" s="74"/>
    </row>
    <row r="22" spans="1:17" ht="15.75">
      <c r="B22" s="47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74"/>
    </row>
    <row r="23" spans="1:17" ht="16.5" thickBot="1">
      <c r="B23" s="47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74"/>
      <c r="Q23" t="s">
        <v>88</v>
      </c>
    </row>
    <row r="24" spans="1:17" ht="15.75" customHeight="1" thickBot="1">
      <c r="B24" s="67" t="s">
        <v>27</v>
      </c>
      <c r="C24" s="150" t="e">
        <f t="shared" ref="C24:J24" si="4">SUM(C14:C23)</f>
        <v>#REF!</v>
      </c>
      <c r="D24" s="150" t="e">
        <f t="shared" si="4"/>
        <v>#REF!</v>
      </c>
      <c r="E24" s="150" t="e">
        <f t="shared" si="4"/>
        <v>#REF!</v>
      </c>
      <c r="F24" s="150" t="e">
        <f t="shared" si="4"/>
        <v>#REF!</v>
      </c>
      <c r="G24" s="150" t="e">
        <f t="shared" si="4"/>
        <v>#REF!</v>
      </c>
      <c r="H24" s="150" t="e">
        <f t="shared" si="4"/>
        <v>#REF!</v>
      </c>
      <c r="I24" s="150">
        <f t="shared" si="4"/>
        <v>0</v>
      </c>
      <c r="J24" s="150">
        <f t="shared" si="4"/>
        <v>-315000</v>
      </c>
      <c r="K24" s="150"/>
      <c r="L24" s="150"/>
      <c r="M24" s="150"/>
      <c r="N24" s="74"/>
      <c r="Q24" t="s">
        <v>89</v>
      </c>
    </row>
    <row r="25" spans="1:17" ht="15.75" customHeight="1" thickBot="1">
      <c r="B25" s="151" t="s">
        <v>34</v>
      </c>
      <c r="C25" s="152" t="e">
        <f t="shared" ref="C25:J25" si="5">C24*((1+$C$30)^-C2)</f>
        <v>#REF!</v>
      </c>
      <c r="D25" s="153" t="e">
        <f t="shared" si="5"/>
        <v>#REF!</v>
      </c>
      <c r="E25" s="153" t="e">
        <f t="shared" si="5"/>
        <v>#REF!</v>
      </c>
      <c r="F25" s="153" t="e">
        <f t="shared" si="5"/>
        <v>#REF!</v>
      </c>
      <c r="G25" s="153" t="e">
        <f t="shared" si="5"/>
        <v>#REF!</v>
      </c>
      <c r="H25" s="153" t="e">
        <f t="shared" si="5"/>
        <v>#REF!</v>
      </c>
      <c r="I25" s="153">
        <f t="shared" si="5"/>
        <v>0</v>
      </c>
      <c r="J25" s="153">
        <f t="shared" si="5"/>
        <v>-142490.00283112144</v>
      </c>
      <c r="K25" s="153"/>
      <c r="L25" s="153"/>
      <c r="M25" s="153"/>
      <c r="N25" s="74"/>
    </row>
    <row r="26" spans="1:17" ht="18" customHeight="1" thickBot="1">
      <c r="B26" s="151"/>
      <c r="C26" s="152"/>
      <c r="D26" s="154"/>
      <c r="E26" s="154"/>
      <c r="F26" s="154"/>
      <c r="G26" s="154"/>
      <c r="H26" s="154"/>
      <c r="I26" s="153"/>
      <c r="J26" s="153"/>
      <c r="K26" s="153"/>
      <c r="L26" s="153"/>
      <c r="M26" s="153"/>
      <c r="N26" s="74"/>
      <c r="O26" s="76" t="s">
        <v>41</v>
      </c>
    </row>
    <row r="27" spans="1:17" ht="19.5" customHeight="1">
      <c r="N27" s="74"/>
      <c r="O27" s="78">
        <f>SUM(N3:N27)+D33</f>
        <v>0</v>
      </c>
    </row>
    <row r="28" spans="1:17" ht="30.75" customHeight="1">
      <c r="B28" t="s">
        <v>90</v>
      </c>
      <c r="O28" s="77"/>
    </row>
    <row r="29" spans="1:17" ht="26.25" customHeight="1"/>
    <row r="30" spans="1:17" ht="15.75" thickBot="1">
      <c r="B30" t="s">
        <v>91</v>
      </c>
      <c r="C30" s="155">
        <f>Activos!C13</f>
        <v>0.12</v>
      </c>
      <c r="D30" s="74" t="s">
        <v>33</v>
      </c>
    </row>
    <row r="31" spans="1:17">
      <c r="A31" t="s">
        <v>92</v>
      </c>
      <c r="B31" s="48" t="s">
        <v>34</v>
      </c>
      <c r="C31" s="156" t="e">
        <f>SUM(C25:M25)</f>
        <v>#REF!</v>
      </c>
      <c r="D31" s="74"/>
      <c r="E31" s="131" t="e">
        <f>NPV(C30,D24:M24)+C24</f>
        <v>#REF!</v>
      </c>
    </row>
    <row r="32" spans="1:17" ht="15.75" thickBot="1">
      <c r="B32" s="49" t="s">
        <v>93</v>
      </c>
      <c r="C32" s="157" t="e">
        <f>IRR(C24:J24)</f>
        <v>#VALUE!</v>
      </c>
      <c r="D32" s="74"/>
    </row>
    <row r="33" spans="3:5" ht="21">
      <c r="D33" s="75">
        <f>SUM(D31:D32)</f>
        <v>0</v>
      </c>
    </row>
    <row r="34" spans="3:5">
      <c r="C34" s="50"/>
      <c r="D34" s="51"/>
      <c r="E34" s="50"/>
    </row>
    <row r="35" spans="3:5">
      <c r="C35" s="50"/>
      <c r="D35" s="51"/>
      <c r="E35" s="50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6"/>
  <dimension ref="A1:O21"/>
  <sheetViews>
    <sheetView workbookViewId="0">
      <selection activeCell="I5" sqref="I5"/>
    </sheetView>
  </sheetViews>
  <sheetFormatPr baseColWidth="10" defaultRowHeight="15"/>
  <cols>
    <col min="1" max="2" width="11.42578125" style="81"/>
    <col min="3" max="3" width="12" style="81" bestFit="1" customWidth="1"/>
    <col min="4" max="4" width="12.7109375" style="81" bestFit="1" customWidth="1"/>
    <col min="5" max="6" width="12" style="81" bestFit="1" customWidth="1"/>
    <col min="7" max="7" width="11.42578125" style="81"/>
    <col min="8" max="8" width="19" style="81" bestFit="1" customWidth="1"/>
    <col min="9" max="9" width="13" style="81" bestFit="1" customWidth="1"/>
    <col min="10" max="13" width="11.42578125" style="81"/>
    <col min="14" max="14" width="16.7109375" style="81" bestFit="1" customWidth="1"/>
    <col min="15" max="16384" width="11.42578125" style="81"/>
  </cols>
  <sheetData>
    <row r="1" spans="1:15" s="135" customFormat="1">
      <c r="A1" s="134" t="s">
        <v>40</v>
      </c>
      <c r="B1" s="134"/>
      <c r="C1" s="134"/>
      <c r="D1" s="134"/>
      <c r="E1" s="134"/>
      <c r="F1" s="134"/>
    </row>
    <row r="2" spans="1:15" ht="18.75">
      <c r="H2" s="35" t="s">
        <v>50</v>
      </c>
      <c r="N2" s="136" t="s">
        <v>38</v>
      </c>
      <c r="O2" s="136"/>
    </row>
    <row r="3" spans="1:15">
      <c r="H3" s="137" t="s">
        <v>49</v>
      </c>
      <c r="I3" s="138"/>
    </row>
    <row r="4" spans="1:15">
      <c r="B4" s="35" t="s">
        <v>45</v>
      </c>
      <c r="C4" s="35" t="s">
        <v>46</v>
      </c>
      <c r="D4" s="35" t="s">
        <v>47</v>
      </c>
      <c r="E4" s="35" t="s">
        <v>48</v>
      </c>
      <c r="F4" s="35" t="s">
        <v>49</v>
      </c>
      <c r="H4" s="137" t="s">
        <v>48</v>
      </c>
      <c r="I4" s="139"/>
    </row>
    <row r="5" spans="1:15">
      <c r="B5" s="137">
        <v>0</v>
      </c>
      <c r="C5" s="137"/>
      <c r="D5" s="138">
        <v>0</v>
      </c>
      <c r="E5" s="138">
        <v>0</v>
      </c>
      <c r="F5" s="140">
        <f>I3</f>
        <v>0</v>
      </c>
      <c r="H5" s="137" t="s">
        <v>45</v>
      </c>
      <c r="I5" s="137"/>
    </row>
    <row r="6" spans="1:15">
      <c r="B6" s="137">
        <v>1</v>
      </c>
      <c r="C6" s="140">
        <f>$H$11</f>
        <v>0</v>
      </c>
      <c r="D6" s="140">
        <f>C6-E6</f>
        <v>0</v>
      </c>
      <c r="E6" s="140">
        <f>F5*$I$5</f>
        <v>0</v>
      </c>
      <c r="F6" s="140">
        <f>F5-D6</f>
        <v>0</v>
      </c>
      <c r="H6" s="137"/>
      <c r="I6" s="137"/>
    </row>
    <row r="7" spans="1:15">
      <c r="B7" s="137">
        <v>2</v>
      </c>
      <c r="C7" s="140">
        <f t="shared" ref="C7:C12" si="0">$H$11</f>
        <v>0</v>
      </c>
      <c r="D7" s="140">
        <f t="shared" ref="D7:D12" si="1">C7-E7</f>
        <v>0</v>
      </c>
      <c r="E7" s="140">
        <f t="shared" ref="E7:E12" si="2">F6*$I$5</f>
        <v>0</v>
      </c>
      <c r="F7" s="140">
        <f>F6-D7</f>
        <v>0</v>
      </c>
      <c r="H7" s="137"/>
      <c r="I7" s="137"/>
    </row>
    <row r="8" spans="1:15">
      <c r="B8" s="137">
        <v>3</v>
      </c>
      <c r="C8" s="140">
        <f t="shared" si="0"/>
        <v>0</v>
      </c>
      <c r="D8" s="140">
        <f t="shared" si="1"/>
        <v>0</v>
      </c>
      <c r="E8" s="140">
        <f t="shared" si="2"/>
        <v>0</v>
      </c>
      <c r="F8" s="140">
        <f t="shared" ref="F8:F12" si="3">F7-D8</f>
        <v>0</v>
      </c>
    </row>
    <row r="9" spans="1:15">
      <c r="B9" s="137">
        <v>4</v>
      </c>
      <c r="C9" s="140">
        <f t="shared" si="0"/>
        <v>0</v>
      </c>
      <c r="D9" s="140">
        <f t="shared" si="1"/>
        <v>0</v>
      </c>
      <c r="E9" s="140">
        <f t="shared" si="2"/>
        <v>0</v>
      </c>
      <c r="F9" s="140">
        <f t="shared" si="3"/>
        <v>0</v>
      </c>
      <c r="H9" s="35" t="s">
        <v>46</v>
      </c>
      <c r="I9" s="141"/>
      <c r="J9" s="142"/>
      <c r="K9" s="142"/>
    </row>
    <row r="10" spans="1:15">
      <c r="B10" s="137">
        <v>5</v>
      </c>
      <c r="C10" s="140">
        <f t="shared" si="0"/>
        <v>0</v>
      </c>
      <c r="D10" s="140">
        <f t="shared" si="1"/>
        <v>0</v>
      </c>
      <c r="E10" s="140">
        <f t="shared" si="2"/>
        <v>0</v>
      </c>
      <c r="F10" s="140">
        <f t="shared" si="3"/>
        <v>0</v>
      </c>
      <c r="H10" s="138" t="e">
        <f>I3*(I15/I16)</f>
        <v>#DIV/0!</v>
      </c>
      <c r="I10" s="143" t="e">
        <f>PMT(I4,I5,I3)</f>
        <v>#DIV/0!</v>
      </c>
    </row>
    <row r="11" spans="1:15">
      <c r="B11" s="137">
        <v>6</v>
      </c>
      <c r="C11" s="140">
        <f t="shared" si="0"/>
        <v>0</v>
      </c>
      <c r="D11" s="140">
        <f t="shared" si="1"/>
        <v>0</v>
      </c>
      <c r="E11" s="140">
        <f t="shared" si="2"/>
        <v>0</v>
      </c>
      <c r="F11" s="140">
        <f t="shared" si="3"/>
        <v>0</v>
      </c>
    </row>
    <row r="12" spans="1:15">
      <c r="B12" s="137">
        <v>7</v>
      </c>
      <c r="C12" s="140">
        <f t="shared" si="0"/>
        <v>0</v>
      </c>
      <c r="D12" s="140">
        <f t="shared" si="1"/>
        <v>0</v>
      </c>
      <c r="E12" s="140">
        <f t="shared" si="2"/>
        <v>0</v>
      </c>
      <c r="F12" s="140">
        <f t="shared" si="3"/>
        <v>0</v>
      </c>
    </row>
    <row r="13" spans="1:15">
      <c r="B13" s="137">
        <v>8</v>
      </c>
      <c r="C13" s="140"/>
      <c r="D13" s="140"/>
      <c r="E13" s="140"/>
      <c r="F13" s="140"/>
      <c r="H13" s="144" t="s">
        <v>71</v>
      </c>
      <c r="I13" s="144"/>
    </row>
    <row r="14" spans="1:15">
      <c r="B14" s="137"/>
      <c r="C14" s="140"/>
      <c r="D14" s="140"/>
      <c r="E14" s="140"/>
      <c r="F14" s="140"/>
    </row>
    <row r="15" spans="1:15">
      <c r="B15" s="137"/>
      <c r="C15" s="140"/>
      <c r="D15" s="140"/>
      <c r="E15" s="140"/>
      <c r="F15" s="140"/>
      <c r="H15" s="81" t="s">
        <v>72</v>
      </c>
      <c r="I15" s="81">
        <f>(I4*((1+I4)^I5))</f>
        <v>0</v>
      </c>
    </row>
    <row r="16" spans="1:15">
      <c r="B16" s="137"/>
      <c r="C16" s="140"/>
      <c r="D16" s="140"/>
      <c r="E16" s="140"/>
      <c r="F16" s="140"/>
      <c r="H16" s="81" t="s">
        <v>73</v>
      </c>
      <c r="I16" s="81">
        <f>((I4+1)^I5)-1</f>
        <v>0</v>
      </c>
    </row>
    <row r="17" spans="2:6">
      <c r="B17" s="137"/>
      <c r="C17" s="140"/>
      <c r="D17" s="140"/>
      <c r="E17" s="140"/>
      <c r="F17" s="140"/>
    </row>
    <row r="18" spans="2:6">
      <c r="B18" s="137"/>
      <c r="C18" s="140"/>
      <c r="D18" s="140"/>
      <c r="E18" s="140"/>
      <c r="F18" s="140"/>
    </row>
    <row r="19" spans="2:6">
      <c r="B19" s="137"/>
      <c r="C19" s="140"/>
      <c r="D19" s="140"/>
      <c r="E19" s="140"/>
      <c r="F19" s="140"/>
    </row>
    <row r="20" spans="2:6">
      <c r="B20" s="137"/>
      <c r="C20" s="140"/>
      <c r="D20" s="140"/>
      <c r="E20" s="140"/>
      <c r="F20" s="140"/>
    </row>
    <row r="21" spans="2:6">
      <c r="B21" s="137"/>
      <c r="C21" s="140"/>
      <c r="D21" s="140"/>
      <c r="E21" s="140"/>
      <c r="F21" s="140"/>
    </row>
  </sheetData>
  <mergeCells count="2">
    <mergeCell ref="I9:K9"/>
    <mergeCell ref="H13:I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7"/>
  <dimension ref="B3:C11"/>
  <sheetViews>
    <sheetView showGridLines="0" workbookViewId="0">
      <selection activeCell="C10" sqref="C10"/>
    </sheetView>
  </sheetViews>
  <sheetFormatPr baseColWidth="10" defaultRowHeight="15"/>
  <cols>
    <col min="2" max="2" width="31.85546875" customWidth="1"/>
    <col min="3" max="3" width="22.28515625" customWidth="1"/>
  </cols>
  <sheetData>
    <row r="3" spans="2:3" ht="23.25">
      <c r="B3" s="54"/>
      <c r="C3" s="70" t="s">
        <v>36</v>
      </c>
    </row>
    <row r="4" spans="2:3" ht="36.75" customHeight="1">
      <c r="B4" s="69" t="s">
        <v>51</v>
      </c>
      <c r="C4" s="70">
        <f>'Flujo Caja'!O25</f>
        <v>0</v>
      </c>
    </row>
    <row r="5" spans="2:3" ht="36.75" customHeight="1">
      <c r="B5" s="69" t="s">
        <v>52</v>
      </c>
      <c r="C5" s="70" t="e">
        <f>#REF!</f>
        <v>#REF!</v>
      </c>
    </row>
    <row r="6" spans="2:3" ht="36.75" customHeight="1">
      <c r="B6" s="69" t="s">
        <v>53</v>
      </c>
      <c r="C6" s="70" t="e">
        <f>#REF!</f>
        <v>#REF!</v>
      </c>
    </row>
    <row r="7" spans="2:3" ht="36.75" customHeight="1">
      <c r="B7" s="69" t="s">
        <v>54</v>
      </c>
      <c r="C7" s="70" t="e">
        <f>'Costos y Capital de Trabajo'!#REF!</f>
        <v>#REF!</v>
      </c>
    </row>
    <row r="8" spans="2:3" ht="36.75" customHeight="1">
      <c r="B8" s="69" t="s">
        <v>35</v>
      </c>
      <c r="C8" s="70" t="e">
        <f>Inversiones!T41+#REF!</f>
        <v>#REF!</v>
      </c>
    </row>
    <row r="9" spans="2:3" ht="36.75" customHeight="1">
      <c r="B9" s="69" t="s">
        <v>39</v>
      </c>
      <c r="C9" s="70" t="e">
        <f>'tabla amortización'!O2+#REF!</f>
        <v>#REF!</v>
      </c>
    </row>
    <row r="11" spans="2:3" ht="28.5">
      <c r="B11" s="79" t="s">
        <v>37</v>
      </c>
      <c r="C11" s="80" t="e">
        <f>SUM(C4:C9)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Activos</vt:lpstr>
      <vt:lpstr>Costos y Capital de Trabajo</vt:lpstr>
      <vt:lpstr>Inversiones</vt:lpstr>
      <vt:lpstr>Flujo Caja</vt:lpstr>
      <vt:lpstr>tabla amortización</vt:lpstr>
      <vt:lpstr>PUNTAJES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2017-07-13T08:27:17Z</dcterms:modified>
</cp:coreProperties>
</file>