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codeName="ThisWorkbook" defaultThemeVersion="124226"/>
  <bookViews>
    <workbookView xWindow="0" yWindow="0" windowWidth="20490" windowHeight="7755"/>
  </bookViews>
  <sheets>
    <sheet name="Activos" sheetId="2" r:id="rId1"/>
    <sheet name="Actividad" sheetId="1" r:id="rId2"/>
    <sheet name="Calendarios" sheetId="3" r:id="rId3"/>
    <sheet name="Alternativa 1" sheetId="4" r:id="rId4"/>
    <sheet name="tabla amortización" sheetId="6" r:id="rId5"/>
  </sheets>
  <calcPr calcId="124519"/>
</workbook>
</file>

<file path=xl/calcChain.xml><?xml version="1.0" encoding="utf-8"?>
<calcChain xmlns="http://schemas.openxmlformats.org/spreadsheetml/2006/main">
  <c r="H15" i="3"/>
  <c r="I15"/>
  <c r="J15"/>
  <c r="K15"/>
  <c r="L15"/>
  <c r="M15"/>
  <c r="N15"/>
  <c r="O15"/>
  <c r="P15"/>
  <c r="Q15"/>
  <c r="Q23"/>
  <c r="H14"/>
  <c r="I14"/>
  <c r="J14"/>
  <c r="K14"/>
  <c r="L14"/>
  <c r="M14"/>
  <c r="N14"/>
  <c r="O14"/>
  <c r="P14"/>
  <c r="Q14"/>
  <c r="D21" i="4"/>
  <c r="E21"/>
  <c r="F21"/>
  <c r="G21"/>
  <c r="H21"/>
  <c r="I21"/>
  <c r="J21"/>
  <c r="K21"/>
  <c r="L21"/>
  <c r="M21"/>
  <c r="C21"/>
  <c r="C20"/>
  <c r="M19"/>
  <c r="L19"/>
  <c r="K19"/>
  <c r="J19"/>
  <c r="I19"/>
  <c r="H19"/>
  <c r="G19"/>
  <c r="F19"/>
  <c r="E19"/>
  <c r="D19"/>
  <c r="C19"/>
  <c r="D18"/>
  <c r="E18"/>
  <c r="F18"/>
  <c r="G18"/>
  <c r="H18"/>
  <c r="I18"/>
  <c r="J18"/>
  <c r="K18"/>
  <c r="L18"/>
  <c r="C18"/>
  <c r="C9"/>
  <c r="D4"/>
  <c r="E4"/>
  <c r="F4"/>
  <c r="G4"/>
  <c r="H4"/>
  <c r="I4"/>
  <c r="J4"/>
  <c r="K4"/>
  <c r="L4"/>
  <c r="M4"/>
  <c r="C4"/>
  <c r="D9"/>
  <c r="E9"/>
  <c r="F9"/>
  <c r="G9"/>
  <c r="H9"/>
  <c r="I9"/>
  <c r="J9"/>
  <c r="K9"/>
  <c r="L9"/>
  <c r="M7"/>
  <c r="L7"/>
  <c r="K7"/>
  <c r="J7"/>
  <c r="I7"/>
  <c r="H7"/>
  <c r="G7"/>
  <c r="F7"/>
  <c r="E7"/>
  <c r="D7"/>
  <c r="C7"/>
  <c r="I4" i="6"/>
  <c r="G6" i="3"/>
  <c r="G5"/>
  <c r="G4"/>
  <c r="B33"/>
  <c r="C33"/>
  <c r="D33"/>
  <c r="E33"/>
  <c r="F33"/>
  <c r="B32"/>
  <c r="C32"/>
  <c r="D32"/>
  <c r="E32"/>
  <c r="F32"/>
  <c r="B31"/>
  <c r="C31"/>
  <c r="D31"/>
  <c r="E31"/>
  <c r="F31"/>
  <c r="B24"/>
  <c r="C24"/>
  <c r="D24"/>
  <c r="E24"/>
  <c r="F24"/>
  <c r="B23"/>
  <c r="C23"/>
  <c r="D23"/>
  <c r="E23"/>
  <c r="F23"/>
  <c r="B22"/>
  <c r="C22"/>
  <c r="D22"/>
  <c r="E22"/>
  <c r="F22"/>
  <c r="B15"/>
  <c r="C15"/>
  <c r="D15"/>
  <c r="E15"/>
  <c r="F15"/>
  <c r="B14"/>
  <c r="C14"/>
  <c r="D14"/>
  <c r="E14"/>
  <c r="F14"/>
  <c r="B13"/>
  <c r="C13"/>
  <c r="D13"/>
  <c r="E13"/>
  <c r="F13"/>
  <c r="B6"/>
  <c r="C6"/>
  <c r="D6"/>
  <c r="E6"/>
  <c r="F6"/>
  <c r="B5"/>
  <c r="C5"/>
  <c r="D5"/>
  <c r="E5"/>
  <c r="F5"/>
  <c r="B4"/>
  <c r="C4"/>
  <c r="D4"/>
  <c r="E4"/>
  <c r="F4"/>
  <c r="A32"/>
  <c r="A33"/>
  <c r="A31"/>
  <c r="A23"/>
  <c r="A24"/>
  <c r="A22"/>
  <c r="A14"/>
  <c r="A15"/>
  <c r="A13"/>
  <c r="A5"/>
  <c r="A6"/>
  <c r="A4"/>
  <c r="E5" i="4"/>
  <c r="F5"/>
  <c r="G5"/>
  <c r="H5"/>
  <c r="I5"/>
  <c r="J5"/>
  <c r="K5"/>
  <c r="L5"/>
  <c r="M5"/>
  <c r="D5"/>
  <c r="D3"/>
  <c r="E3"/>
  <c r="F3"/>
  <c r="G3"/>
  <c r="H3"/>
  <c r="I3"/>
  <c r="J3"/>
  <c r="K3"/>
  <c r="L3"/>
  <c r="M3"/>
  <c r="E18" i="1"/>
  <c r="F18"/>
  <c r="G18"/>
  <c r="H18"/>
  <c r="I18"/>
  <c r="J18"/>
  <c r="K18"/>
  <c r="L18"/>
  <c r="M18"/>
  <c r="E17"/>
  <c r="F17"/>
  <c r="G17"/>
  <c r="H17"/>
  <c r="I17"/>
  <c r="J17"/>
  <c r="K17"/>
  <c r="L17"/>
  <c r="M17"/>
  <c r="D18"/>
  <c r="D17"/>
  <c r="E6" i="4"/>
  <c r="F6"/>
  <c r="G6"/>
  <c r="H6"/>
  <c r="I6"/>
  <c r="J6"/>
  <c r="K6"/>
  <c r="L6"/>
  <c r="M6"/>
  <c r="D6"/>
  <c r="E8" i="1" l="1"/>
  <c r="E12" s="1"/>
  <c r="D8"/>
  <c r="D12" s="1"/>
  <c r="E11" l="1"/>
  <c r="D11"/>
  <c r="H11" i="6"/>
  <c r="C11" l="1"/>
  <c r="C8"/>
  <c r="C10"/>
  <c r="C12"/>
  <c r="C14"/>
  <c r="C16"/>
  <c r="C9"/>
  <c r="C13"/>
  <c r="C15"/>
  <c r="C7"/>
  <c r="F6"/>
  <c r="E7" s="1"/>
  <c r="D7" l="1"/>
  <c r="F7" s="1"/>
  <c r="E8" l="1"/>
  <c r="D8" s="1"/>
  <c r="F8" s="1"/>
  <c r="E9" s="1"/>
  <c r="D9" s="1"/>
  <c r="F9" s="1"/>
  <c r="E10" s="1"/>
  <c r="D10" s="1"/>
  <c r="F10" s="1"/>
  <c r="E11" s="1"/>
  <c r="D11" s="1"/>
  <c r="F11" s="1"/>
  <c r="E12" s="1"/>
  <c r="D12" s="1"/>
  <c r="F12" s="1"/>
  <c r="E13" s="1"/>
  <c r="D13" s="1"/>
  <c r="F13" s="1"/>
  <c r="E14" s="1"/>
  <c r="D14" s="1"/>
  <c r="F14" s="1"/>
  <c r="E15" s="1"/>
  <c r="D15" s="1"/>
  <c r="F15" s="1"/>
  <c r="E16" s="1"/>
  <c r="D16" s="1"/>
  <c r="F16" s="1"/>
  <c r="E3" i="1" l="1"/>
  <c r="F8" s="1"/>
  <c r="F12" l="1"/>
  <c r="F11"/>
  <c r="F3"/>
  <c r="I32" i="3"/>
  <c r="I31"/>
  <c r="G8" i="1" l="1"/>
  <c r="G3"/>
  <c r="T36" i="3"/>
  <c r="Q35"/>
  <c r="R35"/>
  <c r="Q26"/>
  <c r="R26"/>
  <c r="Q17"/>
  <c r="R17"/>
  <c r="Q8"/>
  <c r="R8"/>
  <c r="M9" i="4" l="1"/>
  <c r="M18"/>
  <c r="M17"/>
  <c r="M8"/>
  <c r="G12" i="1"/>
  <c r="G11"/>
  <c r="H8"/>
  <c r="H3"/>
  <c r="T41" i="3"/>
  <c r="M14" i="4" l="1"/>
  <c r="M15" s="1"/>
  <c r="M16" s="1"/>
  <c r="M25" s="1"/>
  <c r="H12" i="1"/>
  <c r="H11"/>
  <c r="I8"/>
  <c r="I3"/>
  <c r="P17"/>
  <c r="I12" l="1"/>
  <c r="I11"/>
  <c r="J3"/>
  <c r="J8"/>
  <c r="D34" i="4"/>
  <c r="K3" i="1" l="1"/>
  <c r="K8"/>
  <c r="J12"/>
  <c r="J11"/>
  <c r="G8" i="3"/>
  <c r="T27"/>
  <c r="T18"/>
  <c r="T9"/>
  <c r="L3" i="1" l="1"/>
  <c r="M8" s="1"/>
  <c r="L8"/>
  <c r="K12"/>
  <c r="K11"/>
  <c r="G17" i="3"/>
  <c r="H35"/>
  <c r="I35"/>
  <c r="J35"/>
  <c r="K35"/>
  <c r="L35"/>
  <c r="M35"/>
  <c r="N35"/>
  <c r="O35"/>
  <c r="P35"/>
  <c r="S35"/>
  <c r="G35"/>
  <c r="H26"/>
  <c r="I26"/>
  <c r="J26"/>
  <c r="K26"/>
  <c r="L26"/>
  <c r="M26"/>
  <c r="N26"/>
  <c r="O26"/>
  <c r="P26"/>
  <c r="S26"/>
  <c r="G26"/>
  <c r="H17"/>
  <c r="I17"/>
  <c r="J17"/>
  <c r="K17"/>
  <c r="L17"/>
  <c r="M17"/>
  <c r="N17"/>
  <c r="O17"/>
  <c r="P17"/>
  <c r="S17"/>
  <c r="N7" i="4" s="1"/>
  <c r="O25" s="1"/>
  <c r="H8" i="3"/>
  <c r="I8"/>
  <c r="J8"/>
  <c r="K8"/>
  <c r="L8"/>
  <c r="M8"/>
  <c r="N8"/>
  <c r="O8"/>
  <c r="P8"/>
  <c r="S8"/>
  <c r="K17" i="4" l="1"/>
  <c r="K8"/>
  <c r="K14" s="1"/>
  <c r="I17"/>
  <c r="I8"/>
  <c r="I14" s="1"/>
  <c r="G17"/>
  <c r="G8"/>
  <c r="G14" s="1"/>
  <c r="E17"/>
  <c r="E8"/>
  <c r="E14" s="1"/>
  <c r="L8"/>
  <c r="L14" s="1"/>
  <c r="L17"/>
  <c r="J8"/>
  <c r="J14" s="1"/>
  <c r="J15" s="1"/>
  <c r="J16" s="1"/>
  <c r="J25" s="1"/>
  <c r="J17"/>
  <c r="H8"/>
  <c r="H14" s="1"/>
  <c r="H15" s="1"/>
  <c r="H16" s="1"/>
  <c r="H25" s="1"/>
  <c r="H17"/>
  <c r="F8"/>
  <c r="F14" s="1"/>
  <c r="F17"/>
  <c r="D8"/>
  <c r="D14" s="1"/>
  <c r="D17"/>
  <c r="C17"/>
  <c r="C8"/>
  <c r="C14" s="1"/>
  <c r="C15" s="1"/>
  <c r="C16" s="1"/>
  <c r="C25" s="1"/>
  <c r="M12" i="1"/>
  <c r="M11"/>
  <c r="L12"/>
  <c r="L11"/>
  <c r="C32" i="4" l="1"/>
  <c r="C33"/>
  <c r="L15"/>
  <c r="L16"/>
  <c r="L25" s="1"/>
  <c r="D15"/>
  <c r="D16"/>
  <c r="D25" s="1"/>
  <c r="F15"/>
  <c r="F16"/>
  <c r="F25" s="1"/>
  <c r="E15"/>
  <c r="E16"/>
  <c r="E25" s="1"/>
  <c r="G15"/>
  <c r="G16"/>
  <c r="G25" s="1"/>
  <c r="I15"/>
  <c r="I16"/>
  <c r="I25" s="1"/>
  <c r="K15"/>
  <c r="K16"/>
  <c r="K25" s="1"/>
</calcChain>
</file>

<file path=xl/sharedStrings.xml><?xml version="1.0" encoding="utf-8"?>
<sst xmlns="http://schemas.openxmlformats.org/spreadsheetml/2006/main" count="144" uniqueCount="73">
  <si>
    <t>Unidad</t>
  </si>
  <si>
    <t>Año</t>
  </si>
  <si>
    <t>Unidades a vender</t>
  </si>
  <si>
    <t>c/u</t>
  </si>
  <si>
    <t>Precio de venta</t>
  </si>
  <si>
    <t>$</t>
  </si>
  <si>
    <t>costo variable</t>
  </si>
  <si>
    <t>activo</t>
  </si>
  <si>
    <t>cantidad</t>
  </si>
  <si>
    <t>costo unitario</t>
  </si>
  <si>
    <t>valor de liquidación</t>
  </si>
  <si>
    <t>años</t>
  </si>
  <si>
    <t>% valor original</t>
  </si>
  <si>
    <t>Activo</t>
  </si>
  <si>
    <t>Valor Adquisición</t>
  </si>
  <si>
    <t xml:space="preserve">Vida útil depreciación </t>
  </si>
  <si>
    <t>Vida útil real (años)</t>
  </si>
  <si>
    <t>Valor de venta al término de vida útil real</t>
  </si>
  <si>
    <t>Inversiones por año</t>
  </si>
  <si>
    <t>numero</t>
  </si>
  <si>
    <t xml:space="preserve"> ($)</t>
  </si>
  <si>
    <t>(años)</t>
  </si>
  <si>
    <t>(% valor original)</t>
  </si>
  <si>
    <t>Depreciación por año</t>
  </si>
  <si>
    <t>Valor libro por año</t>
  </si>
  <si>
    <t>Venta de activos por año</t>
  </si>
  <si>
    <t>Utilidad</t>
  </si>
  <si>
    <t>Utilidad Neta</t>
  </si>
  <si>
    <t>Flujo de proyecto</t>
  </si>
  <si>
    <t xml:space="preserve">Impuesto </t>
  </si>
  <si>
    <t>Total</t>
  </si>
  <si>
    <t>vida contable</t>
  </si>
  <si>
    <t>vida real</t>
  </si>
  <si>
    <t>TASA IMP</t>
  </si>
  <si>
    <t>PUNTAJE</t>
  </si>
  <si>
    <t>VAN</t>
  </si>
  <si>
    <t>PUNTAJES</t>
  </si>
  <si>
    <t>TOTAL</t>
  </si>
  <si>
    <t>Puntaje Tabla</t>
  </si>
  <si>
    <t>En esta hoja realice lo necesario para construir la tabla de amortización</t>
  </si>
  <si>
    <t>total</t>
  </si>
  <si>
    <t>Demandas/ temporada</t>
  </si>
  <si>
    <t>ACTIVIDAD TOTAL</t>
  </si>
  <si>
    <t>INGRESOS TOTALES</t>
  </si>
  <si>
    <t>COSTOS TOTALES</t>
  </si>
  <si>
    <t>Año de adquisición</t>
  </si>
  <si>
    <t>Periodo</t>
  </si>
  <si>
    <t>Cuota</t>
  </si>
  <si>
    <t>Amortización</t>
  </si>
  <si>
    <t>Interes</t>
  </si>
  <si>
    <t>Saldo</t>
  </si>
  <si>
    <t>Datos</t>
  </si>
  <si>
    <t>recuerde realizarlos manualmente</t>
  </si>
  <si>
    <t>costo total</t>
  </si>
  <si>
    <t>Ingreso total</t>
  </si>
  <si>
    <t>Objeto</t>
  </si>
  <si>
    <t>Terrenos</t>
  </si>
  <si>
    <t>Construcciones</t>
  </si>
  <si>
    <t>Maquinarias</t>
  </si>
  <si>
    <t>Ingresos</t>
  </si>
  <si>
    <t>Venta de Activos</t>
  </si>
  <si>
    <t>Costos Variables</t>
  </si>
  <si>
    <t>Costos Fijos</t>
  </si>
  <si>
    <t>TIR</t>
  </si>
  <si>
    <t>Depreciación</t>
  </si>
  <si>
    <t>Valor Libro</t>
  </si>
  <si>
    <t>Valor Libro+</t>
  </si>
  <si>
    <t>Amortizacion-</t>
  </si>
  <si>
    <t>Prestamo+</t>
  </si>
  <si>
    <t>Inversion-</t>
  </si>
  <si>
    <t>Capital de Trabajo -</t>
  </si>
  <si>
    <t>Valor de desecho+</t>
  </si>
  <si>
    <t>TREMA</t>
  </si>
</sst>
</file>

<file path=xl/styles.xml><?xml version="1.0" encoding="utf-8"?>
<styleSheet xmlns="http://schemas.openxmlformats.org/spreadsheetml/2006/main">
  <numFmts count="4">
    <numFmt numFmtId="8" formatCode="&quot;$&quot;#,##0.00;[Red]&quot;$&quot;\-#,##0.00"/>
    <numFmt numFmtId="42" formatCode="_ &quot;$&quot;* #,##0_ ;_ &quot;$&quot;* \-#,##0_ ;_ &quot;$&quot;* &quot;-&quot;_ ;_ @_ "/>
    <numFmt numFmtId="41" formatCode="_ * #,##0_ ;_ * \-#,##0_ ;_ * &quot;-&quot;_ ;_ @_ "/>
    <numFmt numFmtId="164" formatCode="#,##0_ ;[Red]\-#,##0\ 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20"/>
      <color theme="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23" fillId="0" borderId="0" applyFont="0" applyFill="0" applyBorder="0" applyAlignment="0" applyProtection="0"/>
    <xf numFmtId="42" fontId="23" fillId="0" borderId="0" applyFont="0" applyFill="0" applyBorder="0" applyAlignment="0" applyProtection="0"/>
  </cellStyleXfs>
  <cellXfs count="121">
    <xf numFmtId="0" fontId="0" fillId="0" borderId="0" xfId="0"/>
    <xf numFmtId="164" fontId="0" fillId="0" borderId="8" xfId="0" applyNumberFormat="1" applyBorder="1" applyAlignment="1">
      <alignment horizontal="center" vertical="center"/>
    </xf>
    <xf numFmtId="3" fontId="0" fillId="0" borderId="8" xfId="0" applyNumberFormat="1" applyBorder="1" applyAlignment="1">
      <alignment vertical="center"/>
    </xf>
    <xf numFmtId="3" fontId="0" fillId="0" borderId="8" xfId="0" applyNumberFormat="1" applyFill="1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right" vertical="center"/>
    </xf>
    <xf numFmtId="3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vertical="center"/>
    </xf>
    <xf numFmtId="3" fontId="0" fillId="0" borderId="9" xfId="0" applyNumberFormat="1" applyBorder="1" applyAlignment="1">
      <alignment vertical="center"/>
    </xf>
    <xf numFmtId="3" fontId="0" fillId="0" borderId="19" xfId="0" applyNumberFormat="1" applyBorder="1" applyAlignment="1">
      <alignment horizontal="center"/>
    </xf>
    <xf numFmtId="3" fontId="0" fillId="0" borderId="18" xfId="0" applyNumberFormat="1" applyBorder="1" applyAlignment="1">
      <alignment vertical="center"/>
    </xf>
    <xf numFmtId="3" fontId="0" fillId="0" borderId="19" xfId="0" applyNumberFormat="1" applyBorder="1" applyAlignment="1">
      <alignment vertical="center"/>
    </xf>
    <xf numFmtId="3" fontId="0" fillId="0" borderId="20" xfId="0" applyNumberFormat="1" applyBorder="1" applyAlignment="1">
      <alignment vertical="center"/>
    </xf>
    <xf numFmtId="0" fontId="3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3" fontId="0" fillId="0" borderId="19" xfId="0" applyNumberForma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3" fontId="4" fillId="0" borderId="10" xfId="0" applyNumberFormat="1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0" fontId="5" fillId="0" borderId="16" xfId="0" applyFont="1" applyBorder="1" applyAlignment="1">
      <alignment horizontal="right" vertical="center"/>
    </xf>
    <xf numFmtId="0" fontId="1" fillId="0" borderId="16" xfId="0" applyFont="1" applyBorder="1" applyAlignment="1">
      <alignment horizontal="right" vertical="center"/>
    </xf>
    <xf numFmtId="0" fontId="0" fillId="0" borderId="0" xfId="0" applyBorder="1"/>
    <xf numFmtId="164" fontId="0" fillId="0" borderId="0" xfId="0" applyNumberFormat="1" applyFill="1" applyBorder="1" applyAlignment="1">
      <alignment horizontal="center" vertical="center"/>
    </xf>
    <xf numFmtId="0" fontId="1" fillId="0" borderId="18" xfId="0" applyFont="1" applyFill="1" applyBorder="1"/>
    <xf numFmtId="0" fontId="1" fillId="0" borderId="16" xfId="0" applyFont="1" applyBorder="1" applyAlignment="1">
      <alignment horizontal="right" vertical="center" wrapText="1"/>
    </xf>
    <xf numFmtId="3" fontId="4" fillId="0" borderId="16" xfId="0" applyNumberFormat="1" applyFont="1" applyBorder="1" applyAlignment="1">
      <alignment horizontal="center" vertical="center"/>
    </xf>
    <xf numFmtId="0" fontId="0" fillId="0" borderId="8" xfId="0" applyBorder="1"/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9" fontId="0" fillId="0" borderId="26" xfId="0" applyNumberFormat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left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0" fillId="0" borderId="9" xfId="0" applyBorder="1"/>
    <xf numFmtId="3" fontId="4" fillId="0" borderId="27" xfId="0" applyNumberFormat="1" applyFont="1" applyBorder="1" applyAlignment="1">
      <alignment horizontal="center" vertical="center"/>
    </xf>
    <xf numFmtId="3" fontId="0" fillId="0" borderId="18" xfId="0" applyNumberFormat="1" applyFill="1" applyBorder="1" applyAlignment="1">
      <alignment vertical="center"/>
    </xf>
    <xf numFmtId="3" fontId="0" fillId="0" borderId="20" xfId="0" applyNumberFormat="1" applyFill="1" applyBorder="1" applyAlignment="1">
      <alignment vertical="center"/>
    </xf>
    <xf numFmtId="3" fontId="0" fillId="0" borderId="14" xfId="0" applyNumberFormat="1" applyFill="1" applyBorder="1" applyAlignment="1">
      <alignment vertical="center"/>
    </xf>
    <xf numFmtId="3" fontId="0" fillId="0" borderId="9" xfId="0" applyNumberFormat="1" applyFill="1" applyBorder="1" applyAlignment="1">
      <alignment vertical="center"/>
    </xf>
    <xf numFmtId="164" fontId="0" fillId="0" borderId="21" xfId="0" applyNumberForma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9" fillId="0" borderId="28" xfId="0" applyFont="1" applyBorder="1"/>
    <xf numFmtId="0" fontId="9" fillId="0" borderId="2" xfId="0" applyFont="1" applyBorder="1"/>
    <xf numFmtId="0" fontId="0" fillId="0" borderId="13" xfId="0" applyBorder="1"/>
    <xf numFmtId="0" fontId="0" fillId="0" borderId="16" xfId="0" applyBorder="1"/>
    <xf numFmtId="0" fontId="0" fillId="0" borderId="0" xfId="0" applyFill="1"/>
    <xf numFmtId="0" fontId="6" fillId="0" borderId="0" xfId="0" applyFont="1" applyFill="1"/>
    <xf numFmtId="0" fontId="10" fillId="6" borderId="0" xfId="0" applyFont="1" applyFill="1"/>
    <xf numFmtId="0" fontId="9" fillId="0" borderId="0" xfId="0" applyFont="1" applyBorder="1"/>
    <xf numFmtId="0" fontId="9" fillId="0" borderId="29" xfId="0" applyFont="1" applyBorder="1"/>
    <xf numFmtId="0" fontId="15" fillId="0" borderId="17" xfId="0" applyFont="1" applyFill="1" applyBorder="1"/>
    <xf numFmtId="164" fontId="16" fillId="0" borderId="23" xfId="0" applyNumberFormat="1" applyFont="1" applyFill="1" applyBorder="1" applyAlignment="1">
      <alignment horizontal="center"/>
    </xf>
    <xf numFmtId="0" fontId="18" fillId="0" borderId="8" xfId="0" applyFont="1" applyBorder="1" applyAlignment="1">
      <alignment vertical="center"/>
    </xf>
    <xf numFmtId="3" fontId="18" fillId="0" borderId="8" xfId="0" applyNumberFormat="1" applyFont="1" applyBorder="1" applyAlignment="1">
      <alignment horizontal="right" vertical="center"/>
    </xf>
    <xf numFmtId="0" fontId="6" fillId="8" borderId="8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left" vertical="center"/>
    </xf>
    <xf numFmtId="0" fontId="19" fillId="7" borderId="8" xfId="0" applyFont="1" applyFill="1" applyBorder="1" applyAlignment="1">
      <alignment horizontal="center" vertical="center"/>
    </xf>
    <xf numFmtId="0" fontId="19" fillId="7" borderId="8" xfId="0" applyFont="1" applyFill="1" applyBorder="1" applyAlignment="1">
      <alignment horizontal="center" vertical="center" wrapText="1"/>
    </xf>
    <xf numFmtId="0" fontId="20" fillId="9" borderId="8" xfId="0" applyFont="1" applyFill="1" applyBorder="1" applyAlignment="1">
      <alignment vertical="center"/>
    </xf>
    <xf numFmtId="0" fontId="20" fillId="0" borderId="8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3" fontId="21" fillId="0" borderId="8" xfId="0" applyNumberFormat="1" applyFont="1" applyBorder="1" applyAlignment="1">
      <alignment horizontal="center" vertical="center"/>
    </xf>
    <xf numFmtId="9" fontId="21" fillId="0" borderId="8" xfId="0" applyNumberFormat="1" applyFont="1" applyBorder="1" applyAlignment="1">
      <alignment horizontal="center" vertical="center"/>
    </xf>
    <xf numFmtId="164" fontId="8" fillId="4" borderId="30" xfId="0" applyNumberFormat="1" applyFont="1" applyFill="1" applyBorder="1" applyAlignment="1">
      <alignment horizontal="center"/>
    </xf>
    <xf numFmtId="164" fontId="8" fillId="4" borderId="31" xfId="0" applyNumberFormat="1" applyFont="1" applyFill="1" applyBorder="1" applyAlignment="1">
      <alignment horizontal="center"/>
    </xf>
    <xf numFmtId="164" fontId="8" fillId="4" borderId="32" xfId="0" applyNumberFormat="1" applyFont="1" applyFill="1" applyBorder="1" applyAlignment="1">
      <alignment horizontal="center"/>
    </xf>
    <xf numFmtId="0" fontId="9" fillId="10" borderId="17" xfId="0" applyFont="1" applyFill="1" applyBorder="1" applyAlignment="1">
      <alignment horizontal="center" vertical="center"/>
    </xf>
    <xf numFmtId="164" fontId="1" fillId="10" borderId="23" xfId="0" applyNumberFormat="1" applyFont="1" applyFill="1" applyBorder="1" applyAlignment="1">
      <alignment horizontal="center" vertical="center"/>
    </xf>
    <xf numFmtId="0" fontId="0" fillId="11" borderId="0" xfId="0" applyFill="1"/>
    <xf numFmtId="0" fontId="0" fillId="11" borderId="8" xfId="0" applyFill="1" applyBorder="1"/>
    <xf numFmtId="0" fontId="10" fillId="11" borderId="0" xfId="0" applyFont="1" applyFill="1"/>
    <xf numFmtId="0" fontId="14" fillId="11" borderId="0" xfId="0" applyFont="1" applyFill="1" applyAlignment="1">
      <alignment horizontal="center"/>
    </xf>
    <xf numFmtId="0" fontId="13" fillId="11" borderId="0" xfId="0" applyFont="1" applyFill="1"/>
    <xf numFmtId="0" fontId="11" fillId="11" borderId="0" xfId="0" applyFont="1" applyFill="1"/>
    <xf numFmtId="0" fontId="6" fillId="11" borderId="0" xfId="0" applyFont="1" applyFill="1"/>
    <xf numFmtId="0" fontId="12" fillId="11" borderId="0" xfId="0" applyFont="1" applyFill="1"/>
    <xf numFmtId="0" fontId="11" fillId="11" borderId="0" xfId="0" applyFont="1" applyFill="1" applyAlignment="1">
      <alignment horizontal="center"/>
    </xf>
    <xf numFmtId="0" fontId="17" fillId="11" borderId="0" xfId="0" applyFont="1" applyFill="1" applyAlignment="1"/>
    <xf numFmtId="0" fontId="14" fillId="11" borderId="0" xfId="0" applyFont="1" applyFill="1" applyAlignment="1"/>
    <xf numFmtId="0" fontId="0" fillId="2" borderId="0" xfId="0" applyFill="1"/>
    <xf numFmtId="0" fontId="2" fillId="0" borderId="25" xfId="0" applyFont="1" applyBorder="1" applyAlignment="1">
      <alignment horizontal="center" vertical="center"/>
    </xf>
    <xf numFmtId="3" fontId="0" fillId="0" borderId="26" xfId="0" applyNumberFormat="1" applyBorder="1" applyAlignment="1">
      <alignment vertical="center"/>
    </xf>
    <xf numFmtId="3" fontId="0" fillId="0" borderId="33" xfId="0" applyNumberFormat="1" applyBorder="1" applyAlignment="1">
      <alignment vertical="center"/>
    </xf>
    <xf numFmtId="3" fontId="0" fillId="0" borderId="26" xfId="0" applyNumberFormat="1" applyFill="1" applyBorder="1" applyAlignment="1">
      <alignment vertical="center"/>
    </xf>
    <xf numFmtId="3" fontId="0" fillId="0" borderId="33" xfId="0" applyNumberFormat="1" applyFill="1" applyBorder="1" applyAlignment="1">
      <alignment vertical="center"/>
    </xf>
    <xf numFmtId="42" fontId="0" fillId="0" borderId="8" xfId="2" applyFont="1" applyBorder="1"/>
    <xf numFmtId="9" fontId="0" fillId="0" borderId="8" xfId="0" applyNumberFormat="1" applyBorder="1"/>
    <xf numFmtId="0" fontId="0" fillId="0" borderId="0" xfId="1" applyNumberFormat="1" applyFont="1"/>
    <xf numFmtId="0" fontId="0" fillId="0" borderId="0" xfId="0" applyNumberFormat="1"/>
    <xf numFmtId="3" fontId="6" fillId="11" borderId="0" xfId="0" applyNumberFormat="1" applyFont="1" applyFill="1"/>
    <xf numFmtId="9" fontId="0" fillId="0" borderId="8" xfId="2" applyNumberFormat="1" applyFont="1" applyBorder="1"/>
    <xf numFmtId="0" fontId="0" fillId="0" borderId="8" xfId="2" applyNumberFormat="1" applyFont="1" applyBorder="1"/>
    <xf numFmtId="8" fontId="0" fillId="0" borderId="8" xfId="0" applyNumberFormat="1" applyBorder="1"/>
    <xf numFmtId="42" fontId="0" fillId="0" borderId="0" xfId="2" applyFont="1"/>
    <xf numFmtId="42" fontId="0" fillId="0" borderId="8" xfId="2" applyFont="1" applyBorder="1" applyAlignment="1">
      <alignment horizontal="center" vertical="center"/>
    </xf>
    <xf numFmtId="3" fontId="18" fillId="0" borderId="8" xfId="0" applyNumberFormat="1" applyFont="1" applyBorder="1" applyAlignment="1">
      <alignment horizontal="center" vertical="center"/>
    </xf>
    <xf numFmtId="9" fontId="0" fillId="0" borderId="12" xfId="0" applyNumberFormat="1" applyBorder="1"/>
    <xf numFmtId="164" fontId="0" fillId="0" borderId="5" xfId="0" applyNumberFormat="1" applyBorder="1"/>
    <xf numFmtId="10" fontId="0" fillId="5" borderId="0" xfId="0" applyNumberFormat="1" applyFill="1"/>
    <xf numFmtId="9" fontId="0" fillId="0" borderId="0" xfId="0" applyNumberFormat="1"/>
    <xf numFmtId="0" fontId="19" fillId="7" borderId="8" xfId="0" applyFont="1" applyFill="1" applyBorder="1" applyAlignment="1">
      <alignment horizontal="center" vertical="center" wrapText="1"/>
    </xf>
    <xf numFmtId="0" fontId="22" fillId="11" borderId="15" xfId="0" applyFont="1" applyFill="1" applyBorder="1" applyAlignment="1">
      <alignment horizontal="center" vertical="center"/>
    </xf>
    <xf numFmtId="0" fontId="22" fillId="11" borderId="19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</cellXfs>
  <cellStyles count="3">
    <cellStyle name="Millares [0]" xfId="1" builtinId="6"/>
    <cellStyle name="Moneda [0]" xfId="2" builtinId="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2"/>
  <dimension ref="B4:H16"/>
  <sheetViews>
    <sheetView showGridLines="0" tabSelected="1" topLeftCell="A3" workbookViewId="0">
      <selection activeCell="B7" sqref="B7"/>
    </sheetView>
  </sheetViews>
  <sheetFormatPr baseColWidth="10" defaultColWidth="8.85546875" defaultRowHeight="15"/>
  <cols>
    <col min="1" max="1" width="2.5703125" customWidth="1"/>
    <col min="2" max="2" width="22.140625" bestFit="1" customWidth="1"/>
    <col min="3" max="3" width="13.140625" customWidth="1"/>
    <col min="4" max="4" width="11.140625" bestFit="1" customWidth="1"/>
    <col min="5" max="5" width="12.42578125" customWidth="1"/>
    <col min="6" max="6" width="13.5703125" customWidth="1"/>
    <col min="7" max="7" width="15.5703125" customWidth="1"/>
    <col min="8" max="8" width="14.5703125" bestFit="1" customWidth="1"/>
    <col min="9" max="9" width="23.28515625" bestFit="1" customWidth="1"/>
    <col min="10" max="10" width="16.42578125" bestFit="1" customWidth="1"/>
  </cols>
  <sheetData>
    <row r="4" spans="2:8" ht="27" customHeight="1">
      <c r="B4" s="108" t="s">
        <v>7</v>
      </c>
      <c r="C4" s="108" t="s">
        <v>45</v>
      </c>
      <c r="D4" s="65" t="s">
        <v>8</v>
      </c>
      <c r="E4" s="65" t="s">
        <v>9</v>
      </c>
      <c r="F4" s="65" t="s">
        <v>31</v>
      </c>
      <c r="G4" s="65" t="s">
        <v>32</v>
      </c>
      <c r="H4" s="65" t="s">
        <v>10</v>
      </c>
    </row>
    <row r="5" spans="2:8">
      <c r="B5" s="108"/>
      <c r="C5" s="108"/>
      <c r="D5" s="64" t="s">
        <v>3</v>
      </c>
      <c r="E5" s="64" t="s">
        <v>5</v>
      </c>
      <c r="F5" s="64" t="s">
        <v>11</v>
      </c>
      <c r="G5" s="64" t="s">
        <v>11</v>
      </c>
      <c r="H5" s="64" t="s">
        <v>12</v>
      </c>
    </row>
    <row r="6" spans="2:8">
      <c r="B6" s="66"/>
      <c r="C6" s="67"/>
      <c r="D6" s="68"/>
      <c r="E6" s="69"/>
      <c r="F6" s="68"/>
      <c r="G6" s="68"/>
      <c r="H6" s="70"/>
    </row>
    <row r="7" spans="2:8">
      <c r="B7" s="66"/>
      <c r="C7" s="67"/>
      <c r="D7" s="68"/>
      <c r="E7" s="69"/>
      <c r="F7" s="68"/>
      <c r="G7" s="68"/>
      <c r="H7" s="70"/>
    </row>
    <row r="8" spans="2:8">
      <c r="B8" s="66"/>
      <c r="C8" s="67"/>
      <c r="D8" s="68"/>
      <c r="E8" s="69"/>
      <c r="F8" s="68"/>
      <c r="G8" s="68"/>
      <c r="H8" s="70"/>
    </row>
    <row r="9" spans="2:8">
      <c r="B9" s="66"/>
      <c r="C9" s="67"/>
      <c r="D9" s="68"/>
      <c r="E9" s="69"/>
      <c r="F9" s="68"/>
      <c r="G9" s="68"/>
      <c r="H9" s="70"/>
    </row>
    <row r="12" spans="2:8" ht="30">
      <c r="B12" s="108" t="s">
        <v>7</v>
      </c>
      <c r="C12" s="65" t="s">
        <v>8</v>
      </c>
      <c r="D12" s="65" t="s">
        <v>9</v>
      </c>
      <c r="E12" s="65" t="s">
        <v>31</v>
      </c>
      <c r="F12" s="65" t="s">
        <v>32</v>
      </c>
      <c r="G12" s="65" t="s">
        <v>10</v>
      </c>
    </row>
    <row r="13" spans="2:8">
      <c r="B13" s="108"/>
      <c r="C13" s="64" t="s">
        <v>3</v>
      </c>
      <c r="D13" s="64" t="s">
        <v>5</v>
      </c>
      <c r="E13" s="64" t="s">
        <v>11</v>
      </c>
      <c r="F13" s="64" t="s">
        <v>11</v>
      </c>
      <c r="G13" s="64" t="s">
        <v>12</v>
      </c>
    </row>
    <row r="14" spans="2:8">
      <c r="B14" s="66" t="s">
        <v>56</v>
      </c>
      <c r="C14" s="67">
        <v>1</v>
      </c>
      <c r="D14" s="69">
        <v>80000</v>
      </c>
      <c r="E14" s="69">
        <v>0</v>
      </c>
      <c r="F14" s="68"/>
      <c r="G14" s="68">
        <v>0</v>
      </c>
    </row>
    <row r="15" spans="2:8">
      <c r="B15" s="66" t="s">
        <v>57</v>
      </c>
      <c r="C15" s="67">
        <v>1</v>
      </c>
      <c r="D15" s="69">
        <v>200000</v>
      </c>
      <c r="E15" s="69">
        <v>40</v>
      </c>
      <c r="F15" s="68">
        <v>40</v>
      </c>
      <c r="G15" s="68">
        <v>0</v>
      </c>
    </row>
    <row r="16" spans="2:8">
      <c r="B16" s="66" t="s">
        <v>58</v>
      </c>
      <c r="C16" s="67">
        <v>1</v>
      </c>
      <c r="D16" s="69">
        <v>100000</v>
      </c>
      <c r="E16" s="69">
        <v>10</v>
      </c>
      <c r="F16" s="68">
        <v>10</v>
      </c>
      <c r="G16" s="68">
        <v>0</v>
      </c>
    </row>
  </sheetData>
  <mergeCells count="3">
    <mergeCell ref="B4:B5"/>
    <mergeCell ref="C4:C5"/>
    <mergeCell ref="B12:B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"/>
  <dimension ref="B2:P18"/>
  <sheetViews>
    <sheetView showGridLines="0" workbookViewId="0">
      <selection activeCell="C26" sqref="C26"/>
    </sheetView>
  </sheetViews>
  <sheetFormatPr baseColWidth="10" defaultColWidth="8.85546875" defaultRowHeight="15"/>
  <cols>
    <col min="1" max="1" width="3.85546875" customWidth="1"/>
    <col min="2" max="2" width="19.140625" bestFit="1" customWidth="1"/>
    <col min="4" max="4" width="17.28515625" bestFit="1" customWidth="1"/>
    <col min="5" max="13" width="13.5703125" bestFit="1" customWidth="1"/>
    <col min="16" max="16" width="15.5703125" customWidth="1"/>
  </cols>
  <sheetData>
    <row r="2" spans="2:16">
      <c r="B2" s="60" t="s">
        <v>41</v>
      </c>
      <c r="C2" s="64">
        <v>1</v>
      </c>
      <c r="D2" s="64">
        <v>2</v>
      </c>
      <c r="E2" s="64">
        <v>3</v>
      </c>
      <c r="F2" s="64">
        <v>4</v>
      </c>
      <c r="G2" s="64">
        <v>5</v>
      </c>
      <c r="H2" s="64">
        <v>6</v>
      </c>
      <c r="I2" s="64">
        <v>7</v>
      </c>
      <c r="J2" s="64">
        <v>8</v>
      </c>
      <c r="K2" s="64">
        <v>9</v>
      </c>
      <c r="L2" s="64">
        <v>10</v>
      </c>
    </row>
    <row r="3" spans="2:16">
      <c r="B3" s="60" t="s">
        <v>55</v>
      </c>
      <c r="C3" s="61">
        <v>1000</v>
      </c>
      <c r="D3" s="61">
        <v>1000</v>
      </c>
      <c r="E3" s="61">
        <f>D3+D3*20%</f>
        <v>1200</v>
      </c>
      <c r="F3" s="61">
        <f>E3+E3*5</f>
        <v>7200</v>
      </c>
      <c r="G3" s="61">
        <f>F3+F3*2%</f>
        <v>7344</v>
      </c>
      <c r="H3" s="61">
        <f t="shared" ref="H3:L3" si="0">G3+G3*2%</f>
        <v>7490.88</v>
      </c>
      <c r="I3" s="61">
        <f t="shared" si="0"/>
        <v>7640.6976000000004</v>
      </c>
      <c r="J3" s="61">
        <f t="shared" si="0"/>
        <v>7793.5115520000008</v>
      </c>
      <c r="K3" s="61">
        <f t="shared" si="0"/>
        <v>7949.3817830400012</v>
      </c>
      <c r="L3" s="61">
        <f t="shared" si="0"/>
        <v>8108.3694187008014</v>
      </c>
    </row>
    <row r="6" spans="2:16">
      <c r="B6" s="111" t="s">
        <v>55</v>
      </c>
      <c r="C6" s="112" t="s">
        <v>0</v>
      </c>
      <c r="D6" s="112" t="s">
        <v>1</v>
      </c>
      <c r="E6" s="112"/>
      <c r="F6" s="112"/>
      <c r="G6" s="112"/>
      <c r="H6" s="112"/>
      <c r="I6" s="112"/>
      <c r="J6" s="112"/>
      <c r="K6" s="112"/>
      <c r="L6" s="112"/>
      <c r="M6" s="112"/>
    </row>
    <row r="7" spans="2:16">
      <c r="B7" s="111"/>
      <c r="C7" s="112"/>
      <c r="D7" s="37">
        <v>1</v>
      </c>
      <c r="E7" s="37">
        <v>2</v>
      </c>
      <c r="F7" s="37">
        <v>3</v>
      </c>
      <c r="G7" s="37">
        <v>4</v>
      </c>
      <c r="H7" s="37">
        <v>5</v>
      </c>
      <c r="I7" s="37">
        <v>6</v>
      </c>
      <c r="J7" s="37">
        <v>7</v>
      </c>
      <c r="K7" s="37">
        <v>8</v>
      </c>
      <c r="L7" s="37">
        <v>9</v>
      </c>
      <c r="M7" s="37">
        <v>10</v>
      </c>
    </row>
    <row r="8" spans="2:16">
      <c r="B8" s="36" t="s">
        <v>2</v>
      </c>
      <c r="C8" s="35" t="s">
        <v>3</v>
      </c>
      <c r="D8" s="61">
        <f>C3</f>
        <v>1000</v>
      </c>
      <c r="E8" s="61">
        <f t="shared" ref="E8:M8" si="1">D3</f>
        <v>1000</v>
      </c>
      <c r="F8" s="61">
        <f t="shared" si="1"/>
        <v>1200</v>
      </c>
      <c r="G8" s="61">
        <f t="shared" si="1"/>
        <v>7200</v>
      </c>
      <c r="H8" s="61">
        <f t="shared" si="1"/>
        <v>7344</v>
      </c>
      <c r="I8" s="61">
        <f t="shared" si="1"/>
        <v>7490.88</v>
      </c>
      <c r="J8" s="61">
        <f t="shared" si="1"/>
        <v>7640.6976000000004</v>
      </c>
      <c r="K8" s="61">
        <f t="shared" si="1"/>
        <v>7793.5115520000008</v>
      </c>
      <c r="L8" s="61">
        <f t="shared" si="1"/>
        <v>7949.3817830400012</v>
      </c>
      <c r="M8" s="61">
        <f t="shared" si="1"/>
        <v>8108.3694187008014</v>
      </c>
    </row>
    <row r="9" spans="2:16">
      <c r="B9" s="36" t="s">
        <v>4</v>
      </c>
      <c r="C9" s="35" t="s">
        <v>5</v>
      </c>
      <c r="D9" s="102">
        <v>100</v>
      </c>
      <c r="E9" s="102">
        <v>100</v>
      </c>
      <c r="F9" s="102">
        <v>100</v>
      </c>
      <c r="G9" s="102">
        <v>110</v>
      </c>
      <c r="H9" s="102">
        <v>110</v>
      </c>
      <c r="I9" s="102">
        <v>110</v>
      </c>
      <c r="J9" s="102">
        <v>110</v>
      </c>
      <c r="K9" s="102">
        <v>110</v>
      </c>
      <c r="L9" s="102">
        <v>110</v>
      </c>
      <c r="M9" s="102">
        <v>110</v>
      </c>
      <c r="N9" s="87"/>
    </row>
    <row r="10" spans="2:16">
      <c r="B10" s="36" t="s">
        <v>6</v>
      </c>
      <c r="C10" s="35" t="s">
        <v>5</v>
      </c>
      <c r="D10" s="102">
        <v>30</v>
      </c>
      <c r="E10" s="102">
        <v>30</v>
      </c>
      <c r="F10" s="102">
        <v>30</v>
      </c>
      <c r="G10" s="102">
        <v>30</v>
      </c>
      <c r="H10" s="102">
        <v>30</v>
      </c>
      <c r="I10" s="102">
        <v>30</v>
      </c>
      <c r="J10" s="102">
        <v>30</v>
      </c>
      <c r="K10" s="102">
        <v>30</v>
      </c>
      <c r="L10" s="102">
        <v>30</v>
      </c>
      <c r="M10" s="102">
        <v>30</v>
      </c>
      <c r="N10" s="87"/>
    </row>
    <row r="11" spans="2:16">
      <c r="B11" s="36" t="s">
        <v>54</v>
      </c>
      <c r="C11" s="35" t="s">
        <v>5</v>
      </c>
      <c r="D11" s="102">
        <f>D8*D9</f>
        <v>100000</v>
      </c>
      <c r="E11" s="102">
        <f t="shared" ref="E11:M11" si="2">E8*E9</f>
        <v>100000</v>
      </c>
      <c r="F11" s="102">
        <f t="shared" si="2"/>
        <v>120000</v>
      </c>
      <c r="G11" s="102">
        <f t="shared" si="2"/>
        <v>792000</v>
      </c>
      <c r="H11" s="102">
        <f t="shared" si="2"/>
        <v>807840</v>
      </c>
      <c r="I11" s="102">
        <f t="shared" si="2"/>
        <v>823996.8</v>
      </c>
      <c r="J11" s="102">
        <f t="shared" si="2"/>
        <v>840476.73600000003</v>
      </c>
      <c r="K11" s="102">
        <f t="shared" si="2"/>
        <v>857286.27072000015</v>
      </c>
      <c r="L11" s="102">
        <f t="shared" si="2"/>
        <v>874431.99613440013</v>
      </c>
      <c r="M11" s="102">
        <f t="shared" si="2"/>
        <v>891920.63605708815</v>
      </c>
      <c r="N11" s="76"/>
    </row>
    <row r="12" spans="2:16">
      <c r="B12" s="36" t="s">
        <v>53</v>
      </c>
      <c r="C12" s="35" t="s">
        <v>5</v>
      </c>
      <c r="D12" s="93">
        <f>D8*D10</f>
        <v>30000</v>
      </c>
      <c r="E12" s="93">
        <f t="shared" ref="E12:M12" si="3">E8*E10</f>
        <v>30000</v>
      </c>
      <c r="F12" s="93">
        <f t="shared" si="3"/>
        <v>36000</v>
      </c>
      <c r="G12" s="93">
        <f t="shared" si="3"/>
        <v>216000</v>
      </c>
      <c r="H12" s="93">
        <f t="shared" si="3"/>
        <v>220320</v>
      </c>
      <c r="I12" s="93">
        <f t="shared" si="3"/>
        <v>224726.39999999999</v>
      </c>
      <c r="J12" s="93">
        <f t="shared" si="3"/>
        <v>229220.92800000001</v>
      </c>
      <c r="K12" s="93">
        <f t="shared" si="3"/>
        <v>233805.34656000003</v>
      </c>
      <c r="L12" s="93">
        <f t="shared" si="3"/>
        <v>238481.45349120002</v>
      </c>
      <c r="M12" s="93">
        <f t="shared" si="3"/>
        <v>243251.08256102403</v>
      </c>
      <c r="N12" s="76"/>
    </row>
    <row r="13" spans="2:16">
      <c r="B13" s="25"/>
      <c r="C13" s="25"/>
      <c r="D13" s="26"/>
      <c r="E13" s="26"/>
      <c r="F13" s="26"/>
      <c r="G13" s="26"/>
      <c r="H13" s="26"/>
      <c r="I13" s="26"/>
      <c r="J13" s="26"/>
      <c r="K13" s="26"/>
      <c r="L13" s="26"/>
      <c r="M13" s="26"/>
    </row>
    <row r="15" spans="2:16">
      <c r="B15" s="113" t="s">
        <v>42</v>
      </c>
      <c r="C15" s="114" t="s">
        <v>0</v>
      </c>
      <c r="D15" s="114" t="s">
        <v>1</v>
      </c>
      <c r="E15" s="114"/>
      <c r="F15" s="114"/>
      <c r="G15" s="114"/>
      <c r="H15" s="114"/>
      <c r="I15" s="114"/>
      <c r="J15" s="114"/>
      <c r="K15" s="114"/>
      <c r="L15" s="114"/>
      <c r="M15" s="114"/>
    </row>
    <row r="16" spans="2:16">
      <c r="B16" s="113"/>
      <c r="C16" s="114"/>
      <c r="D16" s="62">
        <v>1</v>
      </c>
      <c r="E16" s="62">
        <v>2</v>
      </c>
      <c r="F16" s="62">
        <v>3</v>
      </c>
      <c r="G16" s="62">
        <v>4</v>
      </c>
      <c r="H16" s="62">
        <v>5</v>
      </c>
      <c r="I16" s="62">
        <v>6</v>
      </c>
      <c r="J16" s="62">
        <v>7</v>
      </c>
      <c r="K16" s="62">
        <v>8</v>
      </c>
      <c r="L16" s="62">
        <v>9</v>
      </c>
      <c r="M16" s="62">
        <v>10</v>
      </c>
      <c r="P16" s="77" t="s">
        <v>34</v>
      </c>
    </row>
    <row r="17" spans="2:16">
      <c r="B17" s="63" t="s">
        <v>43</v>
      </c>
      <c r="C17" s="62" t="s">
        <v>3</v>
      </c>
      <c r="D17" s="103">
        <f>D11</f>
        <v>100000</v>
      </c>
      <c r="E17" s="103">
        <f t="shared" ref="E17:M17" si="4">E11</f>
        <v>100000</v>
      </c>
      <c r="F17" s="103">
        <f t="shared" si="4"/>
        <v>120000</v>
      </c>
      <c r="G17" s="103">
        <f t="shared" si="4"/>
        <v>792000</v>
      </c>
      <c r="H17" s="103">
        <f t="shared" si="4"/>
        <v>807840</v>
      </c>
      <c r="I17" s="103">
        <f t="shared" si="4"/>
        <v>823996.8</v>
      </c>
      <c r="J17" s="103">
        <f t="shared" si="4"/>
        <v>840476.73600000003</v>
      </c>
      <c r="K17" s="103">
        <f t="shared" si="4"/>
        <v>857286.27072000015</v>
      </c>
      <c r="L17" s="103">
        <f t="shared" si="4"/>
        <v>874431.99613440013</v>
      </c>
      <c r="M17" s="103">
        <f t="shared" si="4"/>
        <v>891920.63605708815</v>
      </c>
      <c r="N17" s="76"/>
      <c r="P17" s="109" t="e">
        <f>SUM(N11:N12,#REF!,#REF!,#REF!,N17:N18)</f>
        <v>#REF!</v>
      </c>
    </row>
    <row r="18" spans="2:16">
      <c r="B18" s="63" t="s">
        <v>44</v>
      </c>
      <c r="C18" s="62" t="s">
        <v>5</v>
      </c>
      <c r="D18" s="1">
        <f>D12</f>
        <v>30000</v>
      </c>
      <c r="E18" s="1">
        <f t="shared" ref="E18:M18" si="5">E12</f>
        <v>30000</v>
      </c>
      <c r="F18" s="1">
        <f t="shared" si="5"/>
        <v>36000</v>
      </c>
      <c r="G18" s="1">
        <f t="shared" si="5"/>
        <v>216000</v>
      </c>
      <c r="H18" s="1">
        <f t="shared" si="5"/>
        <v>220320</v>
      </c>
      <c r="I18" s="1">
        <f t="shared" si="5"/>
        <v>224726.39999999999</v>
      </c>
      <c r="J18" s="1">
        <f t="shared" si="5"/>
        <v>229220.92800000001</v>
      </c>
      <c r="K18" s="1">
        <f t="shared" si="5"/>
        <v>233805.34656000003</v>
      </c>
      <c r="L18" s="1">
        <f t="shared" si="5"/>
        <v>238481.45349120002</v>
      </c>
      <c r="M18" s="1">
        <f t="shared" si="5"/>
        <v>243251.08256102403</v>
      </c>
      <c r="N18" s="76"/>
      <c r="P18" s="110"/>
    </row>
  </sheetData>
  <mergeCells count="7">
    <mergeCell ref="P17:P18"/>
    <mergeCell ref="B6:B7"/>
    <mergeCell ref="C6:C7"/>
    <mergeCell ref="D6:M6"/>
    <mergeCell ref="B15:B16"/>
    <mergeCell ref="C15:C16"/>
    <mergeCell ref="D15:M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T41"/>
  <sheetViews>
    <sheetView showGridLines="0" topLeftCell="A7" zoomScale="70" zoomScaleNormal="70" workbookViewId="0">
      <selection activeCell="I23" sqref="I23"/>
    </sheetView>
  </sheetViews>
  <sheetFormatPr baseColWidth="10" defaultRowHeight="15"/>
  <cols>
    <col min="1" max="1" width="29.28515625" bestFit="1" customWidth="1"/>
    <col min="2" max="2" width="12.5703125" customWidth="1"/>
    <col min="3" max="3" width="13.28515625" customWidth="1"/>
    <col min="4" max="4" width="12.140625" bestFit="1" customWidth="1"/>
    <col min="6" max="6" width="16.7109375" customWidth="1"/>
    <col min="7" max="7" width="14.28515625" bestFit="1" customWidth="1"/>
    <col min="8" max="13" width="13.140625" bestFit="1" customWidth="1"/>
    <col min="14" max="14" width="13.42578125" customWidth="1"/>
    <col min="15" max="15" width="13.140625" bestFit="1" customWidth="1"/>
    <col min="16" max="18" width="13.42578125" customWidth="1"/>
    <col min="19" max="19" width="13.42578125" bestFit="1" customWidth="1"/>
  </cols>
  <sheetData>
    <row r="1" spans="1:20" ht="15.75" thickBot="1"/>
    <row r="2" spans="1:20" ht="38.25">
      <c r="A2" s="115" t="s">
        <v>13</v>
      </c>
      <c r="B2" s="4" t="s">
        <v>8</v>
      </c>
      <c r="C2" s="4" t="s">
        <v>14</v>
      </c>
      <c r="D2" s="4" t="s">
        <v>15</v>
      </c>
      <c r="E2" s="4" t="s">
        <v>16</v>
      </c>
      <c r="F2" s="31" t="s">
        <v>17</v>
      </c>
      <c r="G2" s="117" t="s">
        <v>18</v>
      </c>
      <c r="H2" s="118"/>
      <c r="I2" s="118"/>
      <c r="J2" s="118"/>
      <c r="K2" s="118"/>
      <c r="L2" s="118"/>
      <c r="M2" s="118"/>
      <c r="N2" s="118"/>
      <c r="O2" s="118"/>
      <c r="P2" s="118"/>
      <c r="Q2" s="119"/>
      <c r="R2" s="119"/>
      <c r="S2" s="120"/>
    </row>
    <row r="3" spans="1:20" ht="18.75" thickBot="1">
      <c r="A3" s="116"/>
      <c r="B3" s="13" t="s">
        <v>19</v>
      </c>
      <c r="C3" s="13" t="s">
        <v>20</v>
      </c>
      <c r="D3" s="13" t="s">
        <v>21</v>
      </c>
      <c r="E3" s="13" t="s">
        <v>21</v>
      </c>
      <c r="F3" s="32" t="s">
        <v>22</v>
      </c>
      <c r="G3" s="39">
        <v>0</v>
      </c>
      <c r="H3" s="14">
        <v>1</v>
      </c>
      <c r="I3" s="14">
        <v>2</v>
      </c>
      <c r="J3" s="14">
        <v>3</v>
      </c>
      <c r="K3" s="14">
        <v>4</v>
      </c>
      <c r="L3" s="14">
        <v>5</v>
      </c>
      <c r="M3" s="14">
        <v>6</v>
      </c>
      <c r="N3" s="14">
        <v>7</v>
      </c>
      <c r="O3" s="14">
        <v>8</v>
      </c>
      <c r="P3" s="14">
        <v>9</v>
      </c>
      <c r="Q3" s="88">
        <v>10</v>
      </c>
      <c r="R3" s="88">
        <v>11</v>
      </c>
      <c r="S3" s="15">
        <v>12</v>
      </c>
      <c r="T3" s="78" t="s">
        <v>36</v>
      </c>
    </row>
    <row r="4" spans="1:20">
      <c r="A4" s="27" t="str">
        <f>Activos!B14</f>
        <v>Terrenos</v>
      </c>
      <c r="B4" s="27">
        <f>Activos!C14</f>
        <v>1</v>
      </c>
      <c r="C4" s="27">
        <f>Activos!D14</f>
        <v>80000</v>
      </c>
      <c r="D4" s="27">
        <f>Activos!E14</f>
        <v>0</v>
      </c>
      <c r="E4" s="27">
        <f>Activos!F14</f>
        <v>0</v>
      </c>
      <c r="F4" s="27">
        <f>Activos!G14</f>
        <v>0</v>
      </c>
      <c r="G4" s="10">
        <f>C4</f>
        <v>80000</v>
      </c>
      <c r="H4" s="11"/>
      <c r="I4" s="11"/>
      <c r="J4" s="11"/>
      <c r="K4" s="11"/>
      <c r="L4" s="11"/>
      <c r="M4" s="11"/>
      <c r="N4" s="9"/>
      <c r="O4" s="10"/>
      <c r="P4" s="11"/>
      <c r="Q4" s="89"/>
      <c r="R4" s="89"/>
      <c r="S4" s="12"/>
      <c r="T4" s="78"/>
    </row>
    <row r="5" spans="1:20">
      <c r="A5" s="27" t="str">
        <f>Activos!B15</f>
        <v>Construcciones</v>
      </c>
      <c r="B5" s="27">
        <f>Activos!C15</f>
        <v>1</v>
      </c>
      <c r="C5" s="27">
        <f>Activos!D15</f>
        <v>200000</v>
      </c>
      <c r="D5" s="27">
        <f>Activos!E15</f>
        <v>40</v>
      </c>
      <c r="E5" s="27">
        <f>Activos!F15</f>
        <v>40</v>
      </c>
      <c r="F5" s="27">
        <f>Activos!G15</f>
        <v>0</v>
      </c>
      <c r="G5" s="10">
        <f>C5</f>
        <v>200000</v>
      </c>
      <c r="H5" s="2"/>
      <c r="I5" s="2"/>
      <c r="J5" s="2"/>
      <c r="K5" s="2"/>
      <c r="L5" s="2"/>
      <c r="M5" s="2"/>
      <c r="N5" s="25"/>
      <c r="O5" s="2"/>
      <c r="P5" s="2"/>
      <c r="Q5" s="90"/>
      <c r="R5" s="90"/>
      <c r="S5" s="40"/>
      <c r="T5" s="78"/>
    </row>
    <row r="6" spans="1:20">
      <c r="A6" s="27" t="str">
        <f>Activos!B16</f>
        <v>Maquinarias</v>
      </c>
      <c r="B6" s="27">
        <f>Activos!C16</f>
        <v>1</v>
      </c>
      <c r="C6" s="27">
        <f>Activos!D16</f>
        <v>100000</v>
      </c>
      <c r="D6" s="27">
        <f>Activos!E16</f>
        <v>10</v>
      </c>
      <c r="E6" s="27">
        <f>Activos!F16</f>
        <v>10</v>
      </c>
      <c r="F6" s="27">
        <f>Activos!G16</f>
        <v>0</v>
      </c>
      <c r="G6" s="10">
        <f>C6</f>
        <v>100000</v>
      </c>
      <c r="H6" s="2"/>
      <c r="I6" s="2"/>
      <c r="J6" s="2"/>
      <c r="K6" s="2"/>
      <c r="L6" s="2"/>
      <c r="M6" s="2"/>
      <c r="N6" s="30"/>
      <c r="O6" s="2"/>
      <c r="P6" s="2"/>
      <c r="Q6" s="90"/>
      <c r="R6" s="90"/>
      <c r="S6" s="40"/>
      <c r="T6" s="78"/>
    </row>
    <row r="7" spans="1:20">
      <c r="A7" s="27"/>
      <c r="B7" s="9"/>
      <c r="C7" s="9"/>
      <c r="D7" s="9"/>
      <c r="E7" s="9"/>
      <c r="F7" s="33"/>
      <c r="G7" s="10"/>
      <c r="H7" s="2"/>
      <c r="I7" s="2"/>
      <c r="J7" s="2"/>
      <c r="K7" s="2"/>
      <c r="L7" s="2"/>
      <c r="M7" s="2"/>
      <c r="N7" s="2"/>
      <c r="O7" s="2"/>
      <c r="P7" s="2"/>
      <c r="Q7" s="90"/>
      <c r="R7" s="90"/>
      <c r="S7" s="8"/>
      <c r="T7" s="78"/>
    </row>
    <row r="8" spans="1:20" ht="15.75" thickBot="1">
      <c r="A8" s="23" t="s">
        <v>30</v>
      </c>
      <c r="B8" s="5"/>
      <c r="C8" s="6"/>
      <c r="D8" s="7"/>
      <c r="E8" s="7"/>
      <c r="F8" s="34"/>
      <c r="G8" s="29">
        <f t="shared" ref="G8:S8" si="0">SUM(G4:G7)</f>
        <v>380000</v>
      </c>
      <c r="H8" s="19">
        <f t="shared" si="0"/>
        <v>0</v>
      </c>
      <c r="I8" s="19">
        <f t="shared" si="0"/>
        <v>0</v>
      </c>
      <c r="J8" s="19">
        <f t="shared" si="0"/>
        <v>0</v>
      </c>
      <c r="K8" s="19">
        <f t="shared" si="0"/>
        <v>0</v>
      </c>
      <c r="L8" s="19">
        <f t="shared" si="0"/>
        <v>0</v>
      </c>
      <c r="M8" s="19">
        <f t="shared" si="0"/>
        <v>0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ref="Q8" si="1">SUM(Q4:Q7)</f>
        <v>0</v>
      </c>
      <c r="R8" s="19">
        <f t="shared" ref="R8" si="2">SUM(R4:R7)</f>
        <v>0</v>
      </c>
      <c r="S8" s="41">
        <f t="shared" si="0"/>
        <v>0</v>
      </c>
      <c r="T8" s="78"/>
    </row>
    <row r="9" spans="1:20" ht="7.5" customHeight="1">
      <c r="T9" s="79">
        <f>SUM(T4:T8)</f>
        <v>0</v>
      </c>
    </row>
    <row r="10" spans="1:20" ht="15.75" thickBot="1"/>
    <row r="11" spans="1:20" ht="38.25">
      <c r="A11" s="115" t="s">
        <v>13</v>
      </c>
      <c r="B11" s="4" t="s">
        <v>8</v>
      </c>
      <c r="C11" s="4" t="s">
        <v>14</v>
      </c>
      <c r="D11" s="4" t="s">
        <v>15</v>
      </c>
      <c r="E11" s="4" t="s">
        <v>16</v>
      </c>
      <c r="F11" s="31" t="s">
        <v>17</v>
      </c>
      <c r="G11" s="117" t="s">
        <v>23</v>
      </c>
      <c r="H11" s="118"/>
      <c r="I11" s="118"/>
      <c r="J11" s="118"/>
      <c r="K11" s="118"/>
      <c r="L11" s="118"/>
      <c r="M11" s="118"/>
      <c r="N11" s="118"/>
      <c r="O11" s="118"/>
      <c r="P11" s="118"/>
      <c r="Q11" s="119"/>
      <c r="R11" s="119"/>
      <c r="S11" s="120"/>
    </row>
    <row r="12" spans="1:20" ht="18.75" thickBot="1">
      <c r="A12" s="116"/>
      <c r="B12" s="13" t="s">
        <v>19</v>
      </c>
      <c r="C12" s="13" t="s">
        <v>20</v>
      </c>
      <c r="D12" s="13" t="s">
        <v>21</v>
      </c>
      <c r="E12" s="13" t="s">
        <v>21</v>
      </c>
      <c r="F12" s="32" t="s">
        <v>22</v>
      </c>
      <c r="G12" s="39">
        <v>0</v>
      </c>
      <c r="H12" s="14">
        <v>1</v>
      </c>
      <c r="I12" s="14">
        <v>2</v>
      </c>
      <c r="J12" s="14">
        <v>3</v>
      </c>
      <c r="K12" s="14">
        <v>4</v>
      </c>
      <c r="L12" s="18">
        <v>5</v>
      </c>
      <c r="M12" s="14">
        <v>6</v>
      </c>
      <c r="N12" s="14">
        <v>7</v>
      </c>
      <c r="O12" s="14">
        <v>8</v>
      </c>
      <c r="P12" s="14">
        <v>9</v>
      </c>
      <c r="Q12" s="88">
        <v>10</v>
      </c>
      <c r="R12" s="88">
        <v>11</v>
      </c>
      <c r="S12" s="15">
        <v>12</v>
      </c>
      <c r="T12" s="78" t="s">
        <v>36</v>
      </c>
    </row>
    <row r="13" spans="1:20">
      <c r="A13" s="27" t="str">
        <f>A4</f>
        <v>Terrenos</v>
      </c>
      <c r="B13" s="27">
        <f t="shared" ref="B13:F13" si="3">B4</f>
        <v>1</v>
      </c>
      <c r="C13" s="27">
        <f t="shared" si="3"/>
        <v>80000</v>
      </c>
      <c r="D13" s="27">
        <f t="shared" si="3"/>
        <v>0</v>
      </c>
      <c r="E13" s="27">
        <f t="shared" si="3"/>
        <v>0</v>
      </c>
      <c r="F13" s="27">
        <f t="shared" si="3"/>
        <v>0</v>
      </c>
      <c r="G13" s="42"/>
      <c r="H13" s="17"/>
      <c r="I13" s="17"/>
      <c r="J13" s="17"/>
      <c r="K13" s="17"/>
      <c r="L13" s="17"/>
      <c r="M13" s="17"/>
      <c r="N13" s="17"/>
      <c r="O13" s="17"/>
      <c r="P13" s="17"/>
      <c r="Q13" s="91"/>
      <c r="R13" s="91"/>
      <c r="S13" s="43"/>
      <c r="T13" s="78"/>
    </row>
    <row r="14" spans="1:20">
      <c r="A14" s="27" t="str">
        <f t="shared" ref="A14:F15" si="4">A5</f>
        <v>Construcciones</v>
      </c>
      <c r="B14" s="27">
        <f t="shared" si="4"/>
        <v>1</v>
      </c>
      <c r="C14" s="27">
        <f t="shared" si="4"/>
        <v>200000</v>
      </c>
      <c r="D14" s="27">
        <f t="shared" si="4"/>
        <v>40</v>
      </c>
      <c r="E14" s="27">
        <f t="shared" si="4"/>
        <v>40</v>
      </c>
      <c r="F14" s="27">
        <f t="shared" si="4"/>
        <v>0</v>
      </c>
      <c r="G14" s="44"/>
      <c r="H14" s="44">
        <f t="shared" ref="H14:Q14" si="5">$C$14/$D$14</f>
        <v>5000</v>
      </c>
      <c r="I14" s="44">
        <f t="shared" si="5"/>
        <v>5000</v>
      </c>
      <c r="J14" s="44">
        <f t="shared" si="5"/>
        <v>5000</v>
      </c>
      <c r="K14" s="44">
        <f t="shared" si="5"/>
        <v>5000</v>
      </c>
      <c r="L14" s="44">
        <f t="shared" si="5"/>
        <v>5000</v>
      </c>
      <c r="M14" s="44">
        <f t="shared" si="5"/>
        <v>5000</v>
      </c>
      <c r="N14" s="44">
        <f t="shared" si="5"/>
        <v>5000</v>
      </c>
      <c r="O14" s="44">
        <f t="shared" si="5"/>
        <v>5000</v>
      </c>
      <c r="P14" s="44">
        <f t="shared" si="5"/>
        <v>5000</v>
      </c>
      <c r="Q14" s="44">
        <f t="shared" si="5"/>
        <v>5000</v>
      </c>
      <c r="R14" s="92"/>
      <c r="S14" s="45"/>
      <c r="T14" s="78"/>
    </row>
    <row r="15" spans="1:20">
      <c r="A15" s="27" t="str">
        <f t="shared" si="4"/>
        <v>Maquinarias</v>
      </c>
      <c r="B15" s="27">
        <f t="shared" si="4"/>
        <v>1</v>
      </c>
      <c r="C15" s="27">
        <f t="shared" si="4"/>
        <v>100000</v>
      </c>
      <c r="D15" s="27">
        <f t="shared" si="4"/>
        <v>10</v>
      </c>
      <c r="E15" s="27">
        <f t="shared" si="4"/>
        <v>10</v>
      </c>
      <c r="F15" s="27">
        <f t="shared" si="4"/>
        <v>0</v>
      </c>
      <c r="G15" s="44"/>
      <c r="H15" s="44">
        <f t="shared" ref="H15:Q15" si="6">$C$15/$D$15</f>
        <v>10000</v>
      </c>
      <c r="I15" s="44">
        <f t="shared" si="6"/>
        <v>10000</v>
      </c>
      <c r="J15" s="44">
        <f t="shared" si="6"/>
        <v>10000</v>
      </c>
      <c r="K15" s="44">
        <f t="shared" si="6"/>
        <v>10000</v>
      </c>
      <c r="L15" s="44">
        <f t="shared" si="6"/>
        <v>10000</v>
      </c>
      <c r="M15" s="44">
        <f t="shared" si="6"/>
        <v>10000</v>
      </c>
      <c r="N15" s="44">
        <f t="shared" si="6"/>
        <v>10000</v>
      </c>
      <c r="O15" s="44">
        <f t="shared" si="6"/>
        <v>10000</v>
      </c>
      <c r="P15" s="44">
        <f t="shared" si="6"/>
        <v>10000</v>
      </c>
      <c r="Q15" s="44">
        <f t="shared" si="6"/>
        <v>10000</v>
      </c>
      <c r="R15" s="92"/>
      <c r="S15" s="45"/>
      <c r="T15" s="78"/>
    </row>
    <row r="16" spans="1:20">
      <c r="A16" s="27"/>
      <c r="B16" s="9"/>
      <c r="C16" s="9"/>
      <c r="D16" s="9"/>
      <c r="E16" s="9"/>
      <c r="F16" s="33"/>
      <c r="G16" s="44"/>
      <c r="H16" s="3"/>
      <c r="I16" s="3"/>
      <c r="J16" s="3"/>
      <c r="K16" s="3"/>
      <c r="L16" s="3"/>
      <c r="M16" s="3"/>
      <c r="N16" s="3"/>
      <c r="O16" s="3"/>
      <c r="P16" s="3"/>
      <c r="Q16" s="92"/>
      <c r="R16" s="92"/>
      <c r="S16" s="45"/>
      <c r="T16" s="78"/>
    </row>
    <row r="17" spans="1:20" ht="15.75" thickBot="1">
      <c r="A17" s="24" t="s">
        <v>30</v>
      </c>
      <c r="B17" s="16"/>
      <c r="C17" s="6"/>
      <c r="D17" s="7"/>
      <c r="E17" s="7"/>
      <c r="F17" s="34"/>
      <c r="G17" s="29">
        <f t="shared" ref="G17:S17" si="7">SUM(G13:G16)</f>
        <v>0</v>
      </c>
      <c r="H17" s="29">
        <f t="shared" si="7"/>
        <v>15000</v>
      </c>
      <c r="I17" s="29">
        <f t="shared" si="7"/>
        <v>15000</v>
      </c>
      <c r="J17" s="29">
        <f t="shared" si="7"/>
        <v>15000</v>
      </c>
      <c r="K17" s="29">
        <f t="shared" si="7"/>
        <v>15000</v>
      </c>
      <c r="L17" s="29">
        <f t="shared" si="7"/>
        <v>15000</v>
      </c>
      <c r="M17" s="29">
        <f t="shared" si="7"/>
        <v>15000</v>
      </c>
      <c r="N17" s="29">
        <f t="shared" si="7"/>
        <v>15000</v>
      </c>
      <c r="O17" s="29">
        <f t="shared" si="7"/>
        <v>15000</v>
      </c>
      <c r="P17" s="29">
        <f t="shared" si="7"/>
        <v>15000</v>
      </c>
      <c r="Q17" s="29">
        <f t="shared" ref="Q17" si="8">SUM(Q13:Q16)</f>
        <v>15000</v>
      </c>
      <c r="R17" s="29">
        <f t="shared" ref="R17" si="9">SUM(R13:R16)</f>
        <v>0</v>
      </c>
      <c r="S17" s="29">
        <f t="shared" si="7"/>
        <v>0</v>
      </c>
      <c r="T17" s="78"/>
    </row>
    <row r="18" spans="1:20" ht="10.5" customHeight="1">
      <c r="T18" s="79">
        <f>SUM(T13:T17)</f>
        <v>0</v>
      </c>
    </row>
    <row r="19" spans="1:20" ht="11.25" customHeight="1" thickBot="1"/>
    <row r="20" spans="1:20" ht="38.25">
      <c r="A20" s="115" t="s">
        <v>13</v>
      </c>
      <c r="B20" s="4" t="s">
        <v>8</v>
      </c>
      <c r="C20" s="4" t="s">
        <v>14</v>
      </c>
      <c r="D20" s="4" t="s">
        <v>15</v>
      </c>
      <c r="E20" s="4" t="s">
        <v>16</v>
      </c>
      <c r="F20" s="31" t="s">
        <v>17</v>
      </c>
      <c r="G20" s="117" t="s">
        <v>24</v>
      </c>
      <c r="H20" s="118"/>
      <c r="I20" s="118"/>
      <c r="J20" s="118"/>
      <c r="K20" s="118"/>
      <c r="L20" s="118"/>
      <c r="M20" s="118"/>
      <c r="N20" s="118"/>
      <c r="O20" s="118"/>
      <c r="P20" s="118"/>
      <c r="Q20" s="119"/>
      <c r="R20" s="119"/>
      <c r="S20" s="120"/>
    </row>
    <row r="21" spans="1:20" ht="18.75" thickBot="1">
      <c r="A21" s="116"/>
      <c r="B21" s="13" t="s">
        <v>19</v>
      </c>
      <c r="C21" s="13" t="s">
        <v>20</v>
      </c>
      <c r="D21" s="13" t="s">
        <v>21</v>
      </c>
      <c r="E21" s="13" t="s">
        <v>21</v>
      </c>
      <c r="F21" s="32" t="s">
        <v>22</v>
      </c>
      <c r="G21" s="39">
        <v>0</v>
      </c>
      <c r="H21" s="14">
        <v>1</v>
      </c>
      <c r="I21" s="14">
        <v>2</v>
      </c>
      <c r="J21" s="18">
        <v>3</v>
      </c>
      <c r="K21" s="14">
        <v>4</v>
      </c>
      <c r="L21" s="14">
        <v>5</v>
      </c>
      <c r="M21" s="18">
        <v>6</v>
      </c>
      <c r="N21" s="14">
        <v>7</v>
      </c>
      <c r="O21" s="14">
        <v>8</v>
      </c>
      <c r="P21" s="18">
        <v>9</v>
      </c>
      <c r="Q21" s="88">
        <v>10</v>
      </c>
      <c r="R21" s="88">
        <v>11</v>
      </c>
      <c r="S21" s="15">
        <v>12</v>
      </c>
      <c r="T21" s="78" t="s">
        <v>36</v>
      </c>
    </row>
    <row r="22" spans="1:20">
      <c r="A22" s="27" t="str">
        <f>A4</f>
        <v>Terrenos</v>
      </c>
      <c r="B22" s="27">
        <f t="shared" ref="B22:F22" si="10">B4</f>
        <v>1</v>
      </c>
      <c r="C22" s="27">
        <f t="shared" si="10"/>
        <v>80000</v>
      </c>
      <c r="D22" s="27">
        <f t="shared" si="10"/>
        <v>0</v>
      </c>
      <c r="E22" s="27">
        <f t="shared" si="10"/>
        <v>0</v>
      </c>
      <c r="F22" s="27">
        <f t="shared" si="10"/>
        <v>0</v>
      </c>
      <c r="G22" s="42"/>
      <c r="H22" s="17"/>
      <c r="I22" s="17"/>
      <c r="J22" s="17"/>
      <c r="K22" s="17"/>
      <c r="L22" s="17"/>
      <c r="M22" s="17"/>
      <c r="N22" s="17"/>
      <c r="O22" s="17"/>
      <c r="P22" s="17"/>
      <c r="Q22" s="91"/>
      <c r="R22" s="91"/>
      <c r="S22" s="43"/>
      <c r="T22" s="78"/>
    </row>
    <row r="23" spans="1:20">
      <c r="A23" s="27" t="str">
        <f t="shared" ref="A23:F24" si="11">A5</f>
        <v>Construcciones</v>
      </c>
      <c r="B23" s="27">
        <f t="shared" si="11"/>
        <v>1</v>
      </c>
      <c r="C23" s="27">
        <f t="shared" si="11"/>
        <v>200000</v>
      </c>
      <c r="D23" s="27">
        <f t="shared" si="11"/>
        <v>40</v>
      </c>
      <c r="E23" s="27">
        <f t="shared" si="11"/>
        <v>40</v>
      </c>
      <c r="F23" s="27">
        <f t="shared" si="11"/>
        <v>0</v>
      </c>
      <c r="G23" s="44"/>
      <c r="H23" s="3"/>
      <c r="I23" s="3"/>
      <c r="J23" s="3"/>
      <c r="K23" s="3"/>
      <c r="L23" s="3"/>
      <c r="M23" s="3"/>
      <c r="N23" s="3"/>
      <c r="O23" s="3"/>
      <c r="P23" s="3"/>
      <c r="Q23" s="92">
        <f>Q14*30</f>
        <v>150000</v>
      </c>
      <c r="R23" s="92"/>
      <c r="S23" s="45"/>
      <c r="T23" s="78"/>
    </row>
    <row r="24" spans="1:20">
      <c r="A24" s="27" t="str">
        <f t="shared" si="11"/>
        <v>Maquinarias</v>
      </c>
      <c r="B24" s="27">
        <f t="shared" si="11"/>
        <v>1</v>
      </c>
      <c r="C24" s="27">
        <f t="shared" si="11"/>
        <v>100000</v>
      </c>
      <c r="D24" s="27">
        <f t="shared" si="11"/>
        <v>10</v>
      </c>
      <c r="E24" s="27">
        <f t="shared" si="11"/>
        <v>10</v>
      </c>
      <c r="F24" s="27">
        <f t="shared" si="11"/>
        <v>0</v>
      </c>
      <c r="G24" s="44"/>
      <c r="H24" s="3"/>
      <c r="I24" s="3"/>
      <c r="J24" s="3"/>
      <c r="K24" s="3"/>
      <c r="L24" s="3"/>
      <c r="M24" s="3"/>
      <c r="N24" s="3"/>
      <c r="O24" s="3"/>
      <c r="P24" s="3"/>
      <c r="Q24" s="92"/>
      <c r="R24" s="92"/>
      <c r="S24" s="45"/>
      <c r="T24" s="78"/>
    </row>
    <row r="25" spans="1:20">
      <c r="A25" s="27"/>
      <c r="B25" s="9"/>
      <c r="C25" s="9"/>
      <c r="D25" s="9"/>
      <c r="E25" s="9"/>
      <c r="F25" s="33"/>
      <c r="G25" s="44"/>
      <c r="H25" s="3"/>
      <c r="I25" s="3"/>
      <c r="J25" s="3"/>
      <c r="K25" s="3"/>
      <c r="L25" s="3"/>
      <c r="M25" s="3"/>
      <c r="N25" s="3"/>
      <c r="O25" s="3"/>
      <c r="P25" s="3"/>
      <c r="Q25" s="92"/>
      <c r="R25" s="92"/>
      <c r="S25" s="45"/>
      <c r="T25" s="78"/>
    </row>
    <row r="26" spans="1:20" ht="15.75" thickBot="1">
      <c r="A26" s="24" t="s">
        <v>30</v>
      </c>
      <c r="B26" s="16"/>
      <c r="C26" s="6"/>
      <c r="D26" s="7"/>
      <c r="E26" s="7"/>
      <c r="F26" s="34"/>
      <c r="G26" s="29">
        <f t="shared" ref="G26:S26" si="12">SUM(G22:G25)</f>
        <v>0</v>
      </c>
      <c r="H26" s="29">
        <f t="shared" si="12"/>
        <v>0</v>
      </c>
      <c r="I26" s="29">
        <f t="shared" si="12"/>
        <v>0</v>
      </c>
      <c r="J26" s="29">
        <f t="shared" si="12"/>
        <v>0</v>
      </c>
      <c r="K26" s="29">
        <f t="shared" si="12"/>
        <v>0</v>
      </c>
      <c r="L26" s="29">
        <f t="shared" si="12"/>
        <v>0</v>
      </c>
      <c r="M26" s="29">
        <f t="shared" si="12"/>
        <v>0</v>
      </c>
      <c r="N26" s="29">
        <f t="shared" si="12"/>
        <v>0</v>
      </c>
      <c r="O26" s="29">
        <f t="shared" si="12"/>
        <v>0</v>
      </c>
      <c r="P26" s="29">
        <f t="shared" si="12"/>
        <v>0</v>
      </c>
      <c r="Q26" s="29">
        <f t="shared" ref="Q26" si="13">SUM(Q22:Q25)</f>
        <v>150000</v>
      </c>
      <c r="R26" s="29">
        <f t="shared" ref="R26" si="14">SUM(R22:R25)</f>
        <v>0</v>
      </c>
      <c r="S26" s="29">
        <f t="shared" si="12"/>
        <v>0</v>
      </c>
      <c r="T26" s="78"/>
    </row>
    <row r="27" spans="1:20" ht="8.25" customHeight="1">
      <c r="T27" s="79">
        <f>SUM(T22:T26)</f>
        <v>0</v>
      </c>
    </row>
    <row r="28" spans="1:20" ht="10.5" customHeight="1" thickBot="1"/>
    <row r="29" spans="1:20" ht="38.25">
      <c r="A29" s="115" t="s">
        <v>13</v>
      </c>
      <c r="B29" s="4" t="s">
        <v>8</v>
      </c>
      <c r="C29" s="4" t="s">
        <v>14</v>
      </c>
      <c r="D29" s="4" t="s">
        <v>15</v>
      </c>
      <c r="E29" s="4" t="s">
        <v>16</v>
      </c>
      <c r="F29" s="31" t="s">
        <v>17</v>
      </c>
      <c r="G29" s="117" t="s">
        <v>25</v>
      </c>
      <c r="H29" s="118"/>
      <c r="I29" s="118"/>
      <c r="J29" s="118"/>
      <c r="K29" s="118"/>
      <c r="L29" s="118"/>
      <c r="M29" s="118"/>
      <c r="N29" s="118"/>
      <c r="O29" s="118"/>
      <c r="P29" s="118"/>
      <c r="Q29" s="119"/>
      <c r="R29" s="119"/>
      <c r="S29" s="120"/>
    </row>
    <row r="30" spans="1:20" ht="18.75" thickBot="1">
      <c r="A30" s="116"/>
      <c r="B30" s="13" t="s">
        <v>19</v>
      </c>
      <c r="C30" s="13" t="s">
        <v>20</v>
      </c>
      <c r="D30" s="13" t="s">
        <v>21</v>
      </c>
      <c r="E30" s="13" t="s">
        <v>21</v>
      </c>
      <c r="F30" s="32" t="s">
        <v>22</v>
      </c>
      <c r="G30" s="39">
        <v>0</v>
      </c>
      <c r="H30" s="14">
        <v>1</v>
      </c>
      <c r="I30" s="14">
        <v>2</v>
      </c>
      <c r="J30" s="18">
        <v>3</v>
      </c>
      <c r="K30" s="14">
        <v>4</v>
      </c>
      <c r="L30" s="14">
        <v>5</v>
      </c>
      <c r="M30" s="18">
        <v>6</v>
      </c>
      <c r="N30" s="14">
        <v>7</v>
      </c>
      <c r="O30" s="14">
        <v>8</v>
      </c>
      <c r="P30" s="18">
        <v>9</v>
      </c>
      <c r="Q30" s="88">
        <v>10</v>
      </c>
      <c r="R30" s="88">
        <v>11</v>
      </c>
      <c r="S30" s="15">
        <v>12</v>
      </c>
      <c r="T30" s="78" t="s">
        <v>36</v>
      </c>
    </row>
    <row r="31" spans="1:20">
      <c r="A31" s="27" t="str">
        <f>A4</f>
        <v>Terrenos</v>
      </c>
      <c r="B31" s="27">
        <f t="shared" ref="B31:F31" si="15">B4</f>
        <v>1</v>
      </c>
      <c r="C31" s="27">
        <f t="shared" si="15"/>
        <v>80000</v>
      </c>
      <c r="D31" s="27">
        <f t="shared" si="15"/>
        <v>0</v>
      </c>
      <c r="E31" s="27">
        <f t="shared" si="15"/>
        <v>0</v>
      </c>
      <c r="F31" s="27">
        <f t="shared" si="15"/>
        <v>0</v>
      </c>
      <c r="G31" s="42"/>
      <c r="H31" s="17"/>
      <c r="I31" s="17">
        <f>G4*F31</f>
        <v>0</v>
      </c>
      <c r="J31" s="17"/>
      <c r="K31" s="17"/>
      <c r="L31" s="17"/>
      <c r="M31" s="17"/>
      <c r="N31" s="17"/>
      <c r="O31" s="17"/>
      <c r="P31" s="17"/>
      <c r="Q31" s="91"/>
      <c r="R31" s="91"/>
      <c r="S31" s="43"/>
      <c r="T31" s="78"/>
    </row>
    <row r="32" spans="1:20">
      <c r="A32" s="27" t="str">
        <f t="shared" ref="A32:F33" si="16">A5</f>
        <v>Construcciones</v>
      </c>
      <c r="B32" s="27">
        <f t="shared" si="16"/>
        <v>1</v>
      </c>
      <c r="C32" s="27">
        <f t="shared" si="16"/>
        <v>200000</v>
      </c>
      <c r="D32" s="27">
        <f t="shared" si="16"/>
        <v>40</v>
      </c>
      <c r="E32" s="27">
        <f t="shared" si="16"/>
        <v>40</v>
      </c>
      <c r="F32" s="27">
        <f t="shared" si="16"/>
        <v>0</v>
      </c>
      <c r="G32" s="44"/>
      <c r="H32" s="3"/>
      <c r="I32" s="17">
        <f>G5*F32</f>
        <v>0</v>
      </c>
      <c r="J32" s="3"/>
      <c r="K32" s="3"/>
      <c r="L32" s="3"/>
      <c r="M32" s="3"/>
      <c r="N32" s="3"/>
      <c r="O32" s="3"/>
      <c r="P32" s="3"/>
      <c r="Q32" s="92"/>
      <c r="R32" s="92"/>
      <c r="S32" s="45"/>
      <c r="T32" s="78"/>
    </row>
    <row r="33" spans="1:20">
      <c r="A33" s="27" t="str">
        <f t="shared" si="16"/>
        <v>Maquinarias</v>
      </c>
      <c r="B33" s="27">
        <f t="shared" si="16"/>
        <v>1</v>
      </c>
      <c r="C33" s="27">
        <f t="shared" si="16"/>
        <v>100000</v>
      </c>
      <c r="D33" s="27">
        <f t="shared" si="16"/>
        <v>10</v>
      </c>
      <c r="E33" s="27">
        <f t="shared" si="16"/>
        <v>10</v>
      </c>
      <c r="F33" s="27">
        <f t="shared" si="16"/>
        <v>0</v>
      </c>
      <c r="G33" s="44"/>
      <c r="H33" s="3"/>
      <c r="I33" s="3"/>
      <c r="J33" s="3"/>
      <c r="K33" s="3"/>
      <c r="L33" s="3"/>
      <c r="M33" s="3"/>
      <c r="N33" s="3"/>
      <c r="O33" s="3"/>
      <c r="P33" s="3"/>
      <c r="Q33" s="92"/>
      <c r="R33" s="92"/>
      <c r="S33" s="45"/>
      <c r="T33" s="78"/>
    </row>
    <row r="34" spans="1:20">
      <c r="A34" s="27"/>
      <c r="B34" s="9"/>
      <c r="C34" s="9"/>
      <c r="D34" s="9"/>
      <c r="E34" s="9"/>
      <c r="F34" s="33"/>
      <c r="G34" s="44"/>
      <c r="H34" s="3"/>
      <c r="I34" s="3"/>
      <c r="J34" s="3"/>
      <c r="K34" s="3"/>
      <c r="L34" s="3"/>
      <c r="M34" s="3"/>
      <c r="N34" s="3"/>
      <c r="O34" s="3"/>
      <c r="P34" s="3"/>
      <c r="Q34" s="92"/>
      <c r="R34" s="92"/>
      <c r="S34" s="45"/>
      <c r="T34" s="78"/>
    </row>
    <row r="35" spans="1:20" ht="15.75" thickBot="1">
      <c r="A35" s="28" t="s">
        <v>30</v>
      </c>
      <c r="B35" s="16"/>
      <c r="C35" s="6"/>
      <c r="D35" s="7"/>
      <c r="E35" s="7"/>
      <c r="F35" s="34"/>
      <c r="G35" s="29">
        <f t="shared" ref="G35:S35" si="17">SUM(G31:G34)</f>
        <v>0</v>
      </c>
      <c r="H35" s="29">
        <f t="shared" si="17"/>
        <v>0</v>
      </c>
      <c r="I35" s="29">
        <f t="shared" si="17"/>
        <v>0</v>
      </c>
      <c r="J35" s="29">
        <f t="shared" si="17"/>
        <v>0</v>
      </c>
      <c r="K35" s="29">
        <f t="shared" si="17"/>
        <v>0</v>
      </c>
      <c r="L35" s="29">
        <f t="shared" si="17"/>
        <v>0</v>
      </c>
      <c r="M35" s="29">
        <f t="shared" si="17"/>
        <v>0</v>
      </c>
      <c r="N35" s="29">
        <f t="shared" si="17"/>
        <v>0</v>
      </c>
      <c r="O35" s="29">
        <f t="shared" si="17"/>
        <v>0</v>
      </c>
      <c r="P35" s="29">
        <f t="shared" si="17"/>
        <v>0</v>
      </c>
      <c r="Q35" s="29">
        <f t="shared" ref="Q35" si="18">SUM(Q31:Q34)</f>
        <v>0</v>
      </c>
      <c r="R35" s="29">
        <f t="shared" ref="R35" si="19">SUM(R31:R34)</f>
        <v>0</v>
      </c>
      <c r="S35" s="29">
        <f t="shared" si="17"/>
        <v>0</v>
      </c>
      <c r="T35" s="78"/>
    </row>
    <row r="36" spans="1:20" ht="23.25">
      <c r="T36" s="79">
        <f>SUM(T31:T35)</f>
        <v>0</v>
      </c>
    </row>
    <row r="41" spans="1:20" ht="31.5">
      <c r="S41" s="80" t="s">
        <v>37</v>
      </c>
      <c r="T41" s="80">
        <f>SUM(T36,T27,T18,T9)</f>
        <v>0</v>
      </c>
    </row>
  </sheetData>
  <mergeCells count="8">
    <mergeCell ref="A29:A30"/>
    <mergeCell ref="G29:S29"/>
    <mergeCell ref="A2:A3"/>
    <mergeCell ref="G2:S2"/>
    <mergeCell ref="A11:A12"/>
    <mergeCell ref="G11:S11"/>
    <mergeCell ref="A20:A21"/>
    <mergeCell ref="G20:S2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5"/>
  <dimension ref="A1:O36"/>
  <sheetViews>
    <sheetView showGridLines="0" zoomScale="70" zoomScaleNormal="70" workbookViewId="0">
      <selection activeCell="C23" sqref="C23"/>
    </sheetView>
  </sheetViews>
  <sheetFormatPr baseColWidth="10" defaultRowHeight="15"/>
  <cols>
    <col min="2" max="2" width="39.85546875" customWidth="1"/>
    <col min="3" max="3" width="17.7109375" bestFit="1" customWidth="1"/>
    <col min="4" max="13" width="20.7109375" bestFit="1" customWidth="1"/>
  </cols>
  <sheetData>
    <row r="1" spans="1:14" ht="15.75" thickBot="1"/>
    <row r="2" spans="1:14" ht="16.5" thickBot="1">
      <c r="A2" s="25"/>
      <c r="B2" s="56"/>
      <c r="C2" s="71">
        <v>0</v>
      </c>
      <c r="D2" s="72">
        <v>1</v>
      </c>
      <c r="E2" s="72">
        <v>2</v>
      </c>
      <c r="F2" s="72">
        <v>3</v>
      </c>
      <c r="G2" s="72">
        <v>4</v>
      </c>
      <c r="H2" s="72">
        <v>5</v>
      </c>
      <c r="I2" s="72">
        <v>6</v>
      </c>
      <c r="J2" s="72">
        <v>7</v>
      </c>
      <c r="K2" s="72">
        <v>8</v>
      </c>
      <c r="L2" s="72">
        <v>9</v>
      </c>
      <c r="M2" s="73">
        <v>10</v>
      </c>
      <c r="N2" s="82" t="s">
        <v>34</v>
      </c>
    </row>
    <row r="3" spans="1:14" ht="15.75">
      <c r="B3" s="47" t="s">
        <v>59</v>
      </c>
      <c r="C3" s="46"/>
      <c r="D3" s="46">
        <f>Actividad!D17</f>
        <v>100000</v>
      </c>
      <c r="E3" s="46">
        <f>Actividad!E17</f>
        <v>100000</v>
      </c>
      <c r="F3" s="46">
        <f>Actividad!F17</f>
        <v>120000</v>
      </c>
      <c r="G3" s="46">
        <f>Actividad!G17</f>
        <v>792000</v>
      </c>
      <c r="H3" s="46">
        <f>Actividad!H17</f>
        <v>807840</v>
      </c>
      <c r="I3" s="46">
        <f>Actividad!I17</f>
        <v>823996.8</v>
      </c>
      <c r="J3" s="46">
        <f>Actividad!J17</f>
        <v>840476.73600000003</v>
      </c>
      <c r="K3" s="46">
        <f>Actividad!K17</f>
        <v>857286.27072000015</v>
      </c>
      <c r="L3" s="46">
        <f>Actividad!L17</f>
        <v>874431.99613440013</v>
      </c>
      <c r="M3" s="46">
        <f>Actividad!M17</f>
        <v>891920.63605708815</v>
      </c>
      <c r="N3" s="82"/>
    </row>
    <row r="4" spans="1:14" ht="15.75">
      <c r="B4" s="48" t="s">
        <v>60</v>
      </c>
      <c r="C4" s="20">
        <f>Calendarios!G35</f>
        <v>0</v>
      </c>
      <c r="D4" s="20">
        <f>Calendarios!H35</f>
        <v>0</v>
      </c>
      <c r="E4" s="20">
        <f>Calendarios!I35</f>
        <v>0</v>
      </c>
      <c r="F4" s="20">
        <f>Calendarios!J35</f>
        <v>0</v>
      </c>
      <c r="G4" s="20">
        <f>Calendarios!K35</f>
        <v>0</v>
      </c>
      <c r="H4" s="20">
        <f>Calendarios!L35</f>
        <v>0</v>
      </c>
      <c r="I4" s="20">
        <f>Calendarios!M35</f>
        <v>0</v>
      </c>
      <c r="J4" s="20">
        <f>Calendarios!N35</f>
        <v>0</v>
      </c>
      <c r="K4" s="20">
        <f>Calendarios!O35</f>
        <v>0</v>
      </c>
      <c r="L4" s="20">
        <f>Calendarios!P35</f>
        <v>0</v>
      </c>
      <c r="M4" s="20">
        <f>Calendarios!Q35</f>
        <v>0</v>
      </c>
      <c r="N4" s="82"/>
    </row>
    <row r="5" spans="1:14" ht="15.75">
      <c r="B5" s="48" t="s">
        <v>61</v>
      </c>
      <c r="C5" s="20"/>
      <c r="D5" s="20">
        <f>-Actividad!D18</f>
        <v>-30000</v>
      </c>
      <c r="E5" s="20">
        <f>-Actividad!E18</f>
        <v>-30000</v>
      </c>
      <c r="F5" s="20">
        <f>-Actividad!F18</f>
        <v>-36000</v>
      </c>
      <c r="G5" s="20">
        <f>-Actividad!G18</f>
        <v>-216000</v>
      </c>
      <c r="H5" s="20">
        <f>-Actividad!H18</f>
        <v>-220320</v>
      </c>
      <c r="I5" s="20">
        <f>-Actividad!I18</f>
        <v>-224726.39999999999</v>
      </c>
      <c r="J5" s="20">
        <f>-Actividad!J18</f>
        <v>-229220.92800000001</v>
      </c>
      <c r="K5" s="20">
        <f>-Actividad!K18</f>
        <v>-233805.34656000003</v>
      </c>
      <c r="L5" s="20">
        <f>-Actividad!L18</f>
        <v>-238481.45349120002</v>
      </c>
      <c r="M5" s="20">
        <f>-Actividad!M18</f>
        <v>-243251.08256102403</v>
      </c>
      <c r="N5" s="82"/>
    </row>
    <row r="6" spans="1:14" ht="15.75">
      <c r="B6" s="48" t="s">
        <v>62</v>
      </c>
      <c r="C6" s="20">
        <v>-2000</v>
      </c>
      <c r="D6" s="20">
        <f>$C$6</f>
        <v>-2000</v>
      </c>
      <c r="E6" s="20">
        <f t="shared" ref="E6:M6" si="0">$C$6</f>
        <v>-2000</v>
      </c>
      <c r="F6" s="20">
        <f t="shared" si="0"/>
        <v>-2000</v>
      </c>
      <c r="G6" s="20">
        <f t="shared" si="0"/>
        <v>-2000</v>
      </c>
      <c r="H6" s="20">
        <f t="shared" si="0"/>
        <v>-2000</v>
      </c>
      <c r="I6" s="20">
        <f t="shared" si="0"/>
        <v>-2000</v>
      </c>
      <c r="J6" s="20">
        <f t="shared" si="0"/>
        <v>-2000</v>
      </c>
      <c r="K6" s="20">
        <f t="shared" si="0"/>
        <v>-2000</v>
      </c>
      <c r="L6" s="20">
        <f t="shared" si="0"/>
        <v>-2000</v>
      </c>
      <c r="M6" s="20">
        <f t="shared" si="0"/>
        <v>-2000</v>
      </c>
      <c r="N6" s="82"/>
    </row>
    <row r="7" spans="1:14" ht="15.75">
      <c r="B7" s="48" t="s">
        <v>49</v>
      </c>
      <c r="C7" s="20">
        <f>'tabla amortización'!$E6</f>
        <v>0</v>
      </c>
      <c r="D7" s="20">
        <f>-'tabla amortización'!$E7</f>
        <v>-30000</v>
      </c>
      <c r="E7" s="20">
        <f>-'tabla amortización'!$E8</f>
        <v>-28117.638153524651</v>
      </c>
      <c r="F7" s="20">
        <f>-'tabla amortización'!$E9</f>
        <v>-26047.04012240177</v>
      </c>
      <c r="G7" s="20">
        <f>-'tabla amortización'!$E10</f>
        <v>-23769.382288166602</v>
      </c>
      <c r="H7" s="20">
        <f>-'tabla amortización'!$E11</f>
        <v>-21263.958670507916</v>
      </c>
      <c r="I7" s="20">
        <f>-'tabla amortización'!$E12</f>
        <v>-18507.99269108336</v>
      </c>
      <c r="J7" s="20">
        <f>-'tabla amortización'!$E13</f>
        <v>-15476.430113716349</v>
      </c>
      <c r="K7" s="20">
        <f>-'tabla amortización'!$E14</f>
        <v>-12141.711278612636</v>
      </c>
      <c r="L7" s="20">
        <f>-'tabla amortización'!$E15</f>
        <v>-8473.5205599985529</v>
      </c>
      <c r="M7" s="20">
        <f>-'tabla amortización'!$E16</f>
        <v>-4438.5107695230608</v>
      </c>
      <c r="N7" s="97">
        <f>Calendarios!S17</f>
        <v>0</v>
      </c>
    </row>
    <row r="8" spans="1:14" ht="15.75">
      <c r="B8" s="48" t="s">
        <v>64</v>
      </c>
      <c r="C8" s="20">
        <f>-Calendarios!G17</f>
        <v>0</v>
      </c>
      <c r="D8" s="20">
        <f>-Calendarios!H17</f>
        <v>-15000</v>
      </c>
      <c r="E8" s="20">
        <f>-Calendarios!I17</f>
        <v>-15000</v>
      </c>
      <c r="F8" s="20">
        <f>-Calendarios!J17</f>
        <v>-15000</v>
      </c>
      <c r="G8" s="20">
        <f>-Calendarios!K17</f>
        <v>-15000</v>
      </c>
      <c r="H8" s="20">
        <f>-Calendarios!L17</f>
        <v>-15000</v>
      </c>
      <c r="I8" s="20">
        <f>-Calendarios!M17</f>
        <v>-15000</v>
      </c>
      <c r="J8" s="20">
        <f>-Calendarios!N17</f>
        <v>-15000</v>
      </c>
      <c r="K8" s="20">
        <f>-Calendarios!O17</f>
        <v>-15000</v>
      </c>
      <c r="L8" s="20">
        <f>-Calendarios!P17</f>
        <v>-15000</v>
      </c>
      <c r="M8" s="20">
        <f>-Calendarios!Q17</f>
        <v>-15000</v>
      </c>
      <c r="N8" s="82"/>
    </row>
    <row r="9" spans="1:14" ht="15.75">
      <c r="B9" s="49" t="s">
        <v>65</v>
      </c>
      <c r="C9" s="46">
        <f>-Calendarios!G26</f>
        <v>0</v>
      </c>
      <c r="D9" s="46">
        <f>-Calendarios!H26</f>
        <v>0</v>
      </c>
      <c r="E9" s="46">
        <f>-Calendarios!I26</f>
        <v>0</v>
      </c>
      <c r="F9" s="46">
        <f>-Calendarios!J26</f>
        <v>0</v>
      </c>
      <c r="G9" s="46">
        <f>-Calendarios!K26</f>
        <v>0</v>
      </c>
      <c r="H9" s="46">
        <f>-Calendarios!L26</f>
        <v>0</v>
      </c>
      <c r="I9" s="46">
        <f>-Calendarios!M26</f>
        <v>0</v>
      </c>
      <c r="J9" s="46">
        <f>-Calendarios!N26</f>
        <v>0</v>
      </c>
      <c r="K9" s="46">
        <f>-Calendarios!O26</f>
        <v>0</v>
      </c>
      <c r="L9" s="46">
        <f>-Calendarios!P26</f>
        <v>0</v>
      </c>
      <c r="M9" s="46">
        <f>-Calendarios!Q26</f>
        <v>-150000</v>
      </c>
      <c r="N9" s="82"/>
    </row>
    <row r="10" spans="1:14" ht="15.75">
      <c r="B10" s="49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82"/>
    </row>
    <row r="11" spans="1:14" ht="15.75">
      <c r="B11" s="49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82"/>
    </row>
    <row r="12" spans="1:14" ht="15.75">
      <c r="B12" s="49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82"/>
    </row>
    <row r="13" spans="1:14" ht="16.5" thickBot="1">
      <c r="B13" s="57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82"/>
    </row>
    <row r="14" spans="1:14" ht="24" customHeight="1">
      <c r="A14" t="s">
        <v>33</v>
      </c>
      <c r="B14" s="47" t="s">
        <v>26</v>
      </c>
      <c r="C14" s="21">
        <f>SUM(C3:C13)</f>
        <v>-2000</v>
      </c>
      <c r="D14" s="21">
        <f t="shared" ref="D14:M14" si="1">SUM(D3:D13)</f>
        <v>23000</v>
      </c>
      <c r="E14" s="21">
        <f t="shared" si="1"/>
        <v>24882.361846475353</v>
      </c>
      <c r="F14" s="21">
        <f t="shared" si="1"/>
        <v>40952.95987759823</v>
      </c>
      <c r="G14" s="21">
        <f t="shared" si="1"/>
        <v>535230.61771183345</v>
      </c>
      <c r="H14" s="21">
        <f t="shared" si="1"/>
        <v>549256.04132949212</v>
      </c>
      <c r="I14" s="21">
        <f t="shared" si="1"/>
        <v>563762.40730891668</v>
      </c>
      <c r="J14" s="21">
        <f t="shared" si="1"/>
        <v>578779.37788628356</v>
      </c>
      <c r="K14" s="21">
        <f t="shared" si="1"/>
        <v>594339.21288138756</v>
      </c>
      <c r="L14" s="21">
        <f t="shared" si="1"/>
        <v>610477.02208320156</v>
      </c>
      <c r="M14" s="21">
        <f t="shared" si="1"/>
        <v>477231.04272654105</v>
      </c>
      <c r="N14" s="82"/>
    </row>
    <row r="15" spans="1:14" ht="23.25" customHeight="1" thickBot="1">
      <c r="A15" s="106">
        <v>0.22500000000000001</v>
      </c>
      <c r="B15" s="50" t="s">
        <v>29</v>
      </c>
      <c r="C15" s="22">
        <f>-C14*$A$15</f>
        <v>450</v>
      </c>
      <c r="D15" s="22">
        <f t="shared" ref="D15:M15" si="2">-D14*$A$15</f>
        <v>-5175</v>
      </c>
      <c r="E15" s="22">
        <f t="shared" si="2"/>
        <v>-5598.5314154569542</v>
      </c>
      <c r="F15" s="22">
        <f t="shared" si="2"/>
        <v>-9214.4159724596029</v>
      </c>
      <c r="G15" s="22">
        <f t="shared" si="2"/>
        <v>-120426.88898516253</v>
      </c>
      <c r="H15" s="22">
        <f t="shared" si="2"/>
        <v>-123582.60929913573</v>
      </c>
      <c r="I15" s="22">
        <f t="shared" si="2"/>
        <v>-126846.54164450626</v>
      </c>
      <c r="J15" s="22">
        <f t="shared" si="2"/>
        <v>-130225.36002441381</v>
      </c>
      <c r="K15" s="22">
        <f t="shared" si="2"/>
        <v>-133726.32289831221</v>
      </c>
      <c r="L15" s="22">
        <f t="shared" si="2"/>
        <v>-137357.32996872035</v>
      </c>
      <c r="M15" s="22">
        <f t="shared" si="2"/>
        <v>-107376.98461347174</v>
      </c>
      <c r="N15" s="82"/>
    </row>
    <row r="16" spans="1:14" ht="24.75" customHeight="1" thickBot="1">
      <c r="B16" s="58" t="s">
        <v>27</v>
      </c>
      <c r="C16" s="59">
        <f>SUM(C14:C15)</f>
        <v>-1550</v>
      </c>
      <c r="D16" s="59">
        <f t="shared" ref="D16:M16" si="3">SUM(D14:D15)</f>
        <v>17825</v>
      </c>
      <c r="E16" s="59">
        <f t="shared" si="3"/>
        <v>19283.830431018399</v>
      </c>
      <c r="F16" s="59">
        <f t="shared" si="3"/>
        <v>31738.543905138627</v>
      </c>
      <c r="G16" s="59">
        <f t="shared" si="3"/>
        <v>414803.7287266709</v>
      </c>
      <c r="H16" s="59">
        <f t="shared" si="3"/>
        <v>425673.43203035637</v>
      </c>
      <c r="I16" s="59">
        <f t="shared" si="3"/>
        <v>436915.8656644104</v>
      </c>
      <c r="J16" s="59">
        <f t="shared" si="3"/>
        <v>448554.01786186977</v>
      </c>
      <c r="K16" s="59">
        <f t="shared" si="3"/>
        <v>460612.88998307532</v>
      </c>
      <c r="L16" s="59">
        <f t="shared" si="3"/>
        <v>473119.69211448124</v>
      </c>
      <c r="M16" s="59">
        <f t="shared" si="3"/>
        <v>369854.05811306933</v>
      </c>
      <c r="N16" s="82"/>
    </row>
    <row r="17" spans="2:15" ht="16.5" customHeight="1">
      <c r="B17" s="49" t="s">
        <v>64</v>
      </c>
      <c r="C17" s="46">
        <f>Calendarios!G17</f>
        <v>0</v>
      </c>
      <c r="D17" s="46">
        <f>Calendarios!H17</f>
        <v>15000</v>
      </c>
      <c r="E17" s="46">
        <f>Calendarios!I17</f>
        <v>15000</v>
      </c>
      <c r="F17" s="46">
        <f>Calendarios!J17</f>
        <v>15000</v>
      </c>
      <c r="G17" s="46">
        <f>Calendarios!K17</f>
        <v>15000</v>
      </c>
      <c r="H17" s="46">
        <f>Calendarios!L17</f>
        <v>15000</v>
      </c>
      <c r="I17" s="46">
        <f>Calendarios!M17</f>
        <v>15000</v>
      </c>
      <c r="J17" s="46">
        <f>Calendarios!N17</f>
        <v>15000</v>
      </c>
      <c r="K17" s="46">
        <f>Calendarios!O17</f>
        <v>15000</v>
      </c>
      <c r="L17" s="46">
        <f>Calendarios!P17</f>
        <v>15000</v>
      </c>
      <c r="M17" s="46">
        <f>Calendarios!Q17</f>
        <v>15000</v>
      </c>
      <c r="N17" s="82"/>
    </row>
    <row r="18" spans="2:15" ht="16.5" customHeight="1">
      <c r="B18" s="49" t="s">
        <v>66</v>
      </c>
      <c r="C18" s="46">
        <f>Calendarios!G26</f>
        <v>0</v>
      </c>
      <c r="D18" s="46">
        <f>Calendarios!H26</f>
        <v>0</v>
      </c>
      <c r="E18" s="46">
        <f>Calendarios!I26</f>
        <v>0</v>
      </c>
      <c r="F18" s="46">
        <f>Calendarios!J26</f>
        <v>0</v>
      </c>
      <c r="G18" s="46">
        <f>Calendarios!K26</f>
        <v>0</v>
      </c>
      <c r="H18" s="46">
        <f>Calendarios!L26</f>
        <v>0</v>
      </c>
      <c r="I18" s="46">
        <f>Calendarios!M26</f>
        <v>0</v>
      </c>
      <c r="J18" s="46">
        <f>Calendarios!N26</f>
        <v>0</v>
      </c>
      <c r="K18" s="46">
        <f>Calendarios!O26</f>
        <v>0</v>
      </c>
      <c r="L18" s="46">
        <f>Calendarios!P26</f>
        <v>0</v>
      </c>
      <c r="M18" s="46">
        <f>Calendarios!Q26</f>
        <v>150000</v>
      </c>
      <c r="N18" s="82"/>
    </row>
    <row r="19" spans="2:15" ht="16.5" customHeight="1">
      <c r="B19" s="49" t="s">
        <v>67</v>
      </c>
      <c r="C19" s="46">
        <f>-'tabla amortización'!$D6</f>
        <v>0</v>
      </c>
      <c r="D19" s="46">
        <f>-'tabla amortización'!$D7</f>
        <v>-18823.618464753468</v>
      </c>
      <c r="E19" s="46">
        <f>-'tabla amortización'!$D8</f>
        <v>-20705.980311228817</v>
      </c>
      <c r="F19" s="46">
        <f>-'tabla amortización'!$D9</f>
        <v>-22776.578342351699</v>
      </c>
      <c r="G19" s="46">
        <f>-'tabla amortización'!$D10</f>
        <v>-25054.236176586866</v>
      </c>
      <c r="H19" s="46">
        <f>-'tabla amortización'!$D11</f>
        <v>-27559.659794245552</v>
      </c>
      <c r="I19" s="46">
        <f>-'tabla amortización'!$D12</f>
        <v>-30315.625773670108</v>
      </c>
      <c r="J19" s="46">
        <f>-'tabla amortización'!$D13</f>
        <v>-33347.188351037119</v>
      </c>
      <c r="K19" s="46">
        <f>-'tabla amortización'!$D14</f>
        <v>-36681.90718614083</v>
      </c>
      <c r="L19" s="46">
        <f>-'tabla amortización'!$D15</f>
        <v>-40350.097904754919</v>
      </c>
      <c r="M19" s="46">
        <f>-'tabla amortización'!$D16</f>
        <v>-44385.107695230407</v>
      </c>
      <c r="N19" s="82"/>
    </row>
    <row r="20" spans="2:15" ht="16.5" customHeight="1">
      <c r="B20" s="48" t="s">
        <v>68</v>
      </c>
      <c r="C20" s="20">
        <f>'tabla amortización'!I4</f>
        <v>300000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82"/>
    </row>
    <row r="21" spans="2:15" ht="15.75">
      <c r="B21" s="48" t="s">
        <v>69</v>
      </c>
      <c r="C21" s="20">
        <f>-Calendarios!G8</f>
        <v>-380000</v>
      </c>
      <c r="D21" s="20">
        <f>-Calendarios!H8</f>
        <v>0</v>
      </c>
      <c r="E21" s="20">
        <f>-Calendarios!I8</f>
        <v>0</v>
      </c>
      <c r="F21" s="20">
        <f>-Calendarios!J8</f>
        <v>0</v>
      </c>
      <c r="G21" s="20">
        <f>-Calendarios!K8</f>
        <v>0</v>
      </c>
      <c r="H21" s="20">
        <f>-Calendarios!L8</f>
        <v>0</v>
      </c>
      <c r="I21" s="20">
        <f>-Calendarios!M8</f>
        <v>0</v>
      </c>
      <c r="J21" s="20">
        <f>-Calendarios!N8</f>
        <v>0</v>
      </c>
      <c r="K21" s="20">
        <f>-Calendarios!O8</f>
        <v>0</v>
      </c>
      <c r="L21" s="20">
        <f>-Calendarios!P8</f>
        <v>0</v>
      </c>
      <c r="M21" s="20">
        <f>-Calendarios!Q8</f>
        <v>0</v>
      </c>
      <c r="N21" s="82"/>
    </row>
    <row r="22" spans="2:15" ht="15.75">
      <c r="B22" s="48" t="s">
        <v>70</v>
      </c>
      <c r="C22" s="20">
        <v>-1000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82"/>
    </row>
    <row r="23" spans="2:15" ht="15.75" customHeight="1">
      <c r="B23" s="48" t="s">
        <v>71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82"/>
    </row>
    <row r="24" spans="2:15" ht="18" customHeight="1" thickBot="1">
      <c r="B24" s="50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82"/>
      <c r="O24" s="84" t="s">
        <v>40</v>
      </c>
    </row>
    <row r="25" spans="2:15" ht="19.5" customHeight="1" thickBot="1">
      <c r="B25" s="74" t="s">
        <v>28</v>
      </c>
      <c r="C25" s="75">
        <f>SUM(C16:C24)</f>
        <v>-82550</v>
      </c>
      <c r="D25" s="75">
        <f t="shared" ref="D25:M25" si="4">SUM(D16:D24)</f>
        <v>14001.381535246532</v>
      </c>
      <c r="E25" s="75">
        <f t="shared" si="4"/>
        <v>13577.850119789586</v>
      </c>
      <c r="F25" s="75">
        <f t="shared" si="4"/>
        <v>23961.965562786929</v>
      </c>
      <c r="G25" s="75">
        <f t="shared" si="4"/>
        <v>404749.49255008402</v>
      </c>
      <c r="H25" s="75">
        <f t="shared" si="4"/>
        <v>413113.77223611082</v>
      </c>
      <c r="I25" s="75">
        <f t="shared" si="4"/>
        <v>421600.23989074031</v>
      </c>
      <c r="J25" s="75">
        <f t="shared" si="4"/>
        <v>430206.82951083267</v>
      </c>
      <c r="K25" s="75">
        <f t="shared" si="4"/>
        <v>438930.98279693449</v>
      </c>
      <c r="L25" s="75">
        <f t="shared" si="4"/>
        <v>447769.59420972632</v>
      </c>
      <c r="M25" s="75">
        <f t="shared" si="4"/>
        <v>490468.95041783887</v>
      </c>
      <c r="N25" s="82"/>
      <c r="O25" s="86">
        <f>SUM(N3:N25)+D34</f>
        <v>0</v>
      </c>
    </row>
    <row r="26" spans="2:15" ht="15" customHeight="1">
      <c r="O26" s="85"/>
    </row>
    <row r="31" spans="2:15" ht="15.75" thickBot="1">
      <c r="B31" t="s">
        <v>72</v>
      </c>
      <c r="C31" s="107">
        <v>0.15</v>
      </c>
      <c r="D31" s="82" t="s">
        <v>34</v>
      </c>
    </row>
    <row r="32" spans="2:15">
      <c r="B32" s="51" t="s">
        <v>35</v>
      </c>
      <c r="C32" s="105">
        <f>NPV(C31,C25:M25)</f>
        <v>981271.8252222694</v>
      </c>
      <c r="D32" s="82"/>
    </row>
    <row r="33" spans="2:5" ht="15.75" thickBot="1">
      <c r="B33" s="52" t="s">
        <v>63</v>
      </c>
      <c r="C33" s="104">
        <f>IRR(C25:M25)</f>
        <v>0.89151412832359844</v>
      </c>
      <c r="D33" s="82"/>
    </row>
    <row r="34" spans="2:5" ht="21">
      <c r="D34" s="83">
        <f>SUM(D32:D33)</f>
        <v>0</v>
      </c>
    </row>
    <row r="35" spans="2:5">
      <c r="C35" s="53"/>
      <c r="D35" s="54"/>
      <c r="E35" s="53"/>
    </row>
    <row r="36" spans="2:5">
      <c r="C36" s="53"/>
      <c r="D36" s="54"/>
      <c r="E36" s="5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6"/>
  <dimension ref="A1:O22"/>
  <sheetViews>
    <sheetView workbookViewId="0">
      <selection activeCell="E7" sqref="E7"/>
    </sheetView>
  </sheetViews>
  <sheetFormatPr baseColWidth="10" defaultRowHeight="15"/>
  <cols>
    <col min="3" max="3" width="12" bestFit="1" customWidth="1"/>
    <col min="4" max="4" width="13.42578125" bestFit="1" customWidth="1"/>
    <col min="5" max="6" width="12" bestFit="1" customWidth="1"/>
    <col min="8" max="8" width="19" bestFit="1" customWidth="1"/>
    <col min="9" max="9" width="13" bestFit="1" customWidth="1"/>
    <col min="14" max="14" width="16.7109375" bestFit="1" customWidth="1"/>
  </cols>
  <sheetData>
    <row r="1" spans="1:15">
      <c r="A1" s="55" t="s">
        <v>39</v>
      </c>
      <c r="B1" s="55"/>
      <c r="C1" s="55"/>
      <c r="D1" s="55"/>
      <c r="E1" s="55"/>
      <c r="F1" s="55"/>
    </row>
    <row r="2" spans="1:15" ht="18.75">
      <c r="N2" s="81" t="s">
        <v>38</v>
      </c>
      <c r="O2" s="81"/>
    </row>
    <row r="3" spans="1:15">
      <c r="H3" s="38" t="s">
        <v>51</v>
      </c>
    </row>
    <row r="4" spans="1:15">
      <c r="H4" s="30" t="s">
        <v>50</v>
      </c>
      <c r="I4" s="93">
        <f>Activos!D15+Activos!D16</f>
        <v>300000</v>
      </c>
    </row>
    <row r="5" spans="1:15">
      <c r="B5" s="38" t="s">
        <v>46</v>
      </c>
      <c r="C5" s="38" t="s">
        <v>47</v>
      </c>
      <c r="D5" s="38" t="s">
        <v>48</v>
      </c>
      <c r="E5" s="38" t="s">
        <v>49</v>
      </c>
      <c r="F5" s="38" t="s">
        <v>50</v>
      </c>
      <c r="H5" s="30" t="s">
        <v>49</v>
      </c>
      <c r="I5" s="98">
        <v>0.1</v>
      </c>
    </row>
    <row r="6" spans="1:15">
      <c r="B6" s="30">
        <v>0</v>
      </c>
      <c r="C6" s="101">
        <v>0</v>
      </c>
      <c r="D6" s="93">
        <v>0</v>
      </c>
      <c r="E6" s="93">
        <v>0</v>
      </c>
      <c r="F6" s="93">
        <f>I4</f>
        <v>300000</v>
      </c>
      <c r="H6" s="30" t="s">
        <v>46</v>
      </c>
      <c r="I6" s="99">
        <v>10</v>
      </c>
    </row>
    <row r="7" spans="1:15">
      <c r="B7" s="30">
        <v>1</v>
      </c>
      <c r="C7" s="93">
        <f>-$H$11</f>
        <v>48823.618464753468</v>
      </c>
      <c r="D7" s="93">
        <f>C7-E7</f>
        <v>18823.618464753468</v>
      </c>
      <c r="E7" s="93">
        <f>F6*$I$5</f>
        <v>30000</v>
      </c>
      <c r="F7" s="93">
        <f>F6-D7</f>
        <v>281176.3815352465</v>
      </c>
      <c r="H7" s="30"/>
      <c r="I7" s="30"/>
    </row>
    <row r="8" spans="1:15">
      <c r="B8" s="30">
        <v>2</v>
      </c>
      <c r="C8" s="93">
        <f t="shared" ref="C8:C16" si="0">-$H$11</f>
        <v>48823.618464753468</v>
      </c>
      <c r="D8" s="93">
        <f>C8-E8</f>
        <v>20705.980311228817</v>
      </c>
      <c r="E8" s="93">
        <f t="shared" ref="E8:E16" si="1">F7*$I$5</f>
        <v>28117.638153524651</v>
      </c>
      <c r="F8" s="93">
        <f t="shared" ref="F8:F16" si="2">F7-D8</f>
        <v>260470.4012240177</v>
      </c>
      <c r="H8" s="30"/>
      <c r="I8" s="94"/>
    </row>
    <row r="9" spans="1:15">
      <c r="B9" s="30">
        <v>3</v>
      </c>
      <c r="C9" s="93">
        <f t="shared" si="0"/>
        <v>48823.618464753468</v>
      </c>
      <c r="D9" s="93">
        <f t="shared" ref="D9:D16" si="3">C9-E9</f>
        <v>22776.578342351699</v>
      </c>
      <c r="E9" s="93">
        <f t="shared" si="1"/>
        <v>26047.04012240177</v>
      </c>
      <c r="F9" s="93">
        <f t="shared" si="2"/>
        <v>237693.82288166601</v>
      </c>
    </row>
    <row r="10" spans="1:15">
      <c r="B10" s="30">
        <v>4</v>
      </c>
      <c r="C10" s="93">
        <f t="shared" si="0"/>
        <v>48823.618464753468</v>
      </c>
      <c r="D10" s="93">
        <f t="shared" si="3"/>
        <v>25054.236176586866</v>
      </c>
      <c r="E10" s="93">
        <f t="shared" si="1"/>
        <v>23769.382288166602</v>
      </c>
      <c r="F10" s="93">
        <f t="shared" si="2"/>
        <v>212639.58670507916</v>
      </c>
      <c r="H10" s="38" t="s">
        <v>47</v>
      </c>
      <c r="I10" t="s">
        <v>52</v>
      </c>
    </row>
    <row r="11" spans="1:15">
      <c r="B11" s="30">
        <v>5</v>
      </c>
      <c r="C11" s="93">
        <f t="shared" si="0"/>
        <v>48823.618464753468</v>
      </c>
      <c r="D11" s="93">
        <f t="shared" si="3"/>
        <v>27559.659794245552</v>
      </c>
      <c r="E11" s="93">
        <f t="shared" si="1"/>
        <v>21263.958670507916</v>
      </c>
      <c r="F11" s="93">
        <f t="shared" si="2"/>
        <v>185079.9269108336</v>
      </c>
      <c r="H11" s="100">
        <f>PMT(I5,I6,I4)</f>
        <v>-48823.618464753468</v>
      </c>
    </row>
    <row r="12" spans="1:15">
      <c r="B12" s="30">
        <v>6</v>
      </c>
      <c r="C12" s="93">
        <f t="shared" si="0"/>
        <v>48823.618464753468</v>
      </c>
      <c r="D12" s="93">
        <f t="shared" si="3"/>
        <v>30315.625773670108</v>
      </c>
      <c r="E12" s="93">
        <f t="shared" si="1"/>
        <v>18507.99269108336</v>
      </c>
      <c r="F12" s="93">
        <f t="shared" si="2"/>
        <v>154764.30113716348</v>
      </c>
    </row>
    <row r="13" spans="1:15">
      <c r="B13" s="30">
        <v>7</v>
      </c>
      <c r="C13" s="93">
        <f t="shared" si="0"/>
        <v>48823.618464753468</v>
      </c>
      <c r="D13" s="93">
        <f t="shared" si="3"/>
        <v>33347.188351037119</v>
      </c>
      <c r="E13" s="93">
        <f t="shared" si="1"/>
        <v>15476.430113716349</v>
      </c>
      <c r="F13" s="93">
        <f t="shared" si="2"/>
        <v>121417.11278612635</v>
      </c>
      <c r="I13" s="95"/>
    </row>
    <row r="14" spans="1:15">
      <c r="B14" s="30">
        <v>8</v>
      </c>
      <c r="C14" s="93">
        <f t="shared" si="0"/>
        <v>48823.618464753468</v>
      </c>
      <c r="D14" s="93">
        <f t="shared" si="3"/>
        <v>36681.90718614083</v>
      </c>
      <c r="E14" s="93">
        <f t="shared" si="1"/>
        <v>12141.711278612636</v>
      </c>
      <c r="F14" s="93">
        <f t="shared" si="2"/>
        <v>84735.205599985522</v>
      </c>
      <c r="I14" s="96"/>
    </row>
    <row r="15" spans="1:15">
      <c r="B15" s="30">
        <v>9</v>
      </c>
      <c r="C15" s="93">
        <f t="shared" si="0"/>
        <v>48823.618464753468</v>
      </c>
      <c r="D15" s="93">
        <f t="shared" si="3"/>
        <v>40350.097904754919</v>
      </c>
      <c r="E15" s="93">
        <f t="shared" si="1"/>
        <v>8473.5205599985529</v>
      </c>
      <c r="F15" s="93">
        <f t="shared" si="2"/>
        <v>44385.107695230603</v>
      </c>
    </row>
    <row r="16" spans="1:15">
      <c r="B16" s="30">
        <v>10</v>
      </c>
      <c r="C16" s="93">
        <f t="shared" si="0"/>
        <v>48823.618464753468</v>
      </c>
      <c r="D16" s="93">
        <f t="shared" si="3"/>
        <v>44385.107695230407</v>
      </c>
      <c r="E16" s="93">
        <f t="shared" si="1"/>
        <v>4438.5107695230608</v>
      </c>
      <c r="F16" s="93">
        <f t="shared" si="2"/>
        <v>1.964508555829525E-10</v>
      </c>
    </row>
    <row r="17" spans="2:6">
      <c r="B17" s="30"/>
      <c r="C17" s="30"/>
      <c r="D17" s="30"/>
      <c r="E17" s="30"/>
      <c r="F17" s="30"/>
    </row>
    <row r="18" spans="2:6">
      <c r="B18" s="30"/>
      <c r="C18" s="30"/>
      <c r="D18" s="30"/>
      <c r="E18" s="30"/>
      <c r="F18" s="30"/>
    </row>
    <row r="19" spans="2:6">
      <c r="B19" s="30"/>
      <c r="C19" s="30"/>
      <c r="D19" s="30"/>
      <c r="E19" s="30"/>
      <c r="F19" s="30"/>
    </row>
    <row r="20" spans="2:6">
      <c r="B20" s="30"/>
      <c r="C20" s="30"/>
      <c r="D20" s="30"/>
      <c r="E20" s="30"/>
      <c r="F20" s="30"/>
    </row>
    <row r="21" spans="2:6">
      <c r="B21" s="30"/>
      <c r="C21" s="30"/>
      <c r="D21" s="30"/>
      <c r="E21" s="30"/>
      <c r="F21" s="30"/>
    </row>
    <row r="22" spans="2:6">
      <c r="B22" s="30"/>
      <c r="C22" s="30"/>
      <c r="D22" s="30"/>
      <c r="E22" s="30"/>
      <c r="F22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Activos</vt:lpstr>
      <vt:lpstr>Actividad</vt:lpstr>
      <vt:lpstr>Calendarios</vt:lpstr>
      <vt:lpstr>Alternativa 1</vt:lpstr>
      <vt:lpstr>tabla amortización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2017-04-27T19:58:19Z</dcterms:modified>
</cp:coreProperties>
</file>