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eletelier/Documents/Utalca 2017/Gestion de Proyectos/Unidad 1/"/>
    </mc:Choice>
  </mc:AlternateContent>
  <bookViews>
    <workbookView xWindow="80" yWindow="460" windowWidth="20940" windowHeight="1058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2" i="1" l="1"/>
  <c r="E79" i="1"/>
  <c r="B60" i="1"/>
  <c r="C5" i="1"/>
  <c r="D5" i="1"/>
  <c r="E5" i="1"/>
  <c r="F5" i="1"/>
  <c r="G5" i="1"/>
  <c r="G7" i="1"/>
  <c r="H74" i="1"/>
  <c r="C20" i="1"/>
  <c r="D20" i="1"/>
  <c r="E20" i="1"/>
  <c r="F20" i="1"/>
  <c r="G20" i="1"/>
  <c r="G21" i="1"/>
  <c r="G22" i="1"/>
  <c r="G23" i="1"/>
  <c r="G24" i="1"/>
  <c r="G25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G17" i="1"/>
  <c r="G27" i="1"/>
  <c r="H75" i="1"/>
  <c r="H76" i="1"/>
  <c r="C32" i="1"/>
  <c r="B38" i="1"/>
  <c r="C38" i="1"/>
  <c r="D38" i="1"/>
  <c r="E38" i="1"/>
  <c r="F38" i="1"/>
  <c r="G38" i="1"/>
  <c r="H38" i="1"/>
  <c r="G42" i="1"/>
  <c r="G43" i="1"/>
  <c r="F33" i="1"/>
  <c r="G45" i="1"/>
  <c r="H80" i="1"/>
  <c r="D7" i="1"/>
  <c r="E74" i="1"/>
  <c r="D21" i="1"/>
  <c r="D22" i="1"/>
  <c r="D23" i="1"/>
  <c r="D24" i="1"/>
  <c r="D25" i="1"/>
  <c r="D17" i="1"/>
  <c r="D27" i="1"/>
  <c r="E75" i="1"/>
  <c r="C33" i="1"/>
  <c r="D37" i="1"/>
  <c r="D39" i="1"/>
  <c r="E76" i="1"/>
  <c r="D43" i="1"/>
  <c r="E77" i="1"/>
  <c r="B50" i="1"/>
  <c r="B51" i="1"/>
  <c r="B52" i="1"/>
  <c r="B53" i="1"/>
  <c r="B55" i="1"/>
  <c r="B56" i="1"/>
  <c r="E66" i="1"/>
  <c r="B66" i="1"/>
  <c r="C67" i="1"/>
  <c r="D67" i="1"/>
  <c r="E67" i="1"/>
  <c r="B67" i="1"/>
  <c r="C68" i="1"/>
  <c r="D68" i="1"/>
  <c r="E68" i="1"/>
  <c r="C69" i="1"/>
  <c r="E78" i="1"/>
  <c r="D45" i="1"/>
  <c r="E80" i="1"/>
  <c r="D79" i="1"/>
  <c r="F79" i="1"/>
  <c r="G79" i="1"/>
  <c r="C79" i="1"/>
  <c r="D47" i="1"/>
  <c r="D88" i="1"/>
  <c r="E88" i="1"/>
  <c r="F88" i="1"/>
  <c r="G88" i="1"/>
  <c r="H88" i="1"/>
  <c r="C88" i="1"/>
  <c r="C7" i="1"/>
  <c r="D74" i="1"/>
  <c r="C21" i="1"/>
  <c r="C22" i="1"/>
  <c r="C23" i="1"/>
  <c r="C24" i="1"/>
  <c r="C25" i="1"/>
  <c r="C17" i="1"/>
  <c r="C27" i="1"/>
  <c r="D75" i="1"/>
  <c r="C37" i="1"/>
  <c r="C39" i="1"/>
  <c r="D76" i="1"/>
  <c r="C43" i="1"/>
  <c r="D77" i="1"/>
  <c r="D78" i="1"/>
  <c r="D80" i="1"/>
  <c r="E7" i="1"/>
  <c r="F74" i="1"/>
  <c r="E21" i="1"/>
  <c r="E22" i="1"/>
  <c r="E23" i="1"/>
  <c r="E24" i="1"/>
  <c r="E25" i="1"/>
  <c r="E17" i="1"/>
  <c r="E27" i="1"/>
  <c r="F75" i="1"/>
  <c r="E37" i="1"/>
  <c r="E39" i="1"/>
  <c r="F76" i="1"/>
  <c r="E43" i="1"/>
  <c r="F77" i="1"/>
  <c r="F80" i="1"/>
  <c r="F7" i="1"/>
  <c r="G74" i="1"/>
  <c r="F21" i="1"/>
  <c r="F22" i="1"/>
  <c r="F23" i="1"/>
  <c r="F24" i="1"/>
  <c r="F25" i="1"/>
  <c r="F17" i="1"/>
  <c r="F27" i="1"/>
  <c r="G75" i="1"/>
  <c r="F37" i="1"/>
  <c r="F39" i="1"/>
  <c r="G76" i="1"/>
  <c r="F43" i="1"/>
  <c r="G77" i="1"/>
  <c r="G80" i="1"/>
  <c r="B7" i="1"/>
  <c r="C74" i="1"/>
  <c r="B21" i="1"/>
  <c r="B22" i="1"/>
  <c r="B23" i="1"/>
  <c r="B24" i="1"/>
  <c r="B25" i="1"/>
  <c r="B11" i="1"/>
  <c r="B15" i="1"/>
  <c r="B17" i="1"/>
  <c r="B27" i="1"/>
  <c r="C75" i="1"/>
  <c r="B37" i="1"/>
  <c r="B39" i="1"/>
  <c r="C76" i="1"/>
  <c r="B43" i="1"/>
  <c r="C77" i="1"/>
  <c r="C78" i="1"/>
  <c r="C80" i="1"/>
  <c r="K21" i="1"/>
  <c r="C34" i="1"/>
  <c r="B88" i="1"/>
  <c r="B91" i="1"/>
  <c r="B89" i="1"/>
  <c r="B93" i="1"/>
  <c r="C81" i="1"/>
  <c r="C82" i="1"/>
  <c r="C83" i="1"/>
  <c r="C86" i="1"/>
  <c r="C87" i="1"/>
  <c r="C89" i="1"/>
  <c r="C90" i="1"/>
  <c r="C93" i="1"/>
  <c r="D81" i="1"/>
  <c r="D82" i="1"/>
  <c r="D83" i="1"/>
  <c r="D86" i="1"/>
  <c r="D87" i="1"/>
  <c r="D90" i="1"/>
  <c r="D93" i="1"/>
  <c r="E81" i="1"/>
  <c r="E82" i="1"/>
  <c r="E83" i="1"/>
  <c r="E86" i="1"/>
  <c r="E87" i="1"/>
  <c r="B68" i="1"/>
  <c r="D69" i="1"/>
  <c r="E90" i="1"/>
  <c r="E93" i="1"/>
  <c r="F81" i="1"/>
  <c r="F82" i="1"/>
  <c r="F83" i="1"/>
  <c r="F86" i="1"/>
  <c r="F87" i="1"/>
  <c r="F93" i="1"/>
  <c r="G81" i="1"/>
  <c r="G82" i="1"/>
  <c r="G83" i="1"/>
  <c r="G86" i="1"/>
  <c r="G87" i="1"/>
  <c r="G93" i="1"/>
  <c r="H81" i="1"/>
  <c r="H82" i="1"/>
  <c r="H83" i="1"/>
  <c r="H87" i="1"/>
  <c r="H93" i="1"/>
  <c r="B94" i="1"/>
  <c r="I24" i="1"/>
  <c r="B95" i="1"/>
  <c r="E69" i="1"/>
  <c r="H45" i="1"/>
  <c r="H42" i="1"/>
  <c r="H43" i="1"/>
  <c r="G37" i="1"/>
  <c r="H37" i="1"/>
  <c r="H39" i="1"/>
</calcChain>
</file>

<file path=xl/sharedStrings.xml><?xml version="1.0" encoding="utf-8"?>
<sst xmlns="http://schemas.openxmlformats.org/spreadsheetml/2006/main" count="108" uniqueCount="87">
  <si>
    <t>Ingresos</t>
  </si>
  <si>
    <t>Ventas</t>
  </si>
  <si>
    <t>Unidaddes</t>
  </si>
  <si>
    <t>Precio</t>
  </si>
  <si>
    <t>Dólar</t>
  </si>
  <si>
    <t>Programadores</t>
  </si>
  <si>
    <t>Personal Administrativo</t>
  </si>
  <si>
    <t>Internet</t>
  </si>
  <si>
    <t>Costos Fijos</t>
  </si>
  <si>
    <t>Arriendo Equipos</t>
  </si>
  <si>
    <t>Total Costos Fijos</t>
  </si>
  <si>
    <t>Por 6 meses 5 programadores, luego solo 2, ademas año a año 3%</t>
  </si>
  <si>
    <t>Personal 500.000 luego crece al 3% anuakl</t>
  </si>
  <si>
    <t>Internet por 12 meses luego crece 3% anual</t>
  </si>
  <si>
    <t>Primero 6 meses se arriendan 6 , luego se arriendan solo 3</t>
  </si>
  <si>
    <t>Costo variables</t>
  </si>
  <si>
    <t>Publicidad</t>
  </si>
  <si>
    <t>Publicidad crece al 20% anual</t>
  </si>
  <si>
    <t>Costo pulsera</t>
  </si>
  <si>
    <t>licencia por pulsera</t>
  </si>
  <si>
    <t>Costo por pulsera 10000</t>
  </si>
  <si>
    <t>Costo envio</t>
  </si>
  <si>
    <t>Costo por pulsera</t>
  </si>
  <si>
    <t>Total Costo Variable</t>
  </si>
  <si>
    <t>Total Costos</t>
  </si>
  <si>
    <t>Inversiones</t>
  </si>
  <si>
    <t>Activo</t>
  </si>
  <si>
    <t>Cantidad</t>
  </si>
  <si>
    <t>Costo unitario</t>
  </si>
  <si>
    <t>Vida útil depreciación</t>
  </si>
  <si>
    <t>Vida útil real</t>
  </si>
  <si>
    <t>Twain</t>
  </si>
  <si>
    <t>Server</t>
  </si>
  <si>
    <t xml:space="preserve">Valor de liquidación </t>
  </si>
  <si>
    <t>Depreciacion</t>
  </si>
  <si>
    <t>Licencias</t>
  </si>
  <si>
    <t>Total Depreciacion</t>
  </si>
  <si>
    <t>Valor Libro</t>
  </si>
  <si>
    <t>Total Valor libro</t>
  </si>
  <si>
    <t>Venta Activos</t>
  </si>
  <si>
    <t>Total</t>
  </si>
  <si>
    <t>total</t>
  </si>
  <si>
    <t>Inversion inicial</t>
  </si>
  <si>
    <t>Capital de Trabajo</t>
  </si>
  <si>
    <t>6 meses Programadores</t>
  </si>
  <si>
    <t>6 meses oficina luz y agua</t>
  </si>
  <si>
    <t>6 meses internet</t>
  </si>
  <si>
    <t>6 meses de arriendo equipos</t>
  </si>
  <si>
    <t>Pulsera +licencas</t>
  </si>
  <si>
    <t>Oficinas con luz , agua y calefaccion por 12 meses luego crece 3% anual</t>
  </si>
  <si>
    <t>Prestamo</t>
  </si>
  <si>
    <t>3 años</t>
  </si>
  <si>
    <t>Tasa</t>
  </si>
  <si>
    <t>Periodo</t>
  </si>
  <si>
    <t>Cuota</t>
  </si>
  <si>
    <t>Interes</t>
  </si>
  <si>
    <t>Amortiz</t>
  </si>
  <si>
    <t>Deuda</t>
  </si>
  <si>
    <t xml:space="preserve">Capital de Trabajo </t>
  </si>
  <si>
    <t>Total Ingresos</t>
  </si>
  <si>
    <t>Costo</t>
  </si>
  <si>
    <t>Valor libro</t>
  </si>
  <si>
    <t>Utilidad Antes Impuesto</t>
  </si>
  <si>
    <t>IMPUESTO</t>
  </si>
  <si>
    <t>Inversion</t>
  </si>
  <si>
    <t>Amortizacion</t>
  </si>
  <si>
    <t>VAN</t>
  </si>
  <si>
    <t>tir</t>
  </si>
  <si>
    <t>Venta Server</t>
  </si>
  <si>
    <t>Utilidad  Menos impuesto</t>
  </si>
  <si>
    <t xml:space="preserve">Costo Store </t>
  </si>
  <si>
    <t>20% del costo</t>
  </si>
  <si>
    <t>Costo por pulsera 500</t>
  </si>
  <si>
    <t>Oficinas con luz, agua y calefaccion</t>
  </si>
  <si>
    <t>6 meses administrativo</t>
  </si>
  <si>
    <t>Compras Activos</t>
  </si>
  <si>
    <t>Depreciacion y/0 Amortizacion</t>
  </si>
  <si>
    <t>Valor Desecho</t>
  </si>
  <si>
    <t>Ingresos OK</t>
  </si>
  <si>
    <t>Pauta</t>
  </si>
  <si>
    <t>5 puntos</t>
  </si>
  <si>
    <t>Costos OK</t>
  </si>
  <si>
    <t>Inversio Ok</t>
  </si>
  <si>
    <t xml:space="preserve">Tabla Depreciacion / Amortizacion OK </t>
  </si>
  <si>
    <t>VAN / TIR OK</t>
  </si>
  <si>
    <t>10 puntos</t>
  </si>
  <si>
    <t>Valor Desecho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</si>
</sst>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$&quot;* #,##0_ ;_ &quot;$&quot;* \-#,##0_ ;_ &quot;$&quot;* &quot;-&quot;_ ;_ @_ "/>
    <numFmt numFmtId="165" formatCode="_ * #,##0.00_ ;_ * \-#,##0.00_ ;_ * &quot;-&quot;??_ ;_ @_ "/>
    <numFmt numFmtId="166" formatCode="#,##0_ ;[Red]\-#,##0\ "/>
    <numFmt numFmtId="167" formatCode="&quot;$&quot;\ #,##0;[Red]\-&quot;$&quot;\ #,##0"/>
    <numFmt numFmtId="168" formatCode="_-* #,##0_-;\-* #,##0_-;_-* &quot;-&quot;??_-;_-@_-"/>
    <numFmt numFmtId="169" formatCode="&quot;$&quot;#,##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2" xfId="0" applyBorder="1"/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64" fontId="6" fillId="0" borderId="5" xfId="2" applyFont="1" applyBorder="1"/>
    <xf numFmtId="164" fontId="0" fillId="0" borderId="0" xfId="2" applyFont="1"/>
    <xf numFmtId="0" fontId="9" fillId="0" borderId="0" xfId="0" applyFont="1" applyFill="1" applyBorder="1"/>
    <xf numFmtId="0" fontId="4" fillId="0" borderId="0" xfId="0" applyFont="1"/>
    <xf numFmtId="164" fontId="0" fillId="0" borderId="0" xfId="0" applyNumberFormat="1"/>
    <xf numFmtId="0" fontId="2" fillId="2" borderId="1" xfId="3" applyAlignment="1">
      <alignment horizontal="center" vertical="center" wrapText="1"/>
    </xf>
    <xf numFmtId="0" fontId="10" fillId="2" borderId="1" xfId="3" applyFont="1" applyAlignment="1">
      <alignment horizontal="justify" vertical="center" wrapText="1"/>
    </xf>
    <xf numFmtId="0" fontId="10" fillId="2" borderId="1" xfId="3" applyFont="1" applyAlignment="1">
      <alignment horizontal="center" vertical="center" wrapText="1"/>
    </xf>
    <xf numFmtId="3" fontId="10" fillId="2" borderId="1" xfId="3" applyNumberFormat="1" applyFont="1" applyAlignment="1">
      <alignment horizontal="right" vertical="center" wrapText="1"/>
    </xf>
    <xf numFmtId="164" fontId="10" fillId="2" borderId="1" xfId="2" applyFont="1" applyFill="1" applyBorder="1" applyAlignment="1">
      <alignment horizontal="center" vertical="center" wrapText="1"/>
    </xf>
    <xf numFmtId="164" fontId="0" fillId="0" borderId="2" xfId="2" applyFont="1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4" fillId="0" borderId="4" xfId="0" applyFont="1" applyBorder="1"/>
    <xf numFmtId="164" fontId="0" fillId="0" borderId="2" xfId="0" applyNumberFormat="1" applyBorder="1"/>
    <xf numFmtId="3" fontId="0" fillId="0" borderId="0" xfId="0" applyNumberFormat="1"/>
    <xf numFmtId="9" fontId="0" fillId="0" borderId="0" xfId="0" applyNumberFormat="1"/>
    <xf numFmtId="0" fontId="0" fillId="0" borderId="2" xfId="0" applyBorder="1" applyAlignment="1">
      <alignment horizontal="center"/>
    </xf>
    <xf numFmtId="166" fontId="0" fillId="0" borderId="2" xfId="0" applyNumberFormat="1" applyBorder="1"/>
    <xf numFmtId="166" fontId="0" fillId="0" borderId="2" xfId="0" applyNumberFormat="1" applyFill="1" applyBorder="1" applyAlignment="1">
      <alignment horizontal="center"/>
    </xf>
    <xf numFmtId="167" fontId="0" fillId="0" borderId="2" xfId="0" applyNumberFormat="1" applyBorder="1"/>
    <xf numFmtId="168" fontId="0" fillId="0" borderId="2" xfId="1" applyNumberFormat="1" applyFont="1" applyBorder="1"/>
    <xf numFmtId="169" fontId="0" fillId="0" borderId="0" xfId="0" applyNumberFormat="1"/>
    <xf numFmtId="167" fontId="0" fillId="0" borderId="0" xfId="0" applyNumberFormat="1"/>
    <xf numFmtId="164" fontId="3" fillId="0" borderId="0" xfId="0" applyNumberFormat="1" applyFont="1"/>
    <xf numFmtId="168" fontId="3" fillId="0" borderId="0" xfId="0" applyNumberFormat="1" applyFont="1"/>
    <xf numFmtId="164" fontId="3" fillId="0" borderId="0" xfId="2" applyFont="1"/>
    <xf numFmtId="164" fontId="0" fillId="0" borderId="11" xfId="2" applyFont="1" applyBorder="1"/>
    <xf numFmtId="0" fontId="0" fillId="0" borderId="12" xfId="0" applyFill="1" applyBorder="1"/>
    <xf numFmtId="3" fontId="3" fillId="0" borderId="0" xfId="0" applyNumberFormat="1" applyFont="1"/>
    <xf numFmtId="0" fontId="3" fillId="0" borderId="0" xfId="0" applyFont="1"/>
  </cellXfs>
  <cellStyles count="12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Millares" xfId="1" builtinId="3"/>
    <cellStyle name="Moneda [0]" xfId="2" builtinId="7"/>
    <cellStyle name="Normal" xfId="0" builtinId="0"/>
    <cellStyle name="Salida" xfId="3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82" workbookViewId="0">
      <selection activeCell="H77" sqref="H77"/>
    </sheetView>
  </sheetViews>
  <sheetFormatPr baseColWidth="10" defaultRowHeight="16" x14ac:dyDescent="0.2"/>
  <cols>
    <col min="1" max="1" width="20.6640625" bestFit="1" customWidth="1"/>
    <col min="2" max="2" width="15.5" bestFit="1" customWidth="1"/>
    <col min="3" max="3" width="16.5" bestFit="1" customWidth="1"/>
    <col min="4" max="5" width="15" bestFit="1" customWidth="1"/>
    <col min="6" max="6" width="16" bestFit="1" customWidth="1"/>
    <col min="7" max="7" width="16.5" customWidth="1"/>
    <col min="8" max="8" width="18.6640625" customWidth="1"/>
  </cols>
  <sheetData>
    <row r="1" spans="1:8" x14ac:dyDescent="0.2">
      <c r="A1" t="s">
        <v>4</v>
      </c>
      <c r="B1">
        <v>700</v>
      </c>
    </row>
    <row r="3" spans="1:8" x14ac:dyDescent="0.2">
      <c r="A3" t="s">
        <v>0</v>
      </c>
    </row>
    <row r="4" spans="1:8" x14ac:dyDescent="0.2">
      <c r="A4" s="2" t="s">
        <v>1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</row>
    <row r="5" spans="1:8" x14ac:dyDescent="0.2">
      <c r="A5" s="4" t="s">
        <v>2</v>
      </c>
      <c r="B5" s="5">
        <v>3000</v>
      </c>
      <c r="C5" s="5">
        <f>B5*1.5</f>
        <v>4500</v>
      </c>
      <c r="D5" s="5">
        <f t="shared" ref="D5:F5" si="0">C5*1.5</f>
        <v>6750</v>
      </c>
      <c r="E5" s="5">
        <f t="shared" si="0"/>
        <v>10125</v>
      </c>
      <c r="F5" s="5">
        <f t="shared" si="0"/>
        <v>15187.5</v>
      </c>
      <c r="G5" s="5">
        <f>F5*1.1</f>
        <v>16706.25</v>
      </c>
    </row>
    <row r="6" spans="1:8" x14ac:dyDescent="0.2">
      <c r="A6" s="4" t="s">
        <v>3</v>
      </c>
      <c r="B6" s="5">
        <v>50</v>
      </c>
      <c r="C6" s="5">
        <v>50</v>
      </c>
      <c r="D6" s="5">
        <v>50</v>
      </c>
      <c r="E6" s="5">
        <v>50</v>
      </c>
      <c r="F6" s="5">
        <v>50</v>
      </c>
      <c r="G6" s="5">
        <v>30</v>
      </c>
    </row>
    <row r="7" spans="1:8" x14ac:dyDescent="0.2">
      <c r="A7" s="4" t="s">
        <v>0</v>
      </c>
      <c r="B7" s="6">
        <f>B5*B6*$B$1</f>
        <v>105000000</v>
      </c>
      <c r="C7" s="6">
        <f t="shared" ref="C7:G7" si="1">C5*C6*$B$1</f>
        <v>157500000</v>
      </c>
      <c r="D7" s="6">
        <f t="shared" si="1"/>
        <v>236250000</v>
      </c>
      <c r="E7" s="6">
        <f t="shared" si="1"/>
        <v>354375000</v>
      </c>
      <c r="F7" s="6">
        <f t="shared" si="1"/>
        <v>531562500</v>
      </c>
      <c r="G7" s="6">
        <f t="shared" si="1"/>
        <v>350831250</v>
      </c>
    </row>
    <row r="10" spans="1:8" x14ac:dyDescent="0.2">
      <c r="A10" s="8" t="s">
        <v>8</v>
      </c>
    </row>
    <row r="11" spans="1:8" x14ac:dyDescent="0.2">
      <c r="A11" t="s">
        <v>5</v>
      </c>
      <c r="B11" s="7">
        <f>(500000*3+800000*2)*6+1300000*6</f>
        <v>26400000</v>
      </c>
      <c r="C11" s="7">
        <f>1300000*12*1.03</f>
        <v>16068000</v>
      </c>
      <c r="D11" s="7">
        <f>C11*1.03</f>
        <v>16550040</v>
      </c>
      <c r="E11" s="7">
        <f t="shared" ref="E11:G11" si="2">D11*1.03</f>
        <v>17046541.199999999</v>
      </c>
      <c r="F11" s="7">
        <f t="shared" si="2"/>
        <v>17557937.436000001</v>
      </c>
      <c r="G11" s="7">
        <f t="shared" si="2"/>
        <v>18084675.559080001</v>
      </c>
      <c r="H11" t="s">
        <v>11</v>
      </c>
    </row>
    <row r="12" spans="1:8" x14ac:dyDescent="0.2">
      <c r="A12" t="s">
        <v>6</v>
      </c>
      <c r="B12" s="7">
        <f>500000*12</f>
        <v>6000000</v>
      </c>
      <c r="C12" s="7">
        <f>B12*1.03</f>
        <v>6180000</v>
      </c>
      <c r="D12" s="7">
        <f t="shared" ref="D12:G15" si="3">C12*1.03</f>
        <v>6365400</v>
      </c>
      <c r="E12" s="7">
        <f t="shared" si="3"/>
        <v>6556362</v>
      </c>
      <c r="F12" s="7">
        <f t="shared" si="3"/>
        <v>6753052.8600000003</v>
      </c>
      <c r="G12" s="7">
        <f t="shared" si="3"/>
        <v>6955644.4458000008</v>
      </c>
      <c r="H12" t="s">
        <v>12</v>
      </c>
    </row>
    <row r="13" spans="1:8" x14ac:dyDescent="0.2">
      <c r="A13" t="s">
        <v>73</v>
      </c>
      <c r="B13" s="7">
        <f>200000*12</f>
        <v>2400000</v>
      </c>
      <c r="C13" s="7">
        <f>B13*1.03</f>
        <v>2472000</v>
      </c>
      <c r="D13" s="7">
        <f t="shared" si="3"/>
        <v>2546160</v>
      </c>
      <c r="E13" s="7">
        <f t="shared" si="3"/>
        <v>2622544.8000000003</v>
      </c>
      <c r="F13" s="7">
        <f t="shared" si="3"/>
        <v>2701221.1440000003</v>
      </c>
      <c r="G13" s="7">
        <f t="shared" si="3"/>
        <v>2782257.7783200005</v>
      </c>
      <c r="H13" t="s">
        <v>49</v>
      </c>
    </row>
    <row r="14" spans="1:8" x14ac:dyDescent="0.2">
      <c r="A14" t="s">
        <v>7</v>
      </c>
      <c r="B14" s="7">
        <f>60000*12</f>
        <v>720000</v>
      </c>
      <c r="C14" s="7">
        <f>B14*1.03</f>
        <v>741600</v>
      </c>
      <c r="D14" s="7">
        <f t="shared" si="3"/>
        <v>763848</v>
      </c>
      <c r="E14" s="7">
        <f t="shared" si="3"/>
        <v>786763.44000000006</v>
      </c>
      <c r="F14" s="7">
        <f t="shared" si="3"/>
        <v>810366.34320000012</v>
      </c>
      <c r="G14" s="7">
        <f t="shared" si="3"/>
        <v>834677.33349600015</v>
      </c>
      <c r="H14" t="s">
        <v>13</v>
      </c>
    </row>
    <row r="15" spans="1:8" x14ac:dyDescent="0.2">
      <c r="A15" t="s">
        <v>9</v>
      </c>
      <c r="B15" s="7">
        <f>20000*6*6+20000*3*6</f>
        <v>1080000</v>
      </c>
      <c r="C15" s="7">
        <f>20000*3*12*1.03</f>
        <v>741600</v>
      </c>
      <c r="D15" s="7">
        <f>C15*1.03</f>
        <v>763848</v>
      </c>
      <c r="E15" s="7">
        <f t="shared" si="3"/>
        <v>786763.44000000006</v>
      </c>
      <c r="F15" s="7">
        <f t="shared" si="3"/>
        <v>810366.34320000012</v>
      </c>
      <c r="G15" s="7">
        <f t="shared" si="3"/>
        <v>834677.33349600015</v>
      </c>
      <c r="H15" t="s">
        <v>14</v>
      </c>
    </row>
    <row r="16" spans="1:8" x14ac:dyDescent="0.2">
      <c r="A16" t="s">
        <v>16</v>
      </c>
      <c r="B16" s="7">
        <v>3000000</v>
      </c>
      <c r="C16" s="7">
        <f>B16*1.2</f>
        <v>3600000</v>
      </c>
      <c r="D16" s="7">
        <f t="shared" ref="D16:G16" si="4">C16*1.2</f>
        <v>4320000</v>
      </c>
      <c r="E16" s="7">
        <f t="shared" si="4"/>
        <v>5184000</v>
      </c>
      <c r="F16" s="7">
        <f t="shared" si="4"/>
        <v>6220800</v>
      </c>
      <c r="G16" s="7">
        <f t="shared" si="4"/>
        <v>7464960</v>
      </c>
      <c r="H16" t="s">
        <v>17</v>
      </c>
    </row>
    <row r="17" spans="1:11" x14ac:dyDescent="0.2">
      <c r="A17" t="s">
        <v>10</v>
      </c>
      <c r="B17" s="7">
        <f>SUM(B11:B16)</f>
        <v>39600000</v>
      </c>
      <c r="C17" s="7">
        <f t="shared" ref="C17:G17" si="5">SUM(C11:C16)</f>
        <v>29803200</v>
      </c>
      <c r="D17" s="7">
        <f t="shared" si="5"/>
        <v>31309296</v>
      </c>
      <c r="E17" s="7">
        <f t="shared" si="5"/>
        <v>32982974.880000003</v>
      </c>
      <c r="F17" s="7">
        <f t="shared" si="5"/>
        <v>34853744.126400009</v>
      </c>
      <c r="G17" s="7">
        <f t="shared" si="5"/>
        <v>36956892.450192004</v>
      </c>
    </row>
    <row r="19" spans="1:11" x14ac:dyDescent="0.2">
      <c r="A19" s="9" t="s">
        <v>15</v>
      </c>
    </row>
    <row r="20" spans="1:11" x14ac:dyDescent="0.2">
      <c r="A20" s="4" t="s">
        <v>2</v>
      </c>
      <c r="B20" s="5">
        <v>3000</v>
      </c>
      <c r="C20" s="5">
        <f>B20*1.5</f>
        <v>4500</v>
      </c>
      <c r="D20" s="5">
        <f t="shared" ref="D20:F20" si="6">C20*1.5</f>
        <v>6750</v>
      </c>
      <c r="E20" s="5">
        <f t="shared" si="6"/>
        <v>10125</v>
      </c>
      <c r="F20" s="5">
        <f t="shared" si="6"/>
        <v>15187.5</v>
      </c>
      <c r="G20" s="5">
        <f>F20*1.1</f>
        <v>16706.25</v>
      </c>
    </row>
    <row r="21" spans="1:11" x14ac:dyDescent="0.2">
      <c r="A21" t="s">
        <v>18</v>
      </c>
      <c r="B21" s="7">
        <f>B20*$I$21</f>
        <v>30000000</v>
      </c>
      <c r="C21" s="7">
        <f t="shared" ref="C21:G21" si="7">C20*$I$21</f>
        <v>45000000</v>
      </c>
      <c r="D21" s="7">
        <f t="shared" si="7"/>
        <v>67500000</v>
      </c>
      <c r="E21" s="7">
        <f t="shared" si="7"/>
        <v>101250000</v>
      </c>
      <c r="F21" s="7">
        <f t="shared" si="7"/>
        <v>151875000</v>
      </c>
      <c r="G21" s="7">
        <f t="shared" si="7"/>
        <v>167062500</v>
      </c>
      <c r="H21" t="s">
        <v>20</v>
      </c>
      <c r="I21">
        <v>10000</v>
      </c>
      <c r="J21">
        <v>15</v>
      </c>
      <c r="K21">
        <f>J21*B1</f>
        <v>10500</v>
      </c>
    </row>
    <row r="22" spans="1:11" x14ac:dyDescent="0.2">
      <c r="A22" t="s">
        <v>19</v>
      </c>
      <c r="B22" s="7">
        <f>B20*$I$22</f>
        <v>1500000</v>
      </c>
      <c r="C22" s="7">
        <f t="shared" ref="C22:G22" si="8">C20*$I$22</f>
        <v>2250000</v>
      </c>
      <c r="D22" s="7">
        <f t="shared" si="8"/>
        <v>3375000</v>
      </c>
      <c r="E22" s="7">
        <f t="shared" si="8"/>
        <v>5062500</v>
      </c>
      <c r="F22" s="7">
        <f t="shared" si="8"/>
        <v>7593750</v>
      </c>
      <c r="G22" s="7">
        <f t="shared" si="8"/>
        <v>8353125</v>
      </c>
      <c r="H22" t="s">
        <v>72</v>
      </c>
      <c r="I22">
        <v>500</v>
      </c>
    </row>
    <row r="23" spans="1:11" x14ac:dyDescent="0.2">
      <c r="A23" t="s">
        <v>21</v>
      </c>
      <c r="B23" s="7">
        <f>B20*$I$23</f>
        <v>900000</v>
      </c>
      <c r="C23" s="7">
        <f t="shared" ref="C23:G23" si="9">C20*$I$23</f>
        <v>1350000</v>
      </c>
      <c r="D23" s="7">
        <f t="shared" si="9"/>
        <v>2025000</v>
      </c>
      <c r="E23" s="7">
        <f t="shared" si="9"/>
        <v>3037500</v>
      </c>
      <c r="F23" s="7">
        <f t="shared" si="9"/>
        <v>4556250</v>
      </c>
      <c r="G23" s="7">
        <f t="shared" si="9"/>
        <v>5011875</v>
      </c>
      <c r="H23" t="s">
        <v>22</v>
      </c>
      <c r="I23">
        <v>300</v>
      </c>
    </row>
    <row r="24" spans="1:11" x14ac:dyDescent="0.2">
      <c r="A24" t="s">
        <v>70</v>
      </c>
      <c r="B24" s="10">
        <f>0.2*B7</f>
        <v>21000000</v>
      </c>
      <c r="C24" s="10">
        <f t="shared" ref="C24:G24" si="10">0.2*C7</f>
        <v>31500000</v>
      </c>
      <c r="D24" s="10">
        <f t="shared" si="10"/>
        <v>47250000</v>
      </c>
      <c r="E24" s="10">
        <f t="shared" si="10"/>
        <v>70875000</v>
      </c>
      <c r="F24" s="10">
        <f t="shared" si="10"/>
        <v>106312500</v>
      </c>
      <c r="G24" s="10">
        <f t="shared" si="10"/>
        <v>70166250</v>
      </c>
      <c r="H24" t="s">
        <v>71</v>
      </c>
      <c r="I24" s="10">
        <f>20%*B6*B1</f>
        <v>7000</v>
      </c>
    </row>
    <row r="25" spans="1:11" x14ac:dyDescent="0.2">
      <c r="A25" t="s">
        <v>23</v>
      </c>
      <c r="B25" s="7">
        <f>SUM(B21:B24)</f>
        <v>53400000</v>
      </c>
      <c r="C25" s="7">
        <f t="shared" ref="C25:G25" si="11">SUM(C21:C24)</f>
        <v>80100000</v>
      </c>
      <c r="D25" s="7">
        <f t="shared" si="11"/>
        <v>120150000</v>
      </c>
      <c r="E25" s="7">
        <f t="shared" si="11"/>
        <v>180225000</v>
      </c>
      <c r="F25" s="7">
        <f t="shared" si="11"/>
        <v>270337500</v>
      </c>
      <c r="G25" s="7">
        <f t="shared" si="11"/>
        <v>250593750</v>
      </c>
    </row>
    <row r="27" spans="1:11" x14ac:dyDescent="0.2">
      <c r="A27" s="9" t="s">
        <v>24</v>
      </c>
      <c r="B27" s="10">
        <f t="shared" ref="B27:G27" si="12">B25+B17</f>
        <v>93000000</v>
      </c>
      <c r="C27" s="10">
        <f t="shared" si="12"/>
        <v>109903200</v>
      </c>
      <c r="D27" s="10">
        <f t="shared" si="12"/>
        <v>151459296</v>
      </c>
      <c r="E27" s="10">
        <f t="shared" si="12"/>
        <v>213207974.88</v>
      </c>
      <c r="F27" s="10">
        <f t="shared" si="12"/>
        <v>305191244.12639999</v>
      </c>
      <c r="G27" s="10">
        <f t="shared" si="12"/>
        <v>287550642.45019197</v>
      </c>
    </row>
    <row r="30" spans="1:11" x14ac:dyDescent="0.2">
      <c r="A30" s="9" t="s">
        <v>25</v>
      </c>
    </row>
    <row r="31" spans="1:11" ht="32" x14ac:dyDescent="0.2">
      <c r="A31" s="11" t="s">
        <v>26</v>
      </c>
      <c r="B31" s="11" t="s">
        <v>27</v>
      </c>
      <c r="C31" s="11" t="s">
        <v>28</v>
      </c>
      <c r="D31" s="11" t="s">
        <v>29</v>
      </c>
      <c r="E31" s="11" t="s">
        <v>30</v>
      </c>
      <c r="F31" s="11" t="s">
        <v>33</v>
      </c>
    </row>
    <row r="32" spans="1:11" x14ac:dyDescent="0.2">
      <c r="A32" s="12" t="s">
        <v>31</v>
      </c>
      <c r="B32" s="13">
        <v>1</v>
      </c>
      <c r="C32" s="14">
        <f>10000*700</f>
        <v>7000000</v>
      </c>
      <c r="D32" s="13">
        <v>10</v>
      </c>
      <c r="E32" s="13">
        <v>10</v>
      </c>
      <c r="F32" s="15">
        <v>0</v>
      </c>
    </row>
    <row r="33" spans="1:8" x14ac:dyDescent="0.2">
      <c r="A33" s="12" t="s">
        <v>32</v>
      </c>
      <c r="B33" s="13">
        <v>1</v>
      </c>
      <c r="C33" s="14">
        <f>5000*B1</f>
        <v>3500000</v>
      </c>
      <c r="D33" s="13">
        <v>3</v>
      </c>
      <c r="E33" s="13">
        <v>3</v>
      </c>
      <c r="F33" s="15">
        <f>430*B1</f>
        <v>301000</v>
      </c>
    </row>
    <row r="34" spans="1:8" x14ac:dyDescent="0.2">
      <c r="A34" s="9" t="s">
        <v>42</v>
      </c>
      <c r="C34" s="25">
        <f>SUM(C32:C33)</f>
        <v>10500000</v>
      </c>
    </row>
    <row r="36" spans="1:8" x14ac:dyDescent="0.2">
      <c r="A36" s="9" t="s">
        <v>76</v>
      </c>
      <c r="B36">
        <v>1</v>
      </c>
      <c r="C36">
        <v>2</v>
      </c>
      <c r="D36">
        <v>3</v>
      </c>
      <c r="E36">
        <v>4</v>
      </c>
      <c r="F36">
        <v>5</v>
      </c>
      <c r="G36" s="9">
        <v>6</v>
      </c>
      <c r="H36" s="9" t="s">
        <v>40</v>
      </c>
    </row>
    <row r="37" spans="1:8" x14ac:dyDescent="0.2">
      <c r="A37" s="1" t="s">
        <v>32</v>
      </c>
      <c r="B37" s="1">
        <f>$C$33/$D$33</f>
        <v>1166666.6666666667</v>
      </c>
      <c r="C37" s="1">
        <f t="shared" ref="C37:G37" si="13">$C$33/$D$33</f>
        <v>1166666.6666666667</v>
      </c>
      <c r="D37" s="1">
        <f t="shared" si="13"/>
        <v>1166666.6666666667</v>
      </c>
      <c r="E37" s="1">
        <f t="shared" si="13"/>
        <v>1166666.6666666667</v>
      </c>
      <c r="F37" s="1">
        <f t="shared" si="13"/>
        <v>1166666.6666666667</v>
      </c>
      <c r="G37" s="1">
        <f t="shared" si="13"/>
        <v>1166666.6666666667</v>
      </c>
      <c r="H37" s="1">
        <f>SUM(B37:G37)</f>
        <v>7000000.0000000009</v>
      </c>
    </row>
    <row r="38" spans="1:8" x14ac:dyDescent="0.2">
      <c r="A38" s="1" t="s">
        <v>35</v>
      </c>
      <c r="B38" s="1">
        <f>$C$32/$D$32</f>
        <v>700000</v>
      </c>
      <c r="C38" s="1">
        <f t="shared" ref="C38:G38" si="14">$C$32/$D$32</f>
        <v>700000</v>
      </c>
      <c r="D38" s="1">
        <f t="shared" si="14"/>
        <v>700000</v>
      </c>
      <c r="E38" s="1">
        <f t="shared" si="14"/>
        <v>700000</v>
      </c>
      <c r="F38" s="1">
        <f t="shared" si="14"/>
        <v>700000</v>
      </c>
      <c r="G38" s="1">
        <f t="shared" si="14"/>
        <v>700000</v>
      </c>
      <c r="H38" s="1">
        <f>SUM(B38:G38)</f>
        <v>4200000</v>
      </c>
    </row>
    <row r="39" spans="1:8" ht="17" thickBot="1" x14ac:dyDescent="0.25">
      <c r="A39" s="17" t="s">
        <v>36</v>
      </c>
      <c r="B39" s="17">
        <f>SUM(B37:B38)</f>
        <v>1866666.6666666667</v>
      </c>
      <c r="C39" s="17">
        <f t="shared" ref="C39:F39" si="15">SUM(C37:C38)</f>
        <v>1866666.6666666667</v>
      </c>
      <c r="D39" s="17">
        <f t="shared" si="15"/>
        <v>1866666.6666666667</v>
      </c>
      <c r="E39" s="17">
        <f t="shared" si="15"/>
        <v>1866666.6666666667</v>
      </c>
      <c r="F39" s="17">
        <f t="shared" si="15"/>
        <v>1866666.6666666667</v>
      </c>
      <c r="G39" s="17">
        <v>1866666.6666666667</v>
      </c>
      <c r="H39" s="17">
        <f>SUM(H37:H38)</f>
        <v>11200000</v>
      </c>
    </row>
    <row r="40" spans="1:8" x14ac:dyDescent="0.2">
      <c r="A40" s="18" t="s">
        <v>37</v>
      </c>
      <c r="B40" s="19">
        <v>1</v>
      </c>
      <c r="C40" s="19">
        <v>2</v>
      </c>
      <c r="D40" s="19">
        <v>3</v>
      </c>
      <c r="E40" s="19">
        <v>4</v>
      </c>
      <c r="F40" s="19">
        <v>5</v>
      </c>
      <c r="G40" s="19">
        <v>6</v>
      </c>
      <c r="H40" s="19" t="s">
        <v>41</v>
      </c>
    </row>
    <row r="41" spans="1:8" x14ac:dyDescent="0.2">
      <c r="A41" s="20" t="s">
        <v>32</v>
      </c>
      <c r="B41" s="1"/>
      <c r="C41" s="1"/>
      <c r="D41" s="1">
        <v>0</v>
      </c>
      <c r="E41" s="1"/>
      <c r="F41" s="1"/>
      <c r="G41" s="1">
        <v>0</v>
      </c>
      <c r="H41" s="1"/>
    </row>
    <row r="42" spans="1:8" x14ac:dyDescent="0.2">
      <c r="A42" s="20" t="s">
        <v>35</v>
      </c>
      <c r="B42" s="1"/>
      <c r="C42" s="1"/>
      <c r="D42" s="1"/>
      <c r="E42" s="1"/>
      <c r="F42" s="1"/>
      <c r="G42" s="16">
        <f>C32-H38</f>
        <v>2800000</v>
      </c>
      <c r="H42" s="16">
        <f>SUM(G42)</f>
        <v>2800000</v>
      </c>
    </row>
    <row r="43" spans="1:8" ht="17" thickBot="1" x14ac:dyDescent="0.25">
      <c r="A43" s="21" t="s">
        <v>38</v>
      </c>
      <c r="B43" s="22">
        <f>SUM(B41:B42)</f>
        <v>0</v>
      </c>
      <c r="C43" s="22">
        <f t="shared" ref="C43:G43" si="16">SUM(C41:C42)</f>
        <v>0</v>
      </c>
      <c r="D43" s="22">
        <f t="shared" si="16"/>
        <v>0</v>
      </c>
      <c r="E43" s="22">
        <f t="shared" si="16"/>
        <v>0</v>
      </c>
      <c r="F43" s="22">
        <f t="shared" si="16"/>
        <v>0</v>
      </c>
      <c r="G43" s="37">
        <f t="shared" si="16"/>
        <v>2800000</v>
      </c>
      <c r="H43" s="37">
        <f>SUM(H42)</f>
        <v>2800000</v>
      </c>
    </row>
    <row r="44" spans="1:8" x14ac:dyDescent="0.2">
      <c r="A44" s="23" t="s">
        <v>39</v>
      </c>
      <c r="B44" s="23">
        <v>1</v>
      </c>
      <c r="C44" s="23">
        <v>2</v>
      </c>
      <c r="D44" s="23">
        <v>3</v>
      </c>
      <c r="E44" s="23">
        <v>4</v>
      </c>
      <c r="F44" s="23">
        <v>5</v>
      </c>
      <c r="G44" s="23">
        <v>6</v>
      </c>
      <c r="H44" s="23" t="s">
        <v>41</v>
      </c>
    </row>
    <row r="45" spans="1:8" x14ac:dyDescent="0.2">
      <c r="A45" s="1" t="s">
        <v>32</v>
      </c>
      <c r="B45" s="1"/>
      <c r="C45" s="1"/>
      <c r="D45" s="24">
        <f>F33</f>
        <v>301000</v>
      </c>
      <c r="E45" s="1"/>
      <c r="F45" s="1"/>
      <c r="G45" s="24">
        <f>F33</f>
        <v>301000</v>
      </c>
      <c r="H45" s="24">
        <f>SUM(D45:G45)</f>
        <v>602000</v>
      </c>
    </row>
    <row r="46" spans="1:8" x14ac:dyDescent="0.2">
      <c r="A46" s="1" t="s">
        <v>35</v>
      </c>
      <c r="B46" s="1"/>
      <c r="C46" s="1"/>
      <c r="D46" s="1"/>
      <c r="E46" s="1"/>
      <c r="F46" s="1"/>
      <c r="G46" s="1">
        <v>0</v>
      </c>
      <c r="H46" s="1">
        <v>0</v>
      </c>
    </row>
    <row r="47" spans="1:8" x14ac:dyDescent="0.2">
      <c r="A47" s="38" t="s">
        <v>75</v>
      </c>
      <c r="B47" s="25"/>
      <c r="D47" s="25">
        <f>C33</f>
        <v>3500000</v>
      </c>
    </row>
    <row r="48" spans="1:8" x14ac:dyDescent="0.2">
      <c r="A48" s="38" t="s">
        <v>32</v>
      </c>
    </row>
    <row r="49" spans="1:3" x14ac:dyDescent="0.2">
      <c r="A49" s="9" t="s">
        <v>43</v>
      </c>
    </row>
    <row r="50" spans="1:3" x14ac:dyDescent="0.2">
      <c r="A50" s="1" t="s">
        <v>44</v>
      </c>
      <c r="B50" s="16">
        <f>(500000*3+800000*2)*6</f>
        <v>18600000</v>
      </c>
    </row>
    <row r="51" spans="1:3" x14ac:dyDescent="0.2">
      <c r="A51" s="1" t="s">
        <v>45</v>
      </c>
      <c r="B51" s="16">
        <f>200000*6</f>
        <v>1200000</v>
      </c>
    </row>
    <row r="52" spans="1:3" x14ac:dyDescent="0.2">
      <c r="A52" s="1" t="s">
        <v>46</v>
      </c>
      <c r="B52" s="16">
        <f>60000*6</f>
        <v>360000</v>
      </c>
    </row>
    <row r="53" spans="1:3" x14ac:dyDescent="0.2">
      <c r="A53" s="1" t="s">
        <v>47</v>
      </c>
      <c r="B53" s="16">
        <f>20000*6*6</f>
        <v>720000</v>
      </c>
    </row>
    <row r="54" spans="1:3" x14ac:dyDescent="0.2">
      <c r="A54" s="1" t="s">
        <v>48</v>
      </c>
      <c r="B54" s="16">
        <v>10500</v>
      </c>
    </row>
    <row r="55" spans="1:3" x14ac:dyDescent="0.2">
      <c r="A55" s="1" t="s">
        <v>74</v>
      </c>
      <c r="B55" s="16">
        <f>500000*6</f>
        <v>3000000</v>
      </c>
    </row>
    <row r="56" spans="1:3" x14ac:dyDescent="0.2">
      <c r="A56" s="1"/>
      <c r="B56" s="16">
        <f>SUM(B50:B55)</f>
        <v>23890500</v>
      </c>
    </row>
    <row r="60" spans="1:3" x14ac:dyDescent="0.2">
      <c r="A60" t="s">
        <v>50</v>
      </c>
      <c r="B60" s="7">
        <f>B56+C34</f>
        <v>34390500</v>
      </c>
    </row>
    <row r="61" spans="1:3" x14ac:dyDescent="0.2">
      <c r="A61" t="s">
        <v>51</v>
      </c>
      <c r="B61">
        <v>3</v>
      </c>
      <c r="C61" t="s">
        <v>58</v>
      </c>
    </row>
    <row r="62" spans="1:3" x14ac:dyDescent="0.2">
      <c r="A62" t="s">
        <v>52</v>
      </c>
      <c r="B62" s="26">
        <v>0.18</v>
      </c>
    </row>
    <row r="64" spans="1:3" x14ac:dyDescent="0.2">
      <c r="A64" s="1" t="s">
        <v>53</v>
      </c>
      <c r="B64" s="1" t="s">
        <v>54</v>
      </c>
    </row>
    <row r="65" spans="1:8" x14ac:dyDescent="0.2">
      <c r="A65" s="27">
        <v>0</v>
      </c>
      <c r="B65" s="1"/>
      <c r="C65" s="1" t="s">
        <v>55</v>
      </c>
      <c r="D65" s="1" t="s">
        <v>56</v>
      </c>
      <c r="E65" s="1" t="s">
        <v>57</v>
      </c>
    </row>
    <row r="66" spans="1:8" x14ac:dyDescent="0.2">
      <c r="A66" s="29">
        <v>1</v>
      </c>
      <c r="B66" s="30">
        <f>PMT(B62,B61,-B60)</f>
        <v>15817011.531743364</v>
      </c>
      <c r="C66" s="1"/>
      <c r="D66" s="1"/>
      <c r="E66" s="28">
        <f>B60</f>
        <v>34390500</v>
      </c>
    </row>
    <row r="67" spans="1:8" x14ac:dyDescent="0.2">
      <c r="A67" s="29">
        <v>2</v>
      </c>
      <c r="B67" s="30">
        <f t="shared" ref="B67:B68" si="17">B66</f>
        <v>15817011.531743364</v>
      </c>
      <c r="C67" s="31">
        <f>E66*$B$62</f>
        <v>6190290</v>
      </c>
      <c r="D67" s="30">
        <f>B66-C67</f>
        <v>9626721.5317433644</v>
      </c>
      <c r="E67" s="30">
        <f t="shared" ref="E67:E69" si="18">E66-D67</f>
        <v>24763778.468256637</v>
      </c>
    </row>
    <row r="68" spans="1:8" x14ac:dyDescent="0.2">
      <c r="A68" s="27">
        <v>3</v>
      </c>
      <c r="B68" s="30">
        <f t="shared" si="17"/>
        <v>15817011.531743364</v>
      </c>
      <c r="C68" s="31">
        <f t="shared" ref="C68:C69" si="19">E67*$B$62</f>
        <v>4457480.1242861943</v>
      </c>
      <c r="D68" s="30">
        <f>B67-C68</f>
        <v>11359531.407457169</v>
      </c>
      <c r="E68" s="30">
        <f t="shared" si="18"/>
        <v>13404247.060799468</v>
      </c>
    </row>
    <row r="69" spans="1:8" x14ac:dyDescent="0.2">
      <c r="C69" s="31">
        <f t="shared" si="19"/>
        <v>2412764.470943904</v>
      </c>
      <c r="D69" s="30">
        <f>B68-C69</f>
        <v>13404247.060799461</v>
      </c>
      <c r="E69" s="30">
        <f t="shared" si="18"/>
        <v>0</v>
      </c>
    </row>
    <row r="71" spans="1:8" x14ac:dyDescent="0.2">
      <c r="B71">
        <v>0</v>
      </c>
    </row>
    <row r="72" spans="1:8" x14ac:dyDescent="0.2"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</row>
    <row r="73" spans="1:8" x14ac:dyDescent="0.2">
      <c r="A73" t="s">
        <v>1</v>
      </c>
    </row>
    <row r="74" spans="1:8" x14ac:dyDescent="0.2">
      <c r="A74" t="s">
        <v>59</v>
      </c>
      <c r="C74" s="10">
        <f t="shared" ref="C74:H74" si="20">B7</f>
        <v>105000000</v>
      </c>
      <c r="D74" s="10">
        <f t="shared" si="20"/>
        <v>157500000</v>
      </c>
      <c r="E74" s="10">
        <f t="shared" si="20"/>
        <v>236250000</v>
      </c>
      <c r="F74" s="10">
        <f t="shared" si="20"/>
        <v>354375000</v>
      </c>
      <c r="G74" s="10">
        <f t="shared" si="20"/>
        <v>531562500</v>
      </c>
      <c r="H74" s="10">
        <f t="shared" si="20"/>
        <v>350831250</v>
      </c>
    </row>
    <row r="75" spans="1:8" x14ac:dyDescent="0.2">
      <c r="A75" t="s">
        <v>60</v>
      </c>
      <c r="C75" s="34">
        <f t="shared" ref="C75:H75" si="21">B27</f>
        <v>93000000</v>
      </c>
      <c r="D75" s="34">
        <f t="shared" si="21"/>
        <v>109903200</v>
      </c>
      <c r="E75" s="34">
        <f t="shared" si="21"/>
        <v>151459296</v>
      </c>
      <c r="F75" s="34">
        <f t="shared" si="21"/>
        <v>213207974.88</v>
      </c>
      <c r="G75" s="34">
        <f t="shared" si="21"/>
        <v>305191244.12639999</v>
      </c>
      <c r="H75" s="34">
        <f t="shared" si="21"/>
        <v>287550642.45019197</v>
      </c>
    </row>
    <row r="76" spans="1:8" x14ac:dyDescent="0.2">
      <c r="A76" t="s">
        <v>34</v>
      </c>
      <c r="C76" s="36">
        <f t="shared" ref="C76:H76" si="22">B39</f>
        <v>1866666.6666666667</v>
      </c>
      <c r="D76" s="36">
        <f t="shared" si="22"/>
        <v>1866666.6666666667</v>
      </c>
      <c r="E76" s="36">
        <f t="shared" si="22"/>
        <v>1866666.6666666667</v>
      </c>
      <c r="F76" s="36">
        <f t="shared" si="22"/>
        <v>1866666.6666666667</v>
      </c>
      <c r="G76" s="36">
        <f t="shared" si="22"/>
        <v>1866666.6666666667</v>
      </c>
      <c r="H76" s="36">
        <f t="shared" si="22"/>
        <v>1866666.6666666667</v>
      </c>
    </row>
    <row r="77" spans="1:8" x14ac:dyDescent="0.2">
      <c r="A77" t="s">
        <v>61</v>
      </c>
      <c r="C77">
        <f t="shared" ref="C77:G77" si="23">B43</f>
        <v>0</v>
      </c>
      <c r="D77">
        <f t="shared" si="23"/>
        <v>0</v>
      </c>
      <c r="E77">
        <f t="shared" si="23"/>
        <v>0</v>
      </c>
      <c r="F77">
        <f t="shared" si="23"/>
        <v>0</v>
      </c>
      <c r="G77">
        <f t="shared" si="23"/>
        <v>0</v>
      </c>
      <c r="H77" s="40">
        <v>-2800000</v>
      </c>
    </row>
    <row r="78" spans="1:8" x14ac:dyDescent="0.2">
      <c r="A78" t="s">
        <v>55</v>
      </c>
      <c r="C78" s="35">
        <f>C67</f>
        <v>6190290</v>
      </c>
      <c r="D78" s="35">
        <f>C68</f>
        <v>4457480.1242861943</v>
      </c>
      <c r="E78" s="35">
        <f>C69</f>
        <v>2412764.470943904</v>
      </c>
    </row>
    <row r="79" spans="1:8" x14ac:dyDescent="0.2">
      <c r="A79" t="s">
        <v>68</v>
      </c>
      <c r="C79" s="7">
        <f>B45</f>
        <v>0</v>
      </c>
      <c r="D79" s="7">
        <f t="shared" ref="D79:H79" si="24">C45</f>
        <v>0</v>
      </c>
      <c r="E79" s="7">
        <f>$D$45</f>
        <v>301000</v>
      </c>
      <c r="F79" s="7">
        <f t="shared" si="24"/>
        <v>0</v>
      </c>
      <c r="G79" s="7">
        <f t="shared" si="24"/>
        <v>0</v>
      </c>
      <c r="H79" s="7"/>
    </row>
    <row r="80" spans="1:8" x14ac:dyDescent="0.2">
      <c r="A80" t="s">
        <v>62</v>
      </c>
      <c r="C80" s="10">
        <f t="shared" ref="C80:G80" si="25">C74-C75-C76-C77-C78-C79</f>
        <v>3943043.333333334</v>
      </c>
      <c r="D80" s="10">
        <f t="shared" si="25"/>
        <v>41272653.209047139</v>
      </c>
      <c r="E80" s="10">
        <f>E74-E75-E76-E77-E78+E79</f>
        <v>80812272.86238943</v>
      </c>
      <c r="F80" s="10">
        <f t="shared" si="25"/>
        <v>139300358.45333335</v>
      </c>
      <c r="G80" s="10">
        <f t="shared" si="25"/>
        <v>224504589.20693335</v>
      </c>
      <c r="H80" s="10">
        <f>H74-H75-H76-H77-H78+H79</f>
        <v>64213940.883141361</v>
      </c>
    </row>
    <row r="81" spans="1:8" x14ac:dyDescent="0.2">
      <c r="A81" t="s">
        <v>63</v>
      </c>
      <c r="C81" s="7">
        <f>C80*0.25</f>
        <v>985760.83333333349</v>
      </c>
      <c r="D81" s="7">
        <f t="shared" ref="D81:H81" si="26">D80*0.25</f>
        <v>10318163.302261785</v>
      </c>
      <c r="E81" s="7">
        <f t="shared" si="26"/>
        <v>20203068.215597358</v>
      </c>
      <c r="F81" s="7">
        <f t="shared" si="26"/>
        <v>34825089.613333337</v>
      </c>
      <c r="G81" s="7">
        <f t="shared" si="26"/>
        <v>56126147.301733337</v>
      </c>
      <c r="H81" s="7">
        <f t="shared" si="26"/>
        <v>16053485.22078534</v>
      </c>
    </row>
    <row r="82" spans="1:8" x14ac:dyDescent="0.2">
      <c r="A82" t="s">
        <v>69</v>
      </c>
      <c r="C82" s="32">
        <f t="shared" ref="C82:H82" si="27">C80-C81</f>
        <v>2957282.5000000005</v>
      </c>
      <c r="D82" s="32">
        <f t="shared" si="27"/>
        <v>30954489.906785354</v>
      </c>
      <c r="E82" s="32">
        <f t="shared" si="27"/>
        <v>60609204.646792069</v>
      </c>
      <c r="F82" s="32">
        <f t="shared" si="27"/>
        <v>104475268.84</v>
      </c>
      <c r="G82" s="32">
        <f t="shared" si="27"/>
        <v>168378441.9052</v>
      </c>
      <c r="H82" s="32">
        <f t="shared" si="27"/>
        <v>48160455.662356019</v>
      </c>
    </row>
    <row r="83" spans="1:8" x14ac:dyDescent="0.2">
      <c r="A83" t="s">
        <v>34</v>
      </c>
      <c r="C83" s="7">
        <f t="shared" ref="C83:H83" si="28">B39</f>
        <v>1866666.6666666667</v>
      </c>
      <c r="D83" s="7">
        <f t="shared" si="28"/>
        <v>1866666.6666666667</v>
      </c>
      <c r="E83" s="7">
        <f t="shared" si="28"/>
        <v>1866666.6666666667</v>
      </c>
      <c r="F83" s="7">
        <f t="shared" si="28"/>
        <v>1866666.6666666667</v>
      </c>
      <c r="G83" s="7">
        <f t="shared" si="28"/>
        <v>1866666.6666666667</v>
      </c>
      <c r="H83" s="7">
        <f t="shared" si="28"/>
        <v>1866666.6666666667</v>
      </c>
    </row>
    <row r="84" spans="1:8" x14ac:dyDescent="0.2">
      <c r="C84" s="7"/>
      <c r="D84" s="7"/>
      <c r="E84" s="7"/>
      <c r="F84" s="7"/>
      <c r="G84" s="7"/>
      <c r="H84" s="7"/>
    </row>
    <row r="85" spans="1:8" x14ac:dyDescent="0.2">
      <c r="H85">
        <v>0</v>
      </c>
    </row>
    <row r="86" spans="1:8" x14ac:dyDescent="0.2">
      <c r="A86" t="s">
        <v>37</v>
      </c>
      <c r="C86">
        <f t="shared" ref="C86:G86" si="29">B43</f>
        <v>0</v>
      </c>
      <c r="D86">
        <f t="shared" si="29"/>
        <v>0</v>
      </c>
      <c r="E86">
        <f t="shared" si="29"/>
        <v>0</v>
      </c>
      <c r="F86">
        <f t="shared" si="29"/>
        <v>0</v>
      </c>
      <c r="G86">
        <f t="shared" si="29"/>
        <v>0</v>
      </c>
      <c r="H86">
        <v>2800000</v>
      </c>
    </row>
    <row r="87" spans="1:8" x14ac:dyDescent="0.2">
      <c r="A87" t="s">
        <v>40</v>
      </c>
      <c r="C87" s="32">
        <f>SUM(C82:C86)</f>
        <v>4823949.166666667</v>
      </c>
      <c r="D87" s="32">
        <f t="shared" ref="D87:H87" si="30">SUM(D82:D86)</f>
        <v>32821156.573452022</v>
      </c>
      <c r="E87" s="32">
        <f t="shared" si="30"/>
        <v>62475871.313458733</v>
      </c>
      <c r="F87" s="32">
        <f t="shared" si="30"/>
        <v>106341935.50666668</v>
      </c>
      <c r="G87" s="32">
        <f t="shared" si="30"/>
        <v>170245108.57186666</v>
      </c>
      <c r="H87" s="32">
        <f t="shared" si="30"/>
        <v>52827122.329022683</v>
      </c>
    </row>
    <row r="88" spans="1:8" x14ac:dyDescent="0.2">
      <c r="A88" t="s">
        <v>64</v>
      </c>
      <c r="B88" s="36">
        <f>-C34</f>
        <v>-10500000</v>
      </c>
      <c r="C88" s="25">
        <f>-B47</f>
        <v>0</v>
      </c>
      <c r="D88" s="25">
        <f t="shared" ref="D88:H88" si="31">-C47</f>
        <v>0</v>
      </c>
      <c r="E88" s="39">
        <f t="shared" si="31"/>
        <v>-3500000</v>
      </c>
      <c r="F88" s="25">
        <f t="shared" si="31"/>
        <v>0</v>
      </c>
      <c r="G88" s="25">
        <f t="shared" si="31"/>
        <v>0</v>
      </c>
      <c r="H88" s="25">
        <f t="shared" si="31"/>
        <v>0</v>
      </c>
    </row>
    <row r="89" spans="1:8" x14ac:dyDescent="0.2">
      <c r="A89" t="s">
        <v>43</v>
      </c>
      <c r="B89" s="36">
        <f>-B56</f>
        <v>-23890500</v>
      </c>
      <c r="C89" s="7">
        <f>B56</f>
        <v>23890500</v>
      </c>
      <c r="H89" s="7"/>
    </row>
    <row r="90" spans="1:8" x14ac:dyDescent="0.2">
      <c r="A90" t="s">
        <v>65</v>
      </c>
      <c r="C90" s="33">
        <f>-D67</f>
        <v>-9626721.5317433644</v>
      </c>
      <c r="D90" s="33">
        <f>-D68</f>
        <v>-11359531.407457169</v>
      </c>
      <c r="E90" s="33">
        <f>-D69</f>
        <v>-13404247.060799461</v>
      </c>
    </row>
    <row r="91" spans="1:8" x14ac:dyDescent="0.2">
      <c r="A91" t="s">
        <v>50</v>
      </c>
      <c r="B91" s="10">
        <f>B60</f>
        <v>34390500</v>
      </c>
    </row>
    <row r="92" spans="1:8" x14ac:dyDescent="0.2">
      <c r="A92" t="s">
        <v>77</v>
      </c>
      <c r="B92" s="10"/>
      <c r="H92" s="7">
        <f>$D$45</f>
        <v>301000</v>
      </c>
    </row>
    <row r="93" spans="1:8" x14ac:dyDescent="0.2">
      <c r="A93" t="s">
        <v>40</v>
      </c>
      <c r="B93" s="10">
        <f>B91+B89+B88</f>
        <v>0</v>
      </c>
      <c r="C93" s="7">
        <f>SUM(C87:C91)</f>
        <v>19087727.634923302</v>
      </c>
      <c r="D93" s="7">
        <f t="shared" ref="D93:H93" si="32">SUM(D87:D91)</f>
        <v>21461625.165994853</v>
      </c>
      <c r="E93" s="7">
        <f t="shared" si="32"/>
        <v>45571624.252659276</v>
      </c>
      <c r="F93" s="7">
        <f t="shared" si="32"/>
        <v>106341935.50666668</v>
      </c>
      <c r="G93" s="7">
        <f t="shared" si="32"/>
        <v>170245108.57186666</v>
      </c>
      <c r="H93" s="7">
        <f t="shared" si="32"/>
        <v>52827122.329022683</v>
      </c>
    </row>
    <row r="94" spans="1:8" x14ac:dyDescent="0.2">
      <c r="A94" t="s">
        <v>66</v>
      </c>
      <c r="B94" s="7">
        <f>B93+NPV(12%,C93:H93)</f>
        <v>257536405.52777374</v>
      </c>
    </row>
    <row r="95" spans="1:8" x14ac:dyDescent="0.2">
      <c r="A95" t="s">
        <v>67</v>
      </c>
      <c r="B95" s="26" t="e">
        <f>IRR(B93:H93)</f>
        <v>#NUM!</v>
      </c>
    </row>
    <row r="97" spans="1:2" x14ac:dyDescent="0.2">
      <c r="A97" s="1" t="s">
        <v>79</v>
      </c>
      <c r="B97" s="1"/>
    </row>
    <row r="98" spans="1:2" x14ac:dyDescent="0.2">
      <c r="A98" s="1" t="s">
        <v>78</v>
      </c>
      <c r="B98" s="1" t="s">
        <v>80</v>
      </c>
    </row>
    <row r="99" spans="1:2" x14ac:dyDescent="0.2">
      <c r="A99" s="1" t="s">
        <v>81</v>
      </c>
      <c r="B99" s="1" t="s">
        <v>80</v>
      </c>
    </row>
    <row r="100" spans="1:2" x14ac:dyDescent="0.2">
      <c r="A100" s="1" t="s">
        <v>82</v>
      </c>
      <c r="B100" s="1" t="s">
        <v>80</v>
      </c>
    </row>
    <row r="101" spans="1:2" x14ac:dyDescent="0.2">
      <c r="A101" s="1" t="s">
        <v>83</v>
      </c>
      <c r="B101" s="1" t="s">
        <v>85</v>
      </c>
    </row>
    <row r="102" spans="1:2" x14ac:dyDescent="0.2">
      <c r="A102" s="1" t="s">
        <v>86</v>
      </c>
      <c r="B102" s="1" t="s">
        <v>80</v>
      </c>
    </row>
    <row r="103" spans="1:2" x14ac:dyDescent="0.2">
      <c r="A103" s="1" t="s">
        <v>84</v>
      </c>
      <c r="B103" s="1" t="s">
        <v>85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innovsec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Letelier</dc:creator>
  <cp:lastModifiedBy>Usuario de Microsoft Office</cp:lastModifiedBy>
  <dcterms:created xsi:type="dcterms:W3CDTF">2015-10-12T21:11:53Z</dcterms:created>
  <dcterms:modified xsi:type="dcterms:W3CDTF">2017-04-24T15:06:51Z</dcterms:modified>
</cp:coreProperties>
</file>