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 activeTab="1"/>
  </bookViews>
  <sheets>
    <sheet name="Enunciado" sheetId="2" r:id="rId1"/>
    <sheet name="Desarrollo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/>
  <c r="D21"/>
  <c r="D26"/>
  <c r="F28" s="1"/>
  <c r="D13" l="1"/>
  <c r="D20"/>
  <c r="D54" i="2"/>
  <c r="E54"/>
  <c r="F54"/>
  <c r="G54"/>
  <c r="H54"/>
  <c r="C54"/>
  <c r="C69" l="1"/>
  <c r="C67"/>
  <c r="C70"/>
  <c r="C68"/>
  <c r="C66"/>
  <c r="C44"/>
  <c r="C43"/>
  <c r="G35"/>
  <c r="E25" i="1" s="1"/>
  <c r="H35" i="2"/>
  <c r="F14" i="1" s="1"/>
  <c r="K35" i="2"/>
  <c r="I25" i="1" s="1"/>
  <c r="F35" i="2"/>
  <c r="D25" i="1" s="1"/>
  <c r="G29" i="2"/>
  <c r="E22" i="1" s="1"/>
  <c r="H29" i="2"/>
  <c r="F22" i="1" s="1"/>
  <c r="I29" i="2"/>
  <c r="G22" i="1" s="1"/>
  <c r="K29" i="2"/>
  <c r="I22" i="1" s="1"/>
  <c r="L29" i="2"/>
  <c r="J22" i="1" s="1"/>
  <c r="G23" i="2"/>
  <c r="E15" i="1" s="1"/>
  <c r="H23" i="2"/>
  <c r="F24" i="1" s="1"/>
  <c r="I23" i="2"/>
  <c r="G15" i="1" s="1"/>
  <c r="J23" i="2"/>
  <c r="H24" i="1" s="1"/>
  <c r="K23" i="2"/>
  <c r="I15" i="1" s="1"/>
  <c r="F23" i="2"/>
  <c r="D15" i="1" s="1"/>
  <c r="F17" i="2"/>
  <c r="D19" i="1" s="1"/>
  <c r="C55" i="2"/>
  <c r="B34"/>
  <c r="B28"/>
  <c r="F28" s="1"/>
  <c r="B22"/>
  <c r="B16"/>
  <c r="I16" s="1"/>
  <c r="C51"/>
  <c r="E33"/>
  <c r="B33"/>
  <c r="D60"/>
  <c r="D51" s="1"/>
  <c r="H61"/>
  <c r="G61"/>
  <c r="F61"/>
  <c r="E61"/>
  <c r="D61"/>
  <c r="C61"/>
  <c r="C62" s="1"/>
  <c r="E9" i="1" s="1"/>
  <c r="E27" i="2"/>
  <c r="E21"/>
  <c r="E15"/>
  <c r="B27"/>
  <c r="J27" s="1"/>
  <c r="J29" s="1"/>
  <c r="H22" i="1" s="1"/>
  <c r="B21" i="2"/>
  <c r="B15"/>
  <c r="I15" s="1"/>
  <c r="I17" s="1"/>
  <c r="C46"/>
  <c r="D46" s="1"/>
  <c r="E46" s="1"/>
  <c r="F46" s="1"/>
  <c r="G46" s="1"/>
  <c r="H46" s="1"/>
  <c r="H45"/>
  <c r="G45"/>
  <c r="F45"/>
  <c r="E45"/>
  <c r="D45"/>
  <c r="C45"/>
  <c r="H44"/>
  <c r="G44"/>
  <c r="F44"/>
  <c r="E44"/>
  <c r="D44"/>
  <c r="H43"/>
  <c r="G43"/>
  <c r="F43"/>
  <c r="E43"/>
  <c r="D43"/>
  <c r="C42"/>
  <c r="D42" s="1"/>
  <c r="E42" s="1"/>
  <c r="F42" s="1"/>
  <c r="G42" s="1"/>
  <c r="H42" s="1"/>
  <c r="C41"/>
  <c r="D41" s="1"/>
  <c r="E41" s="1"/>
  <c r="F41" s="1"/>
  <c r="G41" s="1"/>
  <c r="H41" s="1"/>
  <c r="H40"/>
  <c r="G40"/>
  <c r="F40"/>
  <c r="E40"/>
  <c r="D40"/>
  <c r="C40"/>
  <c r="C39"/>
  <c r="D39" s="1"/>
  <c r="J35" l="1"/>
  <c r="I33"/>
  <c r="I35" s="1"/>
  <c r="G25" i="1" s="1"/>
  <c r="L33" i="2"/>
  <c r="C73"/>
  <c r="D23" i="1" s="1"/>
  <c r="C53" i="2"/>
  <c r="H14" i="1"/>
  <c r="H25"/>
  <c r="G19"/>
  <c r="G12"/>
  <c r="D12"/>
  <c r="D14"/>
  <c r="I14"/>
  <c r="E14"/>
  <c r="H15"/>
  <c r="F15"/>
  <c r="D24"/>
  <c r="I24"/>
  <c r="G24"/>
  <c r="E24"/>
  <c r="F25"/>
  <c r="D55" i="2"/>
  <c r="E39"/>
  <c r="D47"/>
  <c r="F11" i="1" s="1"/>
  <c r="C47" i="2"/>
  <c r="E11" i="1" s="1"/>
  <c r="L35" i="2"/>
  <c r="L16"/>
  <c r="L22" s="1"/>
  <c r="J16"/>
  <c r="J17" s="1"/>
  <c r="H16"/>
  <c r="G16"/>
  <c r="K16"/>
  <c r="F27"/>
  <c r="F29" s="1"/>
  <c r="D53"/>
  <c r="D52"/>
  <c r="D56" s="1"/>
  <c r="F10" i="1" s="1"/>
  <c r="C52" i="2"/>
  <c r="C56" s="1"/>
  <c r="E10" i="1" s="1"/>
  <c r="G15" i="2"/>
  <c r="H15"/>
  <c r="G14" i="1" l="1"/>
  <c r="B2" i="2"/>
  <c r="D16" i="1"/>
  <c r="K15" i="2"/>
  <c r="K17" s="1"/>
  <c r="G17"/>
  <c r="H12" i="1"/>
  <c r="H19"/>
  <c r="J14"/>
  <c r="J25"/>
  <c r="L15" i="2"/>
  <c r="H17"/>
  <c r="F39"/>
  <c r="E47"/>
  <c r="G11" i="1" s="1"/>
  <c r="E2" i="2" l="1"/>
  <c r="C9" s="1"/>
  <c r="F8"/>
  <c r="E9" s="1"/>
  <c r="E13" i="1" s="1"/>
  <c r="F12"/>
  <c r="F19"/>
  <c r="I19"/>
  <c r="I12"/>
  <c r="L21" i="2"/>
  <c r="L23" s="1"/>
  <c r="L17"/>
  <c r="E19" i="1"/>
  <c r="E12"/>
  <c r="E16" s="1"/>
  <c r="G39" i="2"/>
  <c r="F47"/>
  <c r="H11" i="1" s="1"/>
  <c r="D9" i="2" l="1"/>
  <c r="C11"/>
  <c r="C10"/>
  <c r="J24" i="1"/>
  <c r="J15"/>
  <c r="E17"/>
  <c r="E18" s="1"/>
  <c r="J12"/>
  <c r="J19"/>
  <c r="H39" i="2"/>
  <c r="H47" s="1"/>
  <c r="J11" i="1" s="1"/>
  <c r="G47" i="2"/>
  <c r="I11" i="1" s="1"/>
  <c r="F9" i="2" l="1"/>
  <c r="E10" s="1"/>
  <c r="F13" i="1" s="1"/>
  <c r="E20"/>
  <c r="D10" i="2"/>
  <c r="D17" i="1"/>
  <c r="D18" s="1"/>
  <c r="F10" i="2" l="1"/>
  <c r="E11" s="1"/>
  <c r="F20" i="1"/>
  <c r="G20"/>
  <c r="E26"/>
  <c r="D11" i="2" l="1"/>
  <c r="F11" s="1"/>
  <c r="G13" i="1"/>
  <c r="D62" i="2"/>
  <c r="F9" i="1" s="1"/>
  <c r="E60" i="2"/>
  <c r="F16" i="1" l="1"/>
  <c r="F17" s="1"/>
  <c r="F60" i="2"/>
  <c r="F55" s="1"/>
  <c r="E55"/>
  <c r="F62"/>
  <c r="H9" i="1" s="1"/>
  <c r="E62" i="2"/>
  <c r="G9" i="1" s="1"/>
  <c r="E51" i="2"/>
  <c r="G60" l="1"/>
  <c r="G51" s="1"/>
  <c r="F18" i="1"/>
  <c r="F26" s="1"/>
  <c r="F51" i="2"/>
  <c r="G55"/>
  <c r="E53"/>
  <c r="E52"/>
  <c r="E56" s="1"/>
  <c r="G10" i="1" s="1"/>
  <c r="G16" s="1"/>
  <c r="G17" s="1"/>
  <c r="F53" i="2"/>
  <c r="G62"/>
  <c r="I9" i="1" s="1"/>
  <c r="G52" i="2" l="1"/>
  <c r="G53"/>
  <c r="H60"/>
  <c r="H55" s="1"/>
  <c r="F52"/>
  <c r="F56" s="1"/>
  <c r="H10" i="1" s="1"/>
  <c r="H16" s="1"/>
  <c r="G18"/>
  <c r="G26" s="1"/>
  <c r="H62" i="2"/>
  <c r="J9" i="1" s="1"/>
  <c r="H51" i="2"/>
  <c r="G56" l="1"/>
  <c r="I10" i="1" s="1"/>
  <c r="I16" s="1"/>
  <c r="I17" s="1"/>
  <c r="H17"/>
  <c r="H18" s="1"/>
  <c r="H26" s="1"/>
  <c r="I18"/>
  <c r="I26" s="1"/>
  <c r="H53" i="2"/>
  <c r="H52"/>
  <c r="H56" l="1"/>
  <c r="J10" i="1" s="1"/>
  <c r="J16" s="1"/>
  <c r="J17" s="1"/>
  <c r="J18"/>
  <c r="J26" s="1"/>
  <c r="F29" l="1"/>
</calcChain>
</file>

<file path=xl/comments1.xml><?xml version="1.0" encoding="utf-8"?>
<comments xmlns="http://schemas.openxmlformats.org/spreadsheetml/2006/main">
  <authors>
    <author>Daniela RPR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Daniela RPR:</t>
        </r>
        <r>
          <rPr>
            <sz val="9"/>
            <color indexed="81"/>
            <rFont val="Tahoma"/>
            <family val="2"/>
          </rPr>
          <t xml:space="preserve">
lo que te falta por depresiar</t>
        </r>
      </text>
    </comment>
  </commentList>
</comments>
</file>

<file path=xl/sharedStrings.xml><?xml version="1.0" encoding="utf-8"?>
<sst xmlns="http://schemas.openxmlformats.org/spreadsheetml/2006/main" count="115" uniqueCount="63">
  <si>
    <t>Cuota</t>
  </si>
  <si>
    <t>Amortización</t>
  </si>
  <si>
    <t>Saldo</t>
  </si>
  <si>
    <t>Número de cuota</t>
  </si>
  <si>
    <t>Ingresos</t>
  </si>
  <si>
    <t>Flujo de caja</t>
  </si>
  <si>
    <t>Ingreso</t>
  </si>
  <si>
    <t>CV</t>
  </si>
  <si>
    <t>CF</t>
  </si>
  <si>
    <t>Valor libro</t>
  </si>
  <si>
    <t>Venta activo</t>
  </si>
  <si>
    <t>Utilidad antes de impuesto</t>
  </si>
  <si>
    <t>Impuesto</t>
  </si>
  <si>
    <t>Utilidad después de impuesto</t>
  </si>
  <si>
    <t>Valor de desecho</t>
  </si>
  <si>
    <t>Flujo de caja neto</t>
  </si>
  <si>
    <t>VAN</t>
  </si>
  <si>
    <t>TIR</t>
  </si>
  <si>
    <t>+</t>
  </si>
  <si>
    <t>-</t>
  </si>
  <si>
    <t>=</t>
  </si>
  <si>
    <t xml:space="preserve">Depreciación </t>
  </si>
  <si>
    <t>Signo</t>
  </si>
  <si>
    <t>Interés préstamo</t>
  </si>
  <si>
    <t>Amortización préstamo</t>
  </si>
  <si>
    <t>Préstamo</t>
  </si>
  <si>
    <t>Interés</t>
  </si>
  <si>
    <t>Servidor</t>
  </si>
  <si>
    <t>C. Fijo</t>
  </si>
  <si>
    <t>Cantidad/Pulsera</t>
  </si>
  <si>
    <t>Cantidad</t>
  </si>
  <si>
    <t>Precio</t>
  </si>
  <si>
    <t>Total</t>
  </si>
  <si>
    <t>Internet</t>
  </si>
  <si>
    <t>Luz/Agua/Calefacción</t>
  </si>
  <si>
    <t>Sueldo Administracion</t>
  </si>
  <si>
    <t>Programador Android</t>
  </si>
  <si>
    <t>Programador IOS</t>
  </si>
  <si>
    <t>Oficina</t>
  </si>
  <si>
    <t>Equipo</t>
  </si>
  <si>
    <t>Publicidad</t>
  </si>
  <si>
    <t>Valor Depr</t>
  </si>
  <si>
    <t>Nombre</t>
  </si>
  <si>
    <t>Inversion</t>
  </si>
  <si>
    <t>Costo</t>
  </si>
  <si>
    <t>Costo Venta</t>
  </si>
  <si>
    <t>C Variable</t>
  </si>
  <si>
    <t>Desecho</t>
  </si>
  <si>
    <t>Costo Produccion</t>
  </si>
  <si>
    <t>Licencia</t>
  </si>
  <si>
    <t>IDE</t>
  </si>
  <si>
    <t>Costo Envío</t>
  </si>
  <si>
    <t>Depreciación</t>
  </si>
  <si>
    <t>Inversión</t>
  </si>
  <si>
    <t>Capital de Trabajo</t>
  </si>
  <si>
    <t>Programadores</t>
  </si>
  <si>
    <t>Arriendo de Oficina</t>
  </si>
  <si>
    <t>Pago de Luz</t>
  </si>
  <si>
    <t>Pulcera</t>
  </si>
  <si>
    <t>Arriendo de equipos</t>
  </si>
  <si>
    <t>Costo Google Play y Apple Store</t>
  </si>
  <si>
    <t>Datos</t>
  </si>
  <si>
    <t>Periodo</t>
  </si>
</sst>
</file>

<file path=xl/styles.xml><?xml version="1.0" encoding="utf-8"?>
<styleSheet xmlns="http://schemas.openxmlformats.org/spreadsheetml/2006/main">
  <numFmts count="6">
    <numFmt numFmtId="8" formatCode="&quot;$&quot;#,##0.00;[Red]&quot;$&quot;\-#,##0.00"/>
    <numFmt numFmtId="42" formatCode="_ &quot;$&quot;* #,##0_ ;_ &quot;$&quot;* \-#,##0_ ;_ &quot;$&quot;* &quot;-&quot;_ ;_ @_ "/>
    <numFmt numFmtId="164" formatCode="&quot;$&quot;\ #,##0.00;[Red]\-&quot;$&quot;\ #,##0.00"/>
    <numFmt numFmtId="165" formatCode="_-&quot;$&quot;\ * #,##0.00_-;\-&quot;$&quot;\ * #,##0.00_-;_-&quot;$&quot;\ * &quot;-&quot;??_-;_-@_-"/>
    <numFmt numFmtId="166" formatCode="_-&quot;$&quot;\ * #,##0_-;\-&quot;$&quot;\ * #,##0_-;_-&quot;$&quot;\ * &quot;-&quot;??_-;_-@_-"/>
    <numFmt numFmtId="167" formatCode="#,##0_ ;[Red]\-#,##0\ 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63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134">
    <xf numFmtId="0" fontId="0" fillId="0" borderId="0" xfId="0"/>
    <xf numFmtId="0" fontId="0" fillId="4" borderId="0" xfId="0" applyFill="1"/>
    <xf numFmtId="0" fontId="0" fillId="4" borderId="0" xfId="0" applyFill="1" applyBorder="1"/>
    <xf numFmtId="164" fontId="0" fillId="4" borderId="0" xfId="0" applyNumberFormat="1" applyFill="1"/>
    <xf numFmtId="0" fontId="0" fillId="4" borderId="2" xfId="0" applyFill="1" applyBorder="1"/>
    <xf numFmtId="0" fontId="0" fillId="4" borderId="7" xfId="0" applyFill="1" applyBorder="1"/>
    <xf numFmtId="42" fontId="0" fillId="4" borderId="7" xfId="2" applyFont="1" applyFill="1" applyBorder="1"/>
    <xf numFmtId="166" fontId="0" fillId="4" borderId="7" xfId="0" applyNumberFormat="1" applyFill="1" applyBorder="1"/>
    <xf numFmtId="165" fontId="0" fillId="4" borderId="0" xfId="0" applyNumberFormat="1" applyFill="1" applyBorder="1"/>
    <xf numFmtId="0" fontId="0" fillId="4" borderId="0" xfId="0" applyFont="1" applyFill="1"/>
    <xf numFmtId="0" fontId="0" fillId="4" borderId="10" xfId="0" applyFill="1" applyBorder="1"/>
    <xf numFmtId="42" fontId="0" fillId="4" borderId="0" xfId="2" applyFont="1" applyFill="1" applyBorder="1"/>
    <xf numFmtId="42" fontId="0" fillId="4" borderId="10" xfId="2" applyFont="1" applyFill="1" applyBorder="1"/>
    <xf numFmtId="42" fontId="0" fillId="4" borderId="10" xfId="0" applyNumberFormat="1" applyFill="1" applyBorder="1"/>
    <xf numFmtId="0" fontId="0" fillId="4" borderId="10" xfId="0" applyNumberFormat="1" applyFill="1" applyBorder="1"/>
    <xf numFmtId="42" fontId="0" fillId="4" borderId="6" xfId="2" applyFont="1" applyFill="1" applyBorder="1"/>
    <xf numFmtId="0" fontId="0" fillId="4" borderId="13" xfId="0" applyFill="1" applyBorder="1"/>
    <xf numFmtId="0" fontId="0" fillId="4" borderId="14" xfId="0" applyFill="1" applyBorder="1"/>
    <xf numFmtId="42" fontId="0" fillId="4" borderId="4" xfId="2" applyFont="1" applyFill="1" applyBorder="1"/>
    <xf numFmtId="42" fontId="0" fillId="4" borderId="18" xfId="2" applyFont="1" applyFill="1" applyBorder="1"/>
    <xf numFmtId="166" fontId="0" fillId="4" borderId="10" xfId="0" applyNumberForma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4" borderId="5" xfId="0" applyFill="1" applyBorder="1"/>
    <xf numFmtId="0" fontId="0" fillId="3" borderId="26" xfId="0" applyFill="1" applyBorder="1"/>
    <xf numFmtId="0" fontId="0" fillId="4" borderId="10" xfId="2" applyNumberFormat="1" applyFont="1" applyFill="1" applyBorder="1"/>
    <xf numFmtId="0" fontId="0" fillId="4" borderId="9" xfId="0" applyFill="1" applyBorder="1" applyAlignment="1">
      <alignment horizontal="center" vertical="center"/>
    </xf>
    <xf numFmtId="165" fontId="0" fillId="4" borderId="9" xfId="0" applyNumberFormat="1" applyFill="1" applyBorder="1"/>
    <xf numFmtId="165" fontId="0" fillId="4" borderId="7" xfId="0" applyNumberFormat="1" applyFill="1" applyBorder="1"/>
    <xf numFmtId="166" fontId="0" fillId="4" borderId="9" xfId="0" applyNumberFormat="1" applyFill="1" applyBorder="1"/>
    <xf numFmtId="167" fontId="0" fillId="4" borderId="9" xfId="0" applyNumberFormat="1" applyFill="1" applyBorder="1" applyAlignment="1">
      <alignment horizontal="center" vertical="center"/>
    </xf>
    <xf numFmtId="0" fontId="2" fillId="4" borderId="5" xfId="0" applyFont="1" applyFill="1" applyBorder="1"/>
    <xf numFmtId="165" fontId="2" fillId="4" borderId="6" xfId="0" applyNumberFormat="1" applyFont="1" applyFill="1" applyBorder="1"/>
    <xf numFmtId="0" fontId="2" fillId="4" borderId="2" xfId="0" applyFont="1" applyFill="1" applyBorder="1"/>
    <xf numFmtId="9" fontId="2" fillId="4" borderId="4" xfId="0" applyNumberFormat="1" applyFont="1" applyFill="1" applyBorder="1"/>
    <xf numFmtId="1" fontId="0" fillId="4" borderId="9" xfId="0" applyNumberFormat="1" applyFill="1" applyBorder="1" applyAlignment="1">
      <alignment horizontal="center" vertical="center"/>
    </xf>
    <xf numFmtId="0" fontId="0" fillId="4" borderId="33" xfId="0" applyFill="1" applyBorder="1"/>
    <xf numFmtId="0" fontId="2" fillId="4" borderId="35" xfId="0" applyFont="1" applyFill="1" applyBorder="1"/>
    <xf numFmtId="0" fontId="0" fillId="4" borderId="36" xfId="0" applyFill="1" applyBorder="1" applyAlignment="1">
      <alignment horizontal="center" vertical="center"/>
    </xf>
    <xf numFmtId="165" fontId="2" fillId="4" borderId="37" xfId="0" applyNumberFormat="1" applyFont="1" applyFill="1" applyBorder="1"/>
    <xf numFmtId="165" fontId="2" fillId="4" borderId="36" xfId="0" applyNumberFormat="1" applyFont="1" applyFill="1" applyBorder="1"/>
    <xf numFmtId="165" fontId="2" fillId="4" borderId="38" xfId="0" applyNumberFormat="1" applyFont="1" applyFill="1" applyBorder="1"/>
    <xf numFmtId="0" fontId="0" fillId="3" borderId="7" xfId="0" applyFill="1" applyBorder="1" applyAlignment="1">
      <alignment horizontal="center" vertical="center"/>
    </xf>
    <xf numFmtId="0" fontId="0" fillId="4" borderId="39" xfId="0" applyFill="1" applyBorder="1"/>
    <xf numFmtId="42" fontId="0" fillId="4" borderId="1" xfId="2" applyFont="1" applyFill="1" applyBorder="1"/>
    <xf numFmtId="42" fontId="0" fillId="4" borderId="8" xfId="2" applyFont="1" applyFill="1" applyBorder="1"/>
    <xf numFmtId="0" fontId="0" fillId="3" borderId="28" xfId="0" applyFill="1" applyBorder="1"/>
    <xf numFmtId="42" fontId="0" fillId="3" borderId="41" xfId="2" applyFont="1" applyFill="1" applyBorder="1"/>
    <xf numFmtId="42" fontId="0" fillId="3" borderId="42" xfId="2" applyFont="1" applyFill="1" applyBorder="1"/>
    <xf numFmtId="0" fontId="2" fillId="3" borderId="32" xfId="0" applyFont="1" applyFill="1" applyBorder="1"/>
    <xf numFmtId="0" fontId="0" fillId="3" borderId="8" xfId="0" applyFill="1" applyBorder="1" applyAlignment="1">
      <alignment horizontal="center" vertical="center"/>
    </xf>
    <xf numFmtId="165" fontId="0" fillId="3" borderId="7" xfId="0" applyNumberFormat="1" applyFill="1" applyBorder="1"/>
    <xf numFmtId="0" fontId="2" fillId="3" borderId="33" xfId="0" applyFont="1" applyFill="1" applyBorder="1"/>
    <xf numFmtId="165" fontId="0" fillId="3" borderId="9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43" xfId="0" applyFill="1" applyBorder="1"/>
    <xf numFmtId="0" fontId="0" fillId="3" borderId="44" xfId="0" applyFill="1" applyBorder="1"/>
    <xf numFmtId="0" fontId="0" fillId="3" borderId="40" xfId="0" applyFill="1" applyBorder="1"/>
    <xf numFmtId="0" fontId="0" fillId="3" borderId="45" xfId="0" applyFill="1" applyBorder="1"/>
    <xf numFmtId="0" fontId="0" fillId="4" borderId="4" xfId="0" applyNumberFormat="1" applyFill="1" applyBorder="1"/>
    <xf numFmtId="0" fontId="0" fillId="4" borderId="46" xfId="0" applyFill="1" applyBorder="1"/>
    <xf numFmtId="0" fontId="0" fillId="4" borderId="47" xfId="0" applyFill="1" applyBorder="1"/>
    <xf numFmtId="0" fontId="0" fillId="4" borderId="8" xfId="0" applyFill="1" applyBorder="1"/>
    <xf numFmtId="42" fontId="0" fillId="3" borderId="45" xfId="2" applyFont="1" applyFill="1" applyBorder="1"/>
    <xf numFmtId="0" fontId="0" fillId="4" borderId="48" xfId="0" applyFill="1" applyBorder="1"/>
    <xf numFmtId="42" fontId="0" fillId="4" borderId="49" xfId="2" applyFont="1" applyFill="1" applyBorder="1"/>
    <xf numFmtId="0" fontId="0" fillId="4" borderId="1" xfId="0" applyFill="1" applyBorder="1"/>
    <xf numFmtId="166" fontId="0" fillId="4" borderId="8" xfId="0" applyNumberFormat="1" applyFill="1" applyBorder="1"/>
    <xf numFmtId="42" fontId="0" fillId="4" borderId="50" xfId="2" applyFont="1" applyFill="1" applyBorder="1"/>
    <xf numFmtId="42" fontId="0" fillId="4" borderId="8" xfId="0" applyNumberFormat="1" applyFill="1" applyBorder="1"/>
    <xf numFmtId="42" fontId="0" fillId="3" borderId="41" xfId="0" applyNumberFormat="1" applyFill="1" applyBorder="1"/>
    <xf numFmtId="42" fontId="0" fillId="3" borderId="28" xfId="2" applyFont="1" applyFill="1" applyBorder="1"/>
    <xf numFmtId="42" fontId="0" fillId="3" borderId="42" xfId="0" applyNumberFormat="1" applyFill="1" applyBorder="1"/>
    <xf numFmtId="165" fontId="0" fillId="4" borderId="8" xfId="1" applyNumberFormat="1" applyFont="1" applyFill="1" applyBorder="1"/>
    <xf numFmtId="42" fontId="0" fillId="4" borderId="9" xfId="0" applyNumberFormat="1" applyFill="1" applyBorder="1"/>
    <xf numFmtId="164" fontId="0" fillId="4" borderId="7" xfId="0" applyNumberFormat="1" applyFill="1" applyBorder="1"/>
    <xf numFmtId="164" fontId="0" fillId="4" borderId="6" xfId="0" applyNumberFormat="1" applyFill="1" applyBorder="1"/>
    <xf numFmtId="0" fontId="0" fillId="4" borderId="51" xfId="0" applyFill="1" applyBorder="1"/>
    <xf numFmtId="0" fontId="0" fillId="4" borderId="4" xfId="0" applyFill="1" applyBorder="1"/>
    <xf numFmtId="0" fontId="0" fillId="3" borderId="53" xfId="0" applyFill="1" applyBorder="1"/>
    <xf numFmtId="0" fontId="0" fillId="3" borderId="36" xfId="0" applyFill="1" applyBorder="1"/>
    <xf numFmtId="0" fontId="0" fillId="3" borderId="54" xfId="0" applyFill="1" applyBorder="1"/>
    <xf numFmtId="0" fontId="0" fillId="4" borderId="55" xfId="0" applyFill="1" applyBorder="1"/>
    <xf numFmtId="0" fontId="0" fillId="3" borderId="57" xfId="0" applyFill="1" applyBorder="1"/>
    <xf numFmtId="42" fontId="0" fillId="4" borderId="56" xfId="2" applyFont="1" applyFill="1" applyBorder="1"/>
    <xf numFmtId="42" fontId="0" fillId="3" borderId="54" xfId="2" applyFont="1" applyFill="1" applyBorder="1"/>
    <xf numFmtId="9" fontId="0" fillId="4" borderId="56" xfId="0" applyNumberFormat="1" applyFill="1" applyBorder="1"/>
    <xf numFmtId="0" fontId="0" fillId="4" borderId="57" xfId="0" applyFill="1" applyBorder="1"/>
    <xf numFmtId="0" fontId="0" fillId="4" borderId="54" xfId="0" applyFill="1" applyBorder="1"/>
    <xf numFmtId="8" fontId="0" fillId="4" borderId="42" xfId="0" applyNumberFormat="1" applyFill="1" applyBorder="1"/>
    <xf numFmtId="0" fontId="0" fillId="4" borderId="58" xfId="0" applyFill="1" applyBorder="1"/>
    <xf numFmtId="166" fontId="0" fillId="4" borderId="59" xfId="1" applyNumberFormat="1" applyFont="1" applyFill="1" applyBorder="1"/>
    <xf numFmtId="42" fontId="0" fillId="4" borderId="9" xfId="2" applyFont="1" applyFill="1" applyBorder="1"/>
    <xf numFmtId="165" fontId="0" fillId="4" borderId="60" xfId="1" applyNumberFormat="1" applyFont="1" applyFill="1" applyBorder="1"/>
    <xf numFmtId="165" fontId="0" fillId="4" borderId="34" xfId="0" applyNumberFormat="1" applyFill="1" applyBorder="1"/>
    <xf numFmtId="165" fontId="0" fillId="3" borderId="56" xfId="0" applyNumberFormat="1" applyFill="1" applyBorder="1"/>
    <xf numFmtId="165" fontId="0" fillId="3" borderId="34" xfId="0" applyNumberFormat="1" applyFill="1" applyBorder="1"/>
    <xf numFmtId="42" fontId="0" fillId="4" borderId="34" xfId="0" applyNumberFormat="1" applyFill="1" applyBorder="1"/>
    <xf numFmtId="42" fontId="0" fillId="4" borderId="34" xfId="2" applyFont="1" applyFill="1" applyBorder="1"/>
    <xf numFmtId="166" fontId="0" fillId="4" borderId="34" xfId="0" applyNumberFormat="1" applyFill="1" applyBorder="1"/>
    <xf numFmtId="42" fontId="0" fillId="4" borderId="59" xfId="0" applyNumberFormat="1" applyFill="1" applyBorder="1"/>
    <xf numFmtId="0" fontId="0" fillId="3" borderId="61" xfId="0" applyFill="1" applyBorder="1"/>
    <xf numFmtId="0" fontId="2" fillId="3" borderId="3" xfId="0" applyFont="1" applyFill="1" applyBorder="1"/>
    <xf numFmtId="0" fontId="2" fillId="3" borderId="10" xfId="0" applyFont="1" applyFill="1" applyBorder="1"/>
    <xf numFmtId="0" fontId="2" fillId="3" borderId="62" xfId="0" applyFont="1" applyFill="1" applyBorder="1"/>
    <xf numFmtId="0" fontId="0" fillId="4" borderId="47" xfId="0" applyFill="1" applyBorder="1" applyAlignment="1"/>
    <xf numFmtId="42" fontId="0" fillId="4" borderId="43" xfId="2" applyFont="1" applyFill="1" applyBorder="1"/>
    <xf numFmtId="42" fontId="0" fillId="4" borderId="44" xfId="2" applyFont="1" applyFill="1" applyBorder="1"/>
    <xf numFmtId="42" fontId="0" fillId="4" borderId="45" xfId="2" applyFont="1" applyFill="1" applyBorder="1"/>
    <xf numFmtId="0" fontId="0" fillId="4" borderId="4" xfId="2" applyNumberFormat="1" applyFont="1" applyFill="1" applyBorder="1"/>
    <xf numFmtId="0" fontId="0" fillId="2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2" fillId="5" borderId="52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0" fontId="2" fillId="5" borderId="31" xfId="0" applyFon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9" xfId="0" applyFill="1" applyBorder="1" applyAlignment="1">
      <alignment horizontal="center" wrapText="1"/>
    </xf>
    <xf numFmtId="0" fontId="0" fillId="2" borderId="20" xfId="0" applyFill="1" applyBorder="1" applyAlignment="1">
      <alignment horizontal="center" wrapText="1"/>
    </xf>
    <xf numFmtId="0" fontId="0" fillId="2" borderId="21" xfId="0" applyFill="1" applyBorder="1" applyAlignment="1">
      <alignment horizontal="center" wrapText="1"/>
    </xf>
    <xf numFmtId="0" fontId="0" fillId="2" borderId="40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42" xfId="0" applyFill="1" applyBorder="1" applyAlignment="1">
      <alignment horizontal="center"/>
    </xf>
  </cellXfs>
  <cellStyles count="3">
    <cellStyle name="Moneda" xfId="1" builtinId="4"/>
    <cellStyle name="Moneda [0]" xfId="2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73"/>
  <sheetViews>
    <sheetView topLeftCell="A34" workbookViewId="0">
      <selection activeCell="F50" sqref="F50"/>
    </sheetView>
  </sheetViews>
  <sheetFormatPr baseColWidth="10" defaultRowHeight="15"/>
  <cols>
    <col min="1" max="1" width="15.28515625" style="1" customWidth="1"/>
    <col min="2" max="2" width="18.42578125" style="1" customWidth="1"/>
    <col min="3" max="4" width="14.85546875" style="1" customWidth="1"/>
    <col min="5" max="5" width="14.42578125" style="1" customWidth="1"/>
    <col min="6" max="6" width="16.7109375" style="1" customWidth="1"/>
    <col min="7" max="8" width="13" style="1" customWidth="1"/>
    <col min="9" max="10" width="12" style="1" customWidth="1"/>
    <col min="11" max="11" width="12.28515625" style="1" customWidth="1"/>
    <col min="12" max="12" width="12" style="1" bestFit="1" customWidth="1"/>
    <col min="13" max="16384" width="11.42578125" style="1"/>
  </cols>
  <sheetData>
    <row r="1" spans="1:12" ht="15.75" thickBot="1">
      <c r="A1" s="124" t="s">
        <v>61</v>
      </c>
      <c r="B1" s="125"/>
    </row>
    <row r="2" spans="1:12" ht="15.75" thickBot="1">
      <c r="A2" s="96" t="s">
        <v>2</v>
      </c>
      <c r="B2" s="97">
        <f>C73+F29</f>
        <v>31270500</v>
      </c>
      <c r="D2" s="63" t="s">
        <v>0</v>
      </c>
      <c r="E2" s="95">
        <f>PMT(B3,B4,B2)</f>
        <v>-14382049.086328521</v>
      </c>
    </row>
    <row r="3" spans="1:12">
      <c r="A3" s="88" t="s">
        <v>26</v>
      </c>
      <c r="B3" s="92">
        <v>0.18</v>
      </c>
    </row>
    <row r="4" spans="1:12" ht="15.75" thickBot="1">
      <c r="A4" s="93" t="s">
        <v>62</v>
      </c>
      <c r="B4" s="94">
        <v>3</v>
      </c>
    </row>
    <row r="5" spans="1:12" ht="15.75" thickBot="1"/>
    <row r="6" spans="1:12" ht="15.75" thickBot="1">
      <c r="B6" s="119" t="s">
        <v>25</v>
      </c>
      <c r="C6" s="120"/>
      <c r="D6" s="120"/>
      <c r="E6" s="120"/>
      <c r="F6" s="121"/>
    </row>
    <row r="7" spans="1:12" ht="15.75" thickBot="1">
      <c r="B7" s="48" t="s">
        <v>3</v>
      </c>
      <c r="C7" s="85" t="s">
        <v>0</v>
      </c>
      <c r="D7" s="86" t="s">
        <v>1</v>
      </c>
      <c r="E7" s="86" t="s">
        <v>26</v>
      </c>
      <c r="F7" s="87" t="s">
        <v>2</v>
      </c>
    </row>
    <row r="8" spans="1:12">
      <c r="B8" s="66">
        <v>0</v>
      </c>
      <c r="C8" s="84"/>
      <c r="D8" s="10"/>
      <c r="E8" s="10"/>
      <c r="F8" s="20">
        <f>B2</f>
        <v>31270500</v>
      </c>
    </row>
    <row r="9" spans="1:12">
      <c r="A9" s="3"/>
      <c r="B9" s="67">
        <v>1</v>
      </c>
      <c r="C9" s="82">
        <f>-E2</f>
        <v>14382049.086328521</v>
      </c>
      <c r="D9" s="81">
        <f>C9-E9</f>
        <v>8753359.0863285214</v>
      </c>
      <c r="E9" s="7">
        <f>F8*$B$3</f>
        <v>5628690</v>
      </c>
      <c r="F9" s="30">
        <f>F8-D9</f>
        <v>22517140.913671479</v>
      </c>
    </row>
    <row r="10" spans="1:12">
      <c r="B10" s="67">
        <v>2</v>
      </c>
      <c r="C10" s="82">
        <f>C9</f>
        <v>14382049.086328521</v>
      </c>
      <c r="D10" s="81">
        <f>C10-E10</f>
        <v>10328963.721867654</v>
      </c>
      <c r="E10" s="7">
        <f>F9*$B$3</f>
        <v>4053085.364460866</v>
      </c>
      <c r="F10" s="30">
        <f>F9-D10</f>
        <v>12188177.191803824</v>
      </c>
    </row>
    <row r="11" spans="1:12" ht="15.75" thickBot="1">
      <c r="B11" s="83">
        <v>3</v>
      </c>
      <c r="C11" s="82">
        <f>C9</f>
        <v>14382049.086328521</v>
      </c>
      <c r="D11" s="81">
        <f t="shared" ref="D11" si="0">C11-E11</f>
        <v>12188177.191803833</v>
      </c>
      <c r="E11" s="7">
        <f>F10*$B$3</f>
        <v>2193871.8945246884</v>
      </c>
      <c r="F11" s="30">
        <f t="shared" ref="F11" si="1">F10-D11</f>
        <v>0</v>
      </c>
    </row>
    <row r="12" spans="1:12" ht="15.75" thickBot="1"/>
    <row r="13" spans="1:12" ht="15.75" thickTop="1">
      <c r="A13" s="116" t="s">
        <v>21</v>
      </c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8"/>
    </row>
    <row r="14" spans="1:12" ht="15.75" thickBot="1">
      <c r="A14" s="21" t="s">
        <v>42</v>
      </c>
      <c r="B14" s="22" t="s">
        <v>44</v>
      </c>
      <c r="C14" s="22" t="s">
        <v>30</v>
      </c>
      <c r="D14" s="26" t="s">
        <v>41</v>
      </c>
      <c r="E14" s="23" t="s">
        <v>45</v>
      </c>
      <c r="F14" s="24">
        <v>0</v>
      </c>
      <c r="G14" s="22">
        <v>1</v>
      </c>
      <c r="H14" s="22">
        <v>2</v>
      </c>
      <c r="I14" s="22">
        <v>3</v>
      </c>
      <c r="J14" s="22">
        <v>4</v>
      </c>
      <c r="K14" s="22">
        <v>5</v>
      </c>
      <c r="L14" s="23">
        <v>6</v>
      </c>
    </row>
    <row r="15" spans="1:12" ht="15.75" thickTop="1">
      <c r="A15" s="10" t="s">
        <v>27</v>
      </c>
      <c r="B15" s="12">
        <f>5000*700</f>
        <v>3500000</v>
      </c>
      <c r="C15" s="27">
        <v>1</v>
      </c>
      <c r="D15" s="4">
        <v>3</v>
      </c>
      <c r="E15" s="19">
        <f>430*700</f>
        <v>301000</v>
      </c>
      <c r="F15" s="18"/>
      <c r="G15" s="20">
        <f>$B$15/$D$15</f>
        <v>1166666.6666666667</v>
      </c>
      <c r="H15" s="20">
        <f>$B$15/$D$15</f>
        <v>1166666.6666666667</v>
      </c>
      <c r="I15" s="20">
        <f>$B$15/$D$15</f>
        <v>1166666.6666666667</v>
      </c>
      <c r="J15" s="20"/>
      <c r="K15" s="20">
        <f>G15</f>
        <v>1166666.6666666667</v>
      </c>
      <c r="L15" s="20">
        <f>H15</f>
        <v>1166666.6666666667</v>
      </c>
    </row>
    <row r="16" spans="1:12" ht="15.75" thickBot="1">
      <c r="A16" s="5" t="s">
        <v>50</v>
      </c>
      <c r="B16" s="5">
        <f>10000*700</f>
        <v>7000000</v>
      </c>
      <c r="C16" s="5">
        <v>1</v>
      </c>
      <c r="D16" s="25">
        <v>10</v>
      </c>
      <c r="E16" s="71">
        <v>0</v>
      </c>
      <c r="F16" s="72"/>
      <c r="G16" s="73">
        <f t="shared" ref="G16:L16" si="2">$B$16/$D$16</f>
        <v>700000</v>
      </c>
      <c r="H16" s="73">
        <f t="shared" si="2"/>
        <v>700000</v>
      </c>
      <c r="I16" s="73">
        <f t="shared" si="2"/>
        <v>700000</v>
      </c>
      <c r="J16" s="73">
        <f t="shared" si="2"/>
        <v>700000</v>
      </c>
      <c r="K16" s="73">
        <f t="shared" si="2"/>
        <v>700000</v>
      </c>
      <c r="L16" s="73">
        <f t="shared" si="2"/>
        <v>700000</v>
      </c>
    </row>
    <row r="17" spans="1:12" ht="15.75" thickBot="1">
      <c r="A17" s="2"/>
      <c r="B17" s="2"/>
      <c r="C17" s="2"/>
      <c r="D17" s="2"/>
      <c r="E17" s="77" t="s">
        <v>32</v>
      </c>
      <c r="F17" s="76">
        <f>SUM(F15:F16)</f>
        <v>0</v>
      </c>
      <c r="G17" s="76">
        <f t="shared" ref="G17:L17" si="3">SUM(G15:G16)</f>
        <v>1866666.6666666667</v>
      </c>
      <c r="H17" s="76">
        <f t="shared" si="3"/>
        <v>1866666.6666666667</v>
      </c>
      <c r="I17" s="76">
        <f t="shared" si="3"/>
        <v>1866666.6666666667</v>
      </c>
      <c r="J17" s="76">
        <f t="shared" si="3"/>
        <v>700000</v>
      </c>
      <c r="K17" s="76">
        <f t="shared" si="3"/>
        <v>1866666.6666666667</v>
      </c>
      <c r="L17" s="78">
        <f t="shared" si="3"/>
        <v>1866666.6666666667</v>
      </c>
    </row>
    <row r="18" spans="1:12" ht="15.75" thickBot="1"/>
    <row r="19" spans="1:12" ht="15.75" thickTop="1">
      <c r="A19" s="116" t="s">
        <v>9</v>
      </c>
      <c r="B19" s="117"/>
      <c r="C19" s="117"/>
      <c r="D19" s="117"/>
      <c r="E19" s="117"/>
      <c r="F19" s="117"/>
      <c r="G19" s="117"/>
      <c r="H19" s="117"/>
      <c r="I19" s="117"/>
      <c r="J19" s="117"/>
      <c r="K19" s="117"/>
      <c r="L19" s="118"/>
    </row>
    <row r="20" spans="1:12" ht="15.75" thickBot="1">
      <c r="A20" s="21" t="s">
        <v>42</v>
      </c>
      <c r="B20" s="22" t="s">
        <v>44</v>
      </c>
      <c r="C20" s="22" t="s">
        <v>30</v>
      </c>
      <c r="D20" s="22" t="s">
        <v>41</v>
      </c>
      <c r="E20" s="23" t="s">
        <v>45</v>
      </c>
      <c r="F20" s="24">
        <v>0</v>
      </c>
      <c r="G20" s="22">
        <v>1</v>
      </c>
      <c r="H20" s="22">
        <v>2</v>
      </c>
      <c r="I20" s="22">
        <v>3</v>
      </c>
      <c r="J20" s="22">
        <v>4</v>
      </c>
      <c r="K20" s="22">
        <v>5</v>
      </c>
      <c r="L20" s="23">
        <v>6</v>
      </c>
    </row>
    <row r="21" spans="1:12" ht="15.75" thickTop="1">
      <c r="A21" s="10" t="s">
        <v>27</v>
      </c>
      <c r="B21" s="12">
        <f>5000*700</f>
        <v>3500000</v>
      </c>
      <c r="C21" s="27">
        <v>1</v>
      </c>
      <c r="D21" s="10">
        <v>3</v>
      </c>
      <c r="E21" s="19">
        <f>430*700</f>
        <v>301000</v>
      </c>
      <c r="F21" s="18"/>
      <c r="G21" s="10"/>
      <c r="H21" s="10"/>
      <c r="I21" s="10"/>
      <c r="J21" s="13"/>
      <c r="K21" s="10"/>
      <c r="L21" s="20">
        <f>L15</f>
        <v>1166666.6666666667</v>
      </c>
    </row>
    <row r="22" spans="1:12" ht="15.75" thickBot="1">
      <c r="A22" s="5" t="s">
        <v>50</v>
      </c>
      <c r="B22" s="5">
        <f>10000*700</f>
        <v>7000000</v>
      </c>
      <c r="C22" s="5">
        <v>1</v>
      </c>
      <c r="D22" s="5">
        <v>10</v>
      </c>
      <c r="E22" s="74">
        <v>0</v>
      </c>
      <c r="F22" s="72"/>
      <c r="G22" s="68"/>
      <c r="H22" s="68"/>
      <c r="I22" s="68"/>
      <c r="J22" s="68"/>
      <c r="K22" s="68"/>
      <c r="L22" s="73">
        <f>L16*4</f>
        <v>2800000</v>
      </c>
    </row>
    <row r="23" spans="1:12" ht="15.75" thickBot="1">
      <c r="A23" s="2"/>
      <c r="B23" s="2"/>
      <c r="C23" s="2"/>
      <c r="D23" s="2"/>
      <c r="E23" s="77" t="s">
        <v>32</v>
      </c>
      <c r="F23" s="76">
        <f>SUM(F21:F22)</f>
        <v>0</v>
      </c>
      <c r="G23" s="76">
        <f t="shared" ref="G23:L23" si="4">SUM(G21:G22)</f>
        <v>0</v>
      </c>
      <c r="H23" s="76">
        <f t="shared" si="4"/>
        <v>0</v>
      </c>
      <c r="I23" s="76">
        <f t="shared" si="4"/>
        <v>0</v>
      </c>
      <c r="J23" s="76">
        <f t="shared" si="4"/>
        <v>0</v>
      </c>
      <c r="K23" s="76">
        <f t="shared" si="4"/>
        <v>0</v>
      </c>
      <c r="L23" s="78">
        <f t="shared" si="4"/>
        <v>3966666.666666667</v>
      </c>
    </row>
    <row r="24" spans="1:12" ht="15.75" thickBot="1"/>
    <row r="25" spans="1:12" ht="15.75" thickTop="1">
      <c r="A25" s="128" t="s">
        <v>43</v>
      </c>
      <c r="B25" s="129"/>
      <c r="C25" s="129"/>
      <c r="D25" s="129"/>
      <c r="E25" s="129"/>
      <c r="F25" s="129"/>
      <c r="G25" s="129"/>
      <c r="H25" s="129"/>
      <c r="I25" s="129"/>
      <c r="J25" s="129"/>
      <c r="K25" s="129"/>
      <c r="L25" s="130"/>
    </row>
    <row r="26" spans="1:12" ht="15.75" thickBot="1">
      <c r="A26" s="21" t="s">
        <v>42</v>
      </c>
      <c r="B26" s="22" t="s">
        <v>44</v>
      </c>
      <c r="C26" s="22" t="s">
        <v>30</v>
      </c>
      <c r="D26" s="22" t="s">
        <v>41</v>
      </c>
      <c r="E26" s="23" t="s">
        <v>45</v>
      </c>
      <c r="F26" s="24">
        <v>0</v>
      </c>
      <c r="G26" s="22">
        <v>1</v>
      </c>
      <c r="H26" s="22">
        <v>2</v>
      </c>
      <c r="I26" s="22">
        <v>3</v>
      </c>
      <c r="J26" s="22">
        <v>4</v>
      </c>
      <c r="K26" s="22">
        <v>5</v>
      </c>
      <c r="L26" s="23">
        <v>6</v>
      </c>
    </row>
    <row r="27" spans="1:12" ht="15.75" thickTop="1">
      <c r="A27" s="10" t="s">
        <v>27</v>
      </c>
      <c r="B27" s="12">
        <f>5000*700</f>
        <v>3500000</v>
      </c>
      <c r="C27" s="27">
        <v>1</v>
      </c>
      <c r="D27" s="10">
        <v>3</v>
      </c>
      <c r="E27" s="19">
        <f>430*700</f>
        <v>301000</v>
      </c>
      <c r="F27" s="18">
        <f>B27</f>
        <v>3500000</v>
      </c>
      <c r="G27" s="10"/>
      <c r="H27" s="10"/>
      <c r="I27" s="10"/>
      <c r="J27" s="13">
        <f>B27</f>
        <v>3500000</v>
      </c>
      <c r="K27" s="10"/>
      <c r="L27" s="10"/>
    </row>
    <row r="28" spans="1:12" ht="15.75" thickBot="1">
      <c r="A28" s="5"/>
      <c r="B28" s="5">
        <f>10000*700</f>
        <v>7000000</v>
      </c>
      <c r="C28" s="5">
        <v>1</v>
      </c>
      <c r="D28" s="5">
        <v>10</v>
      </c>
      <c r="E28" s="74">
        <v>0</v>
      </c>
      <c r="F28" s="46">
        <f>B28</f>
        <v>7000000</v>
      </c>
      <c r="G28" s="68"/>
      <c r="H28" s="68"/>
      <c r="I28" s="68"/>
      <c r="J28" s="75"/>
      <c r="K28" s="68"/>
      <c r="L28" s="68"/>
    </row>
    <row r="29" spans="1:12" ht="15.75" thickBot="1">
      <c r="A29" s="2"/>
      <c r="B29" s="2"/>
      <c r="C29" s="2"/>
      <c r="D29" s="2"/>
      <c r="E29" s="77" t="s">
        <v>32</v>
      </c>
      <c r="F29" s="49">
        <f>SUM(F27:F28)</f>
        <v>10500000</v>
      </c>
      <c r="G29" s="49">
        <f t="shared" ref="G29:L29" si="5">SUM(G27:G28)</f>
        <v>0</v>
      </c>
      <c r="H29" s="49">
        <f t="shared" si="5"/>
        <v>0</v>
      </c>
      <c r="I29" s="49">
        <f t="shared" si="5"/>
        <v>0</v>
      </c>
      <c r="J29" s="49">
        <f t="shared" si="5"/>
        <v>3500000</v>
      </c>
      <c r="K29" s="49">
        <f t="shared" si="5"/>
        <v>0</v>
      </c>
      <c r="L29" s="50">
        <f t="shared" si="5"/>
        <v>0</v>
      </c>
    </row>
    <row r="30" spans="1:12" ht="15.75" thickBot="1">
      <c r="B30" s="2"/>
      <c r="C30" s="2"/>
      <c r="D30" s="2"/>
      <c r="E30" s="2"/>
      <c r="F30" s="2"/>
      <c r="G30" s="2"/>
      <c r="H30" s="2"/>
      <c r="I30" s="2"/>
      <c r="J30" s="2"/>
    </row>
    <row r="31" spans="1:12" ht="15.75" thickTop="1">
      <c r="A31" s="128" t="s">
        <v>47</v>
      </c>
      <c r="B31" s="129"/>
      <c r="C31" s="129"/>
      <c r="D31" s="129"/>
      <c r="E31" s="129"/>
      <c r="F31" s="129"/>
      <c r="G31" s="129"/>
      <c r="H31" s="129"/>
      <c r="I31" s="129"/>
      <c r="J31" s="129"/>
      <c r="K31" s="129"/>
      <c r="L31" s="130"/>
    </row>
    <row r="32" spans="1:12" ht="15.75" thickBot="1">
      <c r="A32" s="21" t="s">
        <v>42</v>
      </c>
      <c r="B32" s="22" t="s">
        <v>44</v>
      </c>
      <c r="C32" s="22" t="s">
        <v>30</v>
      </c>
      <c r="D32" s="22" t="s">
        <v>41</v>
      </c>
      <c r="E32" s="23" t="s">
        <v>45</v>
      </c>
      <c r="F32" s="24">
        <v>0</v>
      </c>
      <c r="G32" s="22">
        <v>1</v>
      </c>
      <c r="H32" s="22">
        <v>2</v>
      </c>
      <c r="I32" s="22">
        <v>3</v>
      </c>
      <c r="J32" s="22">
        <v>4</v>
      </c>
      <c r="K32" s="22">
        <v>5</v>
      </c>
      <c r="L32" s="23">
        <v>6</v>
      </c>
    </row>
    <row r="33" spans="1:12" ht="15.75" thickTop="1">
      <c r="A33" s="10" t="s">
        <v>27</v>
      </c>
      <c r="B33" s="12">
        <f>5000*700</f>
        <v>3500000</v>
      </c>
      <c r="C33" s="27">
        <v>1</v>
      </c>
      <c r="D33" s="10">
        <v>3</v>
      </c>
      <c r="E33" s="19">
        <f>430*700</f>
        <v>301000</v>
      </c>
      <c r="F33" s="18"/>
      <c r="G33" s="10"/>
      <c r="H33" s="10"/>
      <c r="I33" s="13">
        <f>E33</f>
        <v>301000</v>
      </c>
      <c r="J33" s="13"/>
      <c r="K33" s="10"/>
      <c r="L33" s="20">
        <f>E33</f>
        <v>301000</v>
      </c>
    </row>
    <row r="34" spans="1:12" ht="15.75" thickBot="1">
      <c r="A34" s="5"/>
      <c r="B34" s="5">
        <f>10000*700</f>
        <v>7000000</v>
      </c>
      <c r="C34" s="5">
        <v>1</v>
      </c>
      <c r="D34" s="5">
        <v>10</v>
      </c>
      <c r="E34" s="74">
        <v>0</v>
      </c>
      <c r="F34" s="46"/>
      <c r="G34" s="68"/>
      <c r="H34" s="68"/>
      <c r="I34" s="68"/>
      <c r="J34" s="75"/>
      <c r="K34" s="68"/>
      <c r="L34" s="73"/>
    </row>
    <row r="35" spans="1:12" ht="15.75" thickBot="1">
      <c r="A35" s="2"/>
      <c r="B35" s="2"/>
      <c r="C35" s="2"/>
      <c r="D35" s="2"/>
      <c r="E35" s="77" t="s">
        <v>32</v>
      </c>
      <c r="F35" s="49">
        <f>SUM(F33:F34)</f>
        <v>0</v>
      </c>
      <c r="G35" s="49">
        <f t="shared" ref="G35:L35" si="6">SUM(G33:G34)</f>
        <v>0</v>
      </c>
      <c r="H35" s="49">
        <f t="shared" si="6"/>
        <v>0</v>
      </c>
      <c r="I35" s="49">
        <f t="shared" si="6"/>
        <v>301000</v>
      </c>
      <c r="J35" s="49">
        <f t="shared" si="6"/>
        <v>0</v>
      </c>
      <c r="K35" s="49">
        <f t="shared" si="6"/>
        <v>0</v>
      </c>
      <c r="L35" s="50">
        <f t="shared" si="6"/>
        <v>301000</v>
      </c>
    </row>
    <row r="36" spans="1:12">
      <c r="B36" s="2"/>
      <c r="C36" s="2"/>
      <c r="D36" s="8"/>
      <c r="E36" s="8"/>
      <c r="F36" s="8"/>
      <c r="G36" s="8"/>
      <c r="H36" s="8"/>
      <c r="I36" s="8"/>
    </row>
    <row r="37" spans="1:12" ht="15.75" thickBot="1">
      <c r="B37" s="126" t="s">
        <v>28</v>
      </c>
      <c r="C37" s="126"/>
      <c r="D37" s="126"/>
      <c r="E37" s="126"/>
      <c r="F37" s="126"/>
      <c r="G37" s="126"/>
      <c r="H37" s="126"/>
    </row>
    <row r="38" spans="1:12" ht="16.5" thickTop="1" thickBot="1">
      <c r="A38" s="9"/>
      <c r="B38" s="57"/>
      <c r="C38" s="58">
        <v>1</v>
      </c>
      <c r="D38" s="59">
        <v>2</v>
      </c>
      <c r="E38" s="59">
        <v>3</v>
      </c>
      <c r="F38" s="59">
        <v>4</v>
      </c>
      <c r="G38" s="59">
        <v>5</v>
      </c>
      <c r="H38" s="60">
        <v>6</v>
      </c>
    </row>
    <row r="39" spans="1:12" ht="15.75" thickTop="1">
      <c r="B39" s="17" t="s">
        <v>33</v>
      </c>
      <c r="C39" s="18">
        <f t="shared" ref="C39" si="7">60000*12</f>
        <v>720000</v>
      </c>
      <c r="D39" s="12">
        <f>C39+(C39*3%)</f>
        <v>741600</v>
      </c>
      <c r="E39" s="12">
        <f t="shared" ref="E39:H39" si="8">D39+(D39*3%)</f>
        <v>763848</v>
      </c>
      <c r="F39" s="12">
        <f t="shared" si="8"/>
        <v>786763.44</v>
      </c>
      <c r="G39" s="12">
        <f t="shared" si="8"/>
        <v>810366.34319999989</v>
      </c>
      <c r="H39" s="12">
        <f t="shared" si="8"/>
        <v>834677.33349599992</v>
      </c>
    </row>
    <row r="40" spans="1:12">
      <c r="B40" s="16" t="s">
        <v>34</v>
      </c>
      <c r="C40" s="15">
        <f t="shared" ref="C40:H40" si="9">50000*12</f>
        <v>600000</v>
      </c>
      <c r="D40" s="6">
        <f t="shared" si="9"/>
        <v>600000</v>
      </c>
      <c r="E40" s="6">
        <f t="shared" si="9"/>
        <v>600000</v>
      </c>
      <c r="F40" s="6">
        <f t="shared" si="9"/>
        <v>600000</v>
      </c>
      <c r="G40" s="6">
        <f t="shared" si="9"/>
        <v>600000</v>
      </c>
      <c r="H40" s="6">
        <f t="shared" si="9"/>
        <v>600000</v>
      </c>
    </row>
    <row r="41" spans="1:12">
      <c r="B41" s="16" t="s">
        <v>38</v>
      </c>
      <c r="C41" s="15">
        <f t="shared" ref="C41" si="10">150000*12</f>
        <v>1800000</v>
      </c>
      <c r="D41" s="6">
        <f>C41+(C41*3%)</f>
        <v>1854000</v>
      </c>
      <c r="E41" s="6">
        <f t="shared" ref="E41:H41" si="11">D41+(D41*3%)</f>
        <v>1909620</v>
      </c>
      <c r="F41" s="6">
        <f t="shared" si="11"/>
        <v>1966908.6</v>
      </c>
      <c r="G41" s="6">
        <f t="shared" si="11"/>
        <v>2025915.858</v>
      </c>
      <c r="H41" s="6">
        <f t="shared" si="11"/>
        <v>2086693.3337399999</v>
      </c>
    </row>
    <row r="42" spans="1:12">
      <c r="B42" s="16" t="s">
        <v>35</v>
      </c>
      <c r="C42" s="15">
        <f>500000*12</f>
        <v>6000000</v>
      </c>
      <c r="D42" s="6">
        <f>C42+(C42*3%)</f>
        <v>6180000</v>
      </c>
      <c r="E42" s="6">
        <f t="shared" ref="E42:H42" si="12">D42+(D42*3%)</f>
        <v>6365400</v>
      </c>
      <c r="F42" s="6">
        <f t="shared" si="12"/>
        <v>6556362</v>
      </c>
      <c r="G42" s="6">
        <f t="shared" si="12"/>
        <v>6753052.8600000003</v>
      </c>
      <c r="H42" s="6">
        <f t="shared" si="12"/>
        <v>6955644.4458000008</v>
      </c>
    </row>
    <row r="43" spans="1:12">
      <c r="B43" s="16" t="s">
        <v>36</v>
      </c>
      <c r="C43" s="15">
        <f>3*500000*6+6*500000</f>
        <v>12000000</v>
      </c>
      <c r="D43" s="6">
        <f>12*(500000+500000*0.3%)</f>
        <v>6018000</v>
      </c>
      <c r="E43" s="6">
        <f>12*(500000+500000*0.3%)</f>
        <v>6018000</v>
      </c>
      <c r="F43" s="6">
        <f>12*(500000+500000*0.3%)</f>
        <v>6018000</v>
      </c>
      <c r="G43" s="6">
        <f>12*(500000+500000*0.3%)</f>
        <v>6018000</v>
      </c>
      <c r="H43" s="6">
        <f>12*(500000+500000*0.3%)</f>
        <v>6018000</v>
      </c>
    </row>
    <row r="44" spans="1:12">
      <c r="B44" s="16" t="s">
        <v>37</v>
      </c>
      <c r="C44" s="15">
        <f>2*800000*6+6*800000</f>
        <v>14400000</v>
      </c>
      <c r="D44" s="6">
        <f>12*(800000+800000*3%)</f>
        <v>9888000</v>
      </c>
      <c r="E44" s="6">
        <f>12*(800000+800000*3%)</f>
        <v>9888000</v>
      </c>
      <c r="F44" s="6">
        <f>12*(800000+800000*3%)</f>
        <v>9888000</v>
      </c>
      <c r="G44" s="6">
        <f>12*(800000+800000*3%)</f>
        <v>9888000</v>
      </c>
      <c r="H44" s="6">
        <f>12*(800000+800000*3%)</f>
        <v>9888000</v>
      </c>
      <c r="L44" s="9"/>
    </row>
    <row r="45" spans="1:12">
      <c r="B45" s="16" t="s">
        <v>39</v>
      </c>
      <c r="C45" s="15">
        <f>6*20000*6+3*20000*6</f>
        <v>1080000</v>
      </c>
      <c r="D45" s="6">
        <f>3*12*20000</f>
        <v>720000</v>
      </c>
      <c r="E45" s="6">
        <f>3*12*20000</f>
        <v>720000</v>
      </c>
      <c r="F45" s="6">
        <f>3*12*20000</f>
        <v>720000</v>
      </c>
      <c r="G45" s="6">
        <f>3*12*20000</f>
        <v>720000</v>
      </c>
      <c r="H45" s="6">
        <f>3*12*20000</f>
        <v>720000</v>
      </c>
    </row>
    <row r="46" spans="1:12" ht="15.75" thickBot="1">
      <c r="B46" s="45" t="s">
        <v>40</v>
      </c>
      <c r="C46" s="46">
        <f>3000000</f>
        <v>3000000</v>
      </c>
      <c r="D46" s="47">
        <f>C46+C46*20%</f>
        <v>3600000</v>
      </c>
      <c r="E46" s="47">
        <f>D46+D46*20%</f>
        <v>4320000</v>
      </c>
      <c r="F46" s="47">
        <f>E46+E46*20%</f>
        <v>5184000</v>
      </c>
      <c r="G46" s="47">
        <f>F46+F46*20%</f>
        <v>6220800</v>
      </c>
      <c r="H46" s="47">
        <f>G46+G46*20%</f>
        <v>7464960</v>
      </c>
    </row>
    <row r="47" spans="1:12" ht="15.75" thickBot="1">
      <c r="B47" s="48" t="s">
        <v>32</v>
      </c>
      <c r="C47" s="49">
        <f>SUM(C39:C46)</f>
        <v>39600000</v>
      </c>
      <c r="D47" s="49">
        <f t="shared" ref="D47:H47" si="13">SUM(D39:D46)</f>
        <v>29601600</v>
      </c>
      <c r="E47" s="49">
        <f t="shared" si="13"/>
        <v>30584868</v>
      </c>
      <c r="F47" s="49">
        <f t="shared" si="13"/>
        <v>31720034.039999999</v>
      </c>
      <c r="G47" s="49">
        <f t="shared" si="13"/>
        <v>33036135.0612</v>
      </c>
      <c r="H47" s="50">
        <f t="shared" si="13"/>
        <v>34567975.113035999</v>
      </c>
    </row>
    <row r="48" spans="1:12">
      <c r="B48" s="2"/>
      <c r="C48" s="11"/>
      <c r="D48" s="11"/>
      <c r="E48" s="11"/>
      <c r="F48" s="11"/>
      <c r="G48" s="11"/>
      <c r="H48" s="11"/>
    </row>
    <row r="49" spans="2:8" ht="15.75" thickBot="1">
      <c r="B49" s="127" t="s">
        <v>46</v>
      </c>
      <c r="C49" s="127"/>
      <c r="D49" s="127"/>
      <c r="E49" s="127"/>
      <c r="F49" s="127"/>
      <c r="G49" s="127"/>
      <c r="H49" s="127"/>
    </row>
    <row r="50" spans="2:8" ht="15.75" thickBot="1">
      <c r="B50" s="48"/>
      <c r="C50" s="64">
        <v>1</v>
      </c>
      <c r="D50" s="61">
        <v>2</v>
      </c>
      <c r="E50" s="61">
        <v>3</v>
      </c>
      <c r="F50" s="61">
        <v>4</v>
      </c>
      <c r="G50" s="61">
        <v>5</v>
      </c>
      <c r="H50" s="62">
        <v>6</v>
      </c>
    </row>
    <row r="51" spans="2:8">
      <c r="B51" s="66" t="s">
        <v>29</v>
      </c>
      <c r="C51" s="65">
        <f>C60</f>
        <v>3000</v>
      </c>
      <c r="D51" s="14">
        <f t="shared" ref="D51:H51" si="14">D60</f>
        <v>4500</v>
      </c>
      <c r="E51" s="14">
        <f t="shared" si="14"/>
        <v>6750</v>
      </c>
      <c r="F51" s="14">
        <f t="shared" si="14"/>
        <v>10125</v>
      </c>
      <c r="G51" s="14">
        <f t="shared" si="14"/>
        <v>15187.5</v>
      </c>
      <c r="H51" s="14">
        <f t="shared" si="14"/>
        <v>19743.75</v>
      </c>
    </row>
    <row r="52" spans="2:8">
      <c r="B52" s="67" t="s">
        <v>48</v>
      </c>
      <c r="C52" s="15">
        <f>10000*C51</f>
        <v>30000000</v>
      </c>
      <c r="D52" s="6">
        <f t="shared" ref="D52:H52" si="15">10000*D51</f>
        <v>45000000</v>
      </c>
      <c r="E52" s="6">
        <f t="shared" si="15"/>
        <v>67500000</v>
      </c>
      <c r="F52" s="6">
        <f t="shared" si="15"/>
        <v>101250000</v>
      </c>
      <c r="G52" s="6">
        <f t="shared" si="15"/>
        <v>151875000</v>
      </c>
      <c r="H52" s="6">
        <f t="shared" si="15"/>
        <v>197437500</v>
      </c>
    </row>
    <row r="53" spans="2:8">
      <c r="B53" s="67" t="s">
        <v>49</v>
      </c>
      <c r="C53" s="15">
        <f>500*C51</f>
        <v>1500000</v>
      </c>
      <c r="D53" s="6">
        <f t="shared" ref="D53:H53" si="16">500*D51</f>
        <v>2250000</v>
      </c>
      <c r="E53" s="6">
        <f t="shared" si="16"/>
        <v>3375000</v>
      </c>
      <c r="F53" s="6">
        <f t="shared" si="16"/>
        <v>5062500</v>
      </c>
      <c r="G53" s="6">
        <f t="shared" si="16"/>
        <v>7593750</v>
      </c>
      <c r="H53" s="6">
        <f t="shared" si="16"/>
        <v>9871875</v>
      </c>
    </row>
    <row r="54" spans="2:8">
      <c r="B54" s="111" t="s">
        <v>60</v>
      </c>
      <c r="C54" s="15">
        <f>10000+10000*20%</f>
        <v>12000</v>
      </c>
      <c r="D54" s="15">
        <f t="shared" ref="D54:H54" si="17">10000+10000*20%</f>
        <v>12000</v>
      </c>
      <c r="E54" s="15">
        <f t="shared" si="17"/>
        <v>12000</v>
      </c>
      <c r="F54" s="15">
        <f t="shared" si="17"/>
        <v>12000</v>
      </c>
      <c r="G54" s="15">
        <f t="shared" si="17"/>
        <v>12000</v>
      </c>
      <c r="H54" s="15">
        <f t="shared" si="17"/>
        <v>12000</v>
      </c>
    </row>
    <row r="55" spans="2:8" ht="15.75" thickBot="1">
      <c r="B55" s="70" t="s">
        <v>51</v>
      </c>
      <c r="C55" s="46">
        <f>300*C60</f>
        <v>900000</v>
      </c>
      <c r="D55" s="47">
        <f t="shared" ref="D55:H55" si="18">300*D60</f>
        <v>1350000</v>
      </c>
      <c r="E55" s="47">
        <f t="shared" si="18"/>
        <v>2025000</v>
      </c>
      <c r="F55" s="47">
        <f t="shared" si="18"/>
        <v>3037500</v>
      </c>
      <c r="G55" s="47">
        <f t="shared" si="18"/>
        <v>4556250</v>
      </c>
      <c r="H55" s="47">
        <f t="shared" si="18"/>
        <v>5923125</v>
      </c>
    </row>
    <row r="56" spans="2:8" ht="15.75" thickBot="1">
      <c r="B56" s="48" t="s">
        <v>32</v>
      </c>
      <c r="C56" s="69">
        <f>SUM(C51:C55)</f>
        <v>32415000</v>
      </c>
      <c r="D56" s="69">
        <f t="shared" ref="D56:H56" si="19">SUM(D51:D55)</f>
        <v>48616500</v>
      </c>
      <c r="E56" s="69">
        <f t="shared" si="19"/>
        <v>72918750</v>
      </c>
      <c r="F56" s="69">
        <f t="shared" si="19"/>
        <v>109372125</v>
      </c>
      <c r="G56" s="69">
        <f t="shared" si="19"/>
        <v>164052187.5</v>
      </c>
      <c r="H56" s="69">
        <f t="shared" si="19"/>
        <v>213264243.75</v>
      </c>
    </row>
    <row r="58" spans="2:8" ht="15.75" thickBot="1">
      <c r="B58" s="127" t="s">
        <v>6</v>
      </c>
      <c r="C58" s="127"/>
      <c r="D58" s="127"/>
      <c r="E58" s="127"/>
      <c r="F58" s="127"/>
      <c r="G58" s="127"/>
      <c r="H58" s="127"/>
    </row>
    <row r="59" spans="2:8" ht="15.75" thickBot="1">
      <c r="B59" s="48"/>
      <c r="C59" s="64">
        <v>1</v>
      </c>
      <c r="D59" s="61">
        <v>2</v>
      </c>
      <c r="E59" s="61">
        <v>3</v>
      </c>
      <c r="F59" s="61">
        <v>4</v>
      </c>
      <c r="G59" s="61">
        <v>5</v>
      </c>
      <c r="H59" s="62">
        <v>6</v>
      </c>
    </row>
    <row r="60" spans="2:8">
      <c r="B60" s="66" t="s">
        <v>29</v>
      </c>
      <c r="C60" s="115">
        <v>3000</v>
      </c>
      <c r="D60" s="27">
        <f>C60+50%*C60</f>
        <v>4500</v>
      </c>
      <c r="E60" s="27">
        <f t="shared" ref="E60:G60" si="20">D60+50%*D60</f>
        <v>6750</v>
      </c>
      <c r="F60" s="27">
        <f t="shared" si="20"/>
        <v>10125</v>
      </c>
      <c r="G60" s="27">
        <f t="shared" si="20"/>
        <v>15187.5</v>
      </c>
      <c r="H60" s="27">
        <f>G60+30%*G60</f>
        <v>19743.75</v>
      </c>
    </row>
    <row r="61" spans="2:8" ht="15.75" thickBot="1">
      <c r="B61" s="70" t="s">
        <v>31</v>
      </c>
      <c r="C61" s="46">
        <f>50*700</f>
        <v>35000</v>
      </c>
      <c r="D61" s="47">
        <f>50*700</f>
        <v>35000</v>
      </c>
      <c r="E61" s="47">
        <f>50*700</f>
        <v>35000</v>
      </c>
      <c r="F61" s="47">
        <f>50*700</f>
        <v>35000</v>
      </c>
      <c r="G61" s="47">
        <f>50*700</f>
        <v>35000</v>
      </c>
      <c r="H61" s="47">
        <f>30*700</f>
        <v>21000</v>
      </c>
    </row>
    <row r="62" spans="2:8" ht="15.75" thickBot="1">
      <c r="B62" s="48" t="s">
        <v>32</v>
      </c>
      <c r="C62" s="114">
        <f t="shared" ref="C62:H62" si="21">C60*C61</f>
        <v>105000000</v>
      </c>
      <c r="D62" s="112">
        <f t="shared" si="21"/>
        <v>157500000</v>
      </c>
      <c r="E62" s="112">
        <f t="shared" si="21"/>
        <v>236250000</v>
      </c>
      <c r="F62" s="112">
        <f t="shared" si="21"/>
        <v>354375000</v>
      </c>
      <c r="G62" s="112">
        <f t="shared" si="21"/>
        <v>531562500</v>
      </c>
      <c r="H62" s="113">
        <f t="shared" si="21"/>
        <v>414618750</v>
      </c>
    </row>
    <row r="64" spans="2:8" ht="15.75" thickBot="1"/>
    <row r="65" spans="2:3">
      <c r="B65" s="122" t="s">
        <v>54</v>
      </c>
      <c r="C65" s="123"/>
    </row>
    <row r="66" spans="2:3">
      <c r="B66" s="88" t="s">
        <v>55</v>
      </c>
      <c r="C66" s="90">
        <f>3*500000*6+2*800000*6</f>
        <v>18600000</v>
      </c>
    </row>
    <row r="67" spans="2:3">
      <c r="B67" s="88" t="s">
        <v>33</v>
      </c>
      <c r="C67" s="90">
        <f>60000*6</f>
        <v>360000</v>
      </c>
    </row>
    <row r="68" spans="2:3">
      <c r="B68" s="88" t="s">
        <v>56</v>
      </c>
      <c r="C68" s="90">
        <f>150000*6</f>
        <v>900000</v>
      </c>
    </row>
    <row r="69" spans="2:3">
      <c r="B69" s="88" t="s">
        <v>57</v>
      </c>
      <c r="C69" s="90">
        <f>50000*6</f>
        <v>300000</v>
      </c>
    </row>
    <row r="70" spans="2:3">
      <c r="B70" s="88" t="s">
        <v>59</v>
      </c>
      <c r="C70" s="90">
        <f>5*6*20000</f>
        <v>600000</v>
      </c>
    </row>
    <row r="71" spans="2:3">
      <c r="B71" s="88" t="s">
        <v>58</v>
      </c>
      <c r="C71" s="90">
        <v>10000</v>
      </c>
    </row>
    <row r="72" spans="2:3">
      <c r="B72" s="88" t="s">
        <v>49</v>
      </c>
      <c r="C72" s="90">
        <v>500</v>
      </c>
    </row>
    <row r="73" spans="2:3" ht="15.75" thickBot="1">
      <c r="B73" s="89" t="s">
        <v>32</v>
      </c>
      <c r="C73" s="91">
        <f>SUM(C66:C72)</f>
        <v>20770500</v>
      </c>
    </row>
  </sheetData>
  <mergeCells count="10">
    <mergeCell ref="A19:L19"/>
    <mergeCell ref="A13:L13"/>
    <mergeCell ref="B6:F6"/>
    <mergeCell ref="B65:C65"/>
    <mergeCell ref="A1:B1"/>
    <mergeCell ref="B37:H37"/>
    <mergeCell ref="B49:H49"/>
    <mergeCell ref="B58:H58"/>
    <mergeCell ref="A25:L25"/>
    <mergeCell ref="A31:L3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6:J29"/>
  <sheetViews>
    <sheetView tabSelected="1" topLeftCell="A7" workbookViewId="0">
      <selection activeCell="F28" sqref="F28"/>
    </sheetView>
  </sheetViews>
  <sheetFormatPr baseColWidth="10" defaultRowHeight="15"/>
  <cols>
    <col min="1" max="1" width="20.85546875" style="1" customWidth="1"/>
    <col min="2" max="2" width="28" style="1" customWidth="1"/>
    <col min="3" max="3" width="13" style="1" bestFit="1" customWidth="1"/>
    <col min="4" max="4" width="15.5703125" style="1" bestFit="1" customWidth="1"/>
    <col min="5" max="5" width="17.7109375" style="1" customWidth="1"/>
    <col min="6" max="10" width="17.7109375" style="1" bestFit="1" customWidth="1"/>
    <col min="11" max="12" width="13" style="1" bestFit="1" customWidth="1"/>
    <col min="13" max="14" width="11.42578125" style="1"/>
    <col min="15" max="15" width="22.5703125" style="1" customWidth="1"/>
    <col min="16" max="16" width="5.85546875" style="1" customWidth="1"/>
    <col min="17" max="27" width="13" style="1" bestFit="1" customWidth="1"/>
    <col min="28" max="16384" width="11.42578125" style="1"/>
  </cols>
  <sheetData>
    <row r="6" spans="2:10" ht="15.75" thickBot="1"/>
    <row r="7" spans="2:10" ht="15.75" thickBot="1">
      <c r="B7" s="131" t="s">
        <v>5</v>
      </c>
      <c r="C7" s="132"/>
      <c r="D7" s="132"/>
      <c r="E7" s="132"/>
      <c r="F7" s="132"/>
      <c r="G7" s="132"/>
      <c r="H7" s="132"/>
      <c r="I7" s="132"/>
      <c r="J7" s="133"/>
    </row>
    <row r="8" spans="2:10">
      <c r="B8" s="107"/>
      <c r="C8" s="56" t="s">
        <v>22</v>
      </c>
      <c r="D8" s="108">
        <v>0</v>
      </c>
      <c r="E8" s="109">
        <v>1</v>
      </c>
      <c r="F8" s="108">
        <v>2</v>
      </c>
      <c r="G8" s="109">
        <v>3</v>
      </c>
      <c r="H8" s="108">
        <v>4</v>
      </c>
      <c r="I8" s="109">
        <v>5</v>
      </c>
      <c r="J8" s="110">
        <v>6</v>
      </c>
    </row>
    <row r="9" spans="2:10">
      <c r="B9" s="38" t="s">
        <v>4</v>
      </c>
      <c r="C9" s="37" t="s">
        <v>18</v>
      </c>
      <c r="D9" s="47">
        <v>0</v>
      </c>
      <c r="E9" s="79">
        <f>Enunciado!C62</f>
        <v>105000000</v>
      </c>
      <c r="F9" s="79">
        <f>Enunciado!D62</f>
        <v>157500000</v>
      </c>
      <c r="G9" s="79">
        <f>Enunciado!E62</f>
        <v>236250000</v>
      </c>
      <c r="H9" s="79">
        <f>Enunciado!F62</f>
        <v>354375000</v>
      </c>
      <c r="I9" s="79">
        <f>Enunciado!G62</f>
        <v>531562500</v>
      </c>
      <c r="J9" s="99">
        <f>Enunciado!H62</f>
        <v>414618750</v>
      </c>
    </row>
    <row r="10" spans="2:10">
      <c r="B10" s="38" t="s">
        <v>7</v>
      </c>
      <c r="C10" s="28" t="s">
        <v>19</v>
      </c>
      <c r="D10" s="98">
        <v>0</v>
      </c>
      <c r="E10" s="29">
        <f>-Enunciado!C56</f>
        <v>-32415000</v>
      </c>
      <c r="F10" s="29">
        <f>-Enunciado!D56</f>
        <v>-48616500</v>
      </c>
      <c r="G10" s="29">
        <f>-Enunciado!E56</f>
        <v>-72918750</v>
      </c>
      <c r="H10" s="29">
        <f>-Enunciado!F56</f>
        <v>-109372125</v>
      </c>
      <c r="I10" s="29">
        <f>-Enunciado!G56</f>
        <v>-164052187.5</v>
      </c>
      <c r="J10" s="100">
        <f>-Enunciado!H56</f>
        <v>-213264243.75</v>
      </c>
    </row>
    <row r="11" spans="2:10">
      <c r="B11" s="38" t="s">
        <v>8</v>
      </c>
      <c r="C11" s="28" t="s">
        <v>19</v>
      </c>
      <c r="D11" s="98">
        <v>0</v>
      </c>
      <c r="E11" s="29">
        <f>-Enunciado!C47</f>
        <v>-39600000</v>
      </c>
      <c r="F11" s="29">
        <f>-Enunciado!D47</f>
        <v>-29601600</v>
      </c>
      <c r="G11" s="29">
        <f>-Enunciado!E47</f>
        <v>-30584868</v>
      </c>
      <c r="H11" s="29">
        <f>-Enunciado!F47</f>
        <v>-31720034.039999999</v>
      </c>
      <c r="I11" s="29">
        <f>-Enunciado!G47</f>
        <v>-33036135.0612</v>
      </c>
      <c r="J11" s="100">
        <f>-Enunciado!H47</f>
        <v>-34567975.113035999</v>
      </c>
    </row>
    <row r="12" spans="2:10">
      <c r="B12" s="38" t="s">
        <v>52</v>
      </c>
      <c r="C12" s="28" t="s">
        <v>19</v>
      </c>
      <c r="D12" s="98">
        <f>-Enunciado!F17</f>
        <v>0</v>
      </c>
      <c r="E12" s="29">
        <f>-Enunciado!G17</f>
        <v>-1866666.6666666667</v>
      </c>
      <c r="F12" s="29">
        <f>-Enunciado!H17</f>
        <v>-1866666.6666666667</v>
      </c>
      <c r="G12" s="29">
        <f>-Enunciado!I17</f>
        <v>-1866666.6666666667</v>
      </c>
      <c r="H12" s="29">
        <f>-Enunciado!J17</f>
        <v>-700000</v>
      </c>
      <c r="I12" s="29">
        <f>-Enunciado!K17</f>
        <v>-1866666.6666666667</v>
      </c>
      <c r="J12" s="100">
        <f>-Enunciado!L17</f>
        <v>-1866666.6666666667</v>
      </c>
    </row>
    <row r="13" spans="2:10">
      <c r="B13" s="38" t="s">
        <v>23</v>
      </c>
      <c r="C13" s="28" t="s">
        <v>19</v>
      </c>
      <c r="D13" s="98">
        <f>-Enunciado!$E8</f>
        <v>0</v>
      </c>
      <c r="E13" s="98">
        <f>-Enunciado!$E9</f>
        <v>-5628690</v>
      </c>
      <c r="F13" s="98">
        <f>-Enunciado!$E10</f>
        <v>-4053085.364460866</v>
      </c>
      <c r="G13" s="98">
        <f>-Enunciado!$E11</f>
        <v>-2193871.8945246884</v>
      </c>
      <c r="H13" s="29">
        <v>0</v>
      </c>
      <c r="I13" s="29">
        <v>0</v>
      </c>
      <c r="J13" s="100">
        <v>0</v>
      </c>
    </row>
    <row r="14" spans="2:10">
      <c r="B14" s="38" t="s">
        <v>10</v>
      </c>
      <c r="C14" s="28" t="s">
        <v>19</v>
      </c>
      <c r="D14" s="98">
        <f>-Enunciado!F35</f>
        <v>0</v>
      </c>
      <c r="E14" s="29">
        <f>-Enunciado!G35</f>
        <v>0</v>
      </c>
      <c r="F14" s="29">
        <f>-Enunciado!H35</f>
        <v>0</v>
      </c>
      <c r="G14" s="29">
        <f>-Enunciado!I35</f>
        <v>-301000</v>
      </c>
      <c r="H14" s="29">
        <f>-Enunciado!J35</f>
        <v>0</v>
      </c>
      <c r="I14" s="29">
        <f>-Enunciado!K35</f>
        <v>0</v>
      </c>
      <c r="J14" s="100">
        <f>-Enunciado!L35</f>
        <v>-301000</v>
      </c>
    </row>
    <row r="15" spans="2:10">
      <c r="B15" s="38" t="s">
        <v>9</v>
      </c>
      <c r="C15" s="28" t="s">
        <v>19</v>
      </c>
      <c r="D15" s="98">
        <f>-Enunciado!F23</f>
        <v>0</v>
      </c>
      <c r="E15" s="29">
        <f>-Enunciado!G23</f>
        <v>0</v>
      </c>
      <c r="F15" s="29">
        <f>-Enunciado!H23</f>
        <v>0</v>
      </c>
      <c r="G15" s="29">
        <f>-Enunciado!I23</f>
        <v>0</v>
      </c>
      <c r="H15" s="29">
        <f>-Enunciado!J23</f>
        <v>0</v>
      </c>
      <c r="I15" s="29">
        <f>-Enunciado!K23</f>
        <v>0</v>
      </c>
      <c r="J15" s="100">
        <f>-Enunciado!L23</f>
        <v>-3966666.666666667</v>
      </c>
    </row>
    <row r="16" spans="2:10">
      <c r="B16" s="51" t="s">
        <v>11</v>
      </c>
      <c r="C16" s="52" t="s">
        <v>20</v>
      </c>
      <c r="D16" s="53">
        <f>SUM(D9:D15)</f>
        <v>0</v>
      </c>
      <c r="E16" s="53">
        <f t="shared" ref="E16:I16" si="0">SUM(E9:E15)</f>
        <v>25489643.333333332</v>
      </c>
      <c r="F16" s="53">
        <f t="shared" si="0"/>
        <v>73362147.968872458</v>
      </c>
      <c r="G16" s="53">
        <f t="shared" si="0"/>
        <v>128384843.43880863</v>
      </c>
      <c r="H16" s="53">
        <f t="shared" si="0"/>
        <v>212582840.96000001</v>
      </c>
      <c r="I16" s="53">
        <f t="shared" si="0"/>
        <v>332607510.77213329</v>
      </c>
      <c r="J16" s="101">
        <f>SUM(J9:J15)</f>
        <v>160652197.80363068</v>
      </c>
    </row>
    <row r="17" spans="2:10">
      <c r="B17" s="54" t="s">
        <v>12</v>
      </c>
      <c r="C17" s="44" t="s">
        <v>19</v>
      </c>
      <c r="D17" s="55">
        <f t="shared" ref="D17" si="1">-D16*0.225</f>
        <v>0</v>
      </c>
      <c r="E17" s="55">
        <f>-E16+E16*25%</f>
        <v>-19117232.5</v>
      </c>
      <c r="F17" s="55">
        <f t="shared" ref="F17:J17" si="2">-F16+F16*25%</f>
        <v>-55021610.976654343</v>
      </c>
      <c r="G17" s="55">
        <f t="shared" si="2"/>
        <v>-96288632.57910648</v>
      </c>
      <c r="H17" s="55">
        <f t="shared" si="2"/>
        <v>-159437130.72</v>
      </c>
      <c r="I17" s="55">
        <f t="shared" si="2"/>
        <v>-249455633.07909995</v>
      </c>
      <c r="J17" s="102">
        <f t="shared" si="2"/>
        <v>-120489148.352723</v>
      </c>
    </row>
    <row r="18" spans="2:10">
      <c r="B18" s="51" t="s">
        <v>13</v>
      </c>
      <c r="C18" s="56" t="s">
        <v>20</v>
      </c>
      <c r="D18" s="53">
        <f t="shared" ref="D18:J18" si="3">SUM(D16:D17)</f>
        <v>0</v>
      </c>
      <c r="E18" s="53">
        <f>SUM(E16:E17)</f>
        <v>6372410.8333333321</v>
      </c>
      <c r="F18" s="53">
        <f t="shared" si="3"/>
        <v>18340536.992218114</v>
      </c>
      <c r="G18" s="53">
        <f t="shared" si="3"/>
        <v>32096210.859702155</v>
      </c>
      <c r="H18" s="53">
        <f t="shared" si="3"/>
        <v>53145710.24000001</v>
      </c>
      <c r="I18" s="53">
        <f t="shared" si="3"/>
        <v>83151877.693033338</v>
      </c>
      <c r="J18" s="101">
        <f t="shared" si="3"/>
        <v>40163049.450907677</v>
      </c>
    </row>
    <row r="19" spans="2:10">
      <c r="B19" s="38" t="s">
        <v>52</v>
      </c>
      <c r="C19" s="28" t="s">
        <v>18</v>
      </c>
      <c r="D19" s="80">
        <f>Enunciado!F17</f>
        <v>0</v>
      </c>
      <c r="E19" s="80">
        <f>Enunciado!G17</f>
        <v>1866666.6666666667</v>
      </c>
      <c r="F19" s="80">
        <f>Enunciado!H17</f>
        <v>1866666.6666666667</v>
      </c>
      <c r="G19" s="80">
        <f>Enunciado!I17</f>
        <v>1866666.6666666667</v>
      </c>
      <c r="H19" s="80">
        <f>Enunciado!J17</f>
        <v>700000</v>
      </c>
      <c r="I19" s="80">
        <f>Enunciado!K17</f>
        <v>1866666.6666666667</v>
      </c>
      <c r="J19" s="103">
        <f>Enunciado!L17</f>
        <v>1866666.6666666667</v>
      </c>
    </row>
    <row r="20" spans="2:10">
      <c r="B20" s="38" t="s">
        <v>24</v>
      </c>
      <c r="C20" s="28" t="s">
        <v>19</v>
      </c>
      <c r="D20" s="98">
        <f>-Enunciado!$D8</f>
        <v>0</v>
      </c>
      <c r="E20" s="98">
        <f>-Enunciado!$D9</f>
        <v>-8753359.0863285214</v>
      </c>
      <c r="F20" s="98">
        <f>-Enunciado!$D10</f>
        <v>-10328963.721867654</v>
      </c>
      <c r="G20" s="98">
        <f>-Enunciado!$D10</f>
        <v>-10328963.721867654</v>
      </c>
      <c r="H20" s="98">
        <v>0</v>
      </c>
      <c r="I20" s="98">
        <v>0</v>
      </c>
      <c r="J20" s="104">
        <v>0</v>
      </c>
    </row>
    <row r="21" spans="2:10">
      <c r="B21" s="38" t="s">
        <v>25</v>
      </c>
      <c r="C21" s="28" t="s">
        <v>19</v>
      </c>
      <c r="D21" s="98">
        <f>Enunciado!B2</f>
        <v>31270500</v>
      </c>
      <c r="E21" s="98">
        <v>0</v>
      </c>
      <c r="F21" s="98">
        <v>0</v>
      </c>
      <c r="G21" s="98">
        <v>0</v>
      </c>
      <c r="H21" s="98">
        <v>0</v>
      </c>
      <c r="I21" s="98">
        <v>0</v>
      </c>
      <c r="J21" s="104">
        <v>0</v>
      </c>
    </row>
    <row r="22" spans="2:10">
      <c r="B22" s="38" t="s">
        <v>53</v>
      </c>
      <c r="C22" s="28" t="s">
        <v>19</v>
      </c>
      <c r="D22" s="31">
        <f>-Enunciado!F29</f>
        <v>-10500000</v>
      </c>
      <c r="E22" s="31">
        <f>-Enunciado!G29</f>
        <v>0</v>
      </c>
      <c r="F22" s="31">
        <f>-Enunciado!H29</f>
        <v>0</v>
      </c>
      <c r="G22" s="31">
        <f>-Enunciado!I29</f>
        <v>0</v>
      </c>
      <c r="H22" s="31">
        <f>-Enunciado!J29</f>
        <v>-3500000</v>
      </c>
      <c r="I22" s="31">
        <f>-Enunciado!K29</f>
        <v>0</v>
      </c>
      <c r="J22" s="105">
        <f>-Enunciado!L29</f>
        <v>0</v>
      </c>
    </row>
    <row r="23" spans="2:10">
      <c r="B23" s="38" t="s">
        <v>54</v>
      </c>
      <c r="C23" s="28" t="s">
        <v>19</v>
      </c>
      <c r="D23" s="31">
        <f>-Enunciado!C73</f>
        <v>-20770500</v>
      </c>
      <c r="E23" s="31">
        <v>0</v>
      </c>
      <c r="F23" s="31">
        <v>0</v>
      </c>
      <c r="G23" s="31">
        <v>0</v>
      </c>
      <c r="H23" s="31">
        <v>0</v>
      </c>
      <c r="I23" s="31">
        <v>0</v>
      </c>
      <c r="J23" s="105">
        <v>0</v>
      </c>
    </row>
    <row r="24" spans="2:10">
      <c r="B24" s="38" t="s">
        <v>9</v>
      </c>
      <c r="C24" s="28" t="s">
        <v>18</v>
      </c>
      <c r="D24" s="80">
        <f>Enunciado!F23</f>
        <v>0</v>
      </c>
      <c r="E24" s="80">
        <f>Enunciado!G23</f>
        <v>0</v>
      </c>
      <c r="F24" s="80">
        <f>Enunciado!H23</f>
        <v>0</v>
      </c>
      <c r="G24" s="80">
        <f>Enunciado!I23</f>
        <v>0</v>
      </c>
      <c r="H24" s="80">
        <f>Enunciado!J23</f>
        <v>0</v>
      </c>
      <c r="I24" s="80">
        <f>Enunciado!K23</f>
        <v>0</v>
      </c>
      <c r="J24" s="103">
        <f>Enunciado!L23</f>
        <v>3966666.666666667</v>
      </c>
    </row>
    <row r="25" spans="2:10">
      <c r="B25" s="38" t="s">
        <v>14</v>
      </c>
      <c r="C25" s="32" t="s">
        <v>18</v>
      </c>
      <c r="D25" s="13">
        <f>Enunciado!F35</f>
        <v>0</v>
      </c>
      <c r="E25" s="13">
        <f>Enunciado!G35</f>
        <v>0</v>
      </c>
      <c r="F25" s="13">
        <f>Enunciado!H35</f>
        <v>0</v>
      </c>
      <c r="G25" s="13">
        <f>Enunciado!I35</f>
        <v>301000</v>
      </c>
      <c r="H25" s="13">
        <f>Enunciado!J35</f>
        <v>0</v>
      </c>
      <c r="I25" s="13">
        <f>Enunciado!K35</f>
        <v>0</v>
      </c>
      <c r="J25" s="106">
        <f>Enunciado!L35</f>
        <v>301000</v>
      </c>
    </row>
    <row r="26" spans="2:10" ht="15.75" thickBot="1">
      <c r="B26" s="39" t="s">
        <v>15</v>
      </c>
      <c r="C26" s="40" t="s">
        <v>20</v>
      </c>
      <c r="D26" s="41">
        <f t="shared" ref="D26:J26" si="4">SUM(D18:D25)</f>
        <v>0</v>
      </c>
      <c r="E26" s="42">
        <f t="shared" si="4"/>
        <v>-514281.5863285223</v>
      </c>
      <c r="F26" s="41">
        <f t="shared" si="4"/>
        <v>9878239.9370171279</v>
      </c>
      <c r="G26" s="42">
        <f t="shared" si="4"/>
        <v>23934913.804501165</v>
      </c>
      <c r="H26" s="41">
        <f t="shared" si="4"/>
        <v>50345710.24000001</v>
      </c>
      <c r="I26" s="42">
        <f t="shared" si="4"/>
        <v>85018544.359700009</v>
      </c>
      <c r="J26" s="43">
        <f t="shared" si="4"/>
        <v>46297382.784241006</v>
      </c>
    </row>
    <row r="28" spans="2:10">
      <c r="E28" s="33" t="s">
        <v>16</v>
      </c>
      <c r="F28" s="34">
        <f>NPV(0.12,E26:J26)+D26</f>
        <v>128145200.56914082</v>
      </c>
    </row>
    <row r="29" spans="2:10">
      <c r="E29" s="35" t="s">
        <v>17</v>
      </c>
      <c r="F29" s="36">
        <f>IRR(D26:J26)</f>
        <v>20.590313820626488</v>
      </c>
    </row>
  </sheetData>
  <mergeCells count="1">
    <mergeCell ref="B7:J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Enunciado</vt:lpstr>
      <vt:lpstr>Desarrollo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 G</dc:creator>
  <cp:lastModifiedBy>Daniela RPR</cp:lastModifiedBy>
  <dcterms:created xsi:type="dcterms:W3CDTF">2016-08-19T01:08:17Z</dcterms:created>
  <dcterms:modified xsi:type="dcterms:W3CDTF">2017-04-25T03:43:31Z</dcterms:modified>
</cp:coreProperties>
</file>