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420" tabRatio="766"/>
  </bookViews>
  <sheets>
    <sheet name="配置总览" sheetId="1" r:id="rId1"/>
    <sheet name="信息辅助" sheetId="15" r:id="rId2"/>
    <sheet name="StrDictionary" sheetId="29" r:id="rId3"/>
    <sheet name="CommonItem" sheetId="2" r:id="rId4"/>
    <sheet name="CommonItemTips" sheetId="14" r:id="rId5"/>
    <sheet name="UsableItem" sheetId="3" r:id="rId6"/>
    <sheet name="YuanBaoShop" sheetId="13" r:id="rId7"/>
    <sheet name="FashionBase" sheetId="4" r:id="rId8"/>
    <sheet name="FashionData" sheetId="5" r:id="rId9"/>
    <sheet name="FashionDisplay" sheetId="28" r:id="rId10"/>
    <sheet name="MountBase" sheetId="20" r:id="rId11"/>
    <sheet name="CharMount" sheetId="21" r:id="rId12"/>
    <sheet name="AircraftBase" sheetId="17" r:id="rId13"/>
    <sheet name="CharAircraft" sheetId="18" r:id="rId14"/>
    <sheet name="ItemVisual" sheetId="9" r:id="rId15"/>
    <sheet name="AvatarModel" sheetId="10" r:id="rId16"/>
    <sheet name="FakeObject" sheetId="19" r:id="rId17"/>
    <sheet name="CharModel" sheetId="11" r:id="rId18"/>
    <sheet name="UnlockEmotion" sheetId="22" r:id="rId19"/>
    <sheet name="CharInteractSingle" sheetId="23" r:id="rId20"/>
    <sheet name="CharInteract" sheetId="27" r:id="rId21"/>
    <sheet name="Animation" sheetId="24" r:id="rId22"/>
    <sheet name="AnimationEx" sheetId="26" r:id="rId23"/>
    <sheet name="Effect" sheetId="25" r:id="rId24"/>
    <sheet name="FashionColor" sheetId="8" r:id="rId25"/>
    <sheet name="FashionColorTexture" sheetId="16" r:id="rId26"/>
    <sheet name="FashionColorDefault" sheetId="12" r:id="rId27"/>
  </sheets>
  <definedNames>
    <definedName name="_xlnm._FilterDatabase" localSheetId="11" hidden="1">CharMount!$A$1:$BM$5</definedName>
    <definedName name="_xlnm._FilterDatabase" localSheetId="10" hidden="1">MountBase!$G$1:$I$5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C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填-2=获得时解锁，目前应用于天星秘器</t>
        </r>
      </text>
    </comment>
  </commentList>
</comments>
</file>

<file path=xl/sharedStrings.xml><?xml version="1.0" encoding="utf-8"?>
<sst xmlns="http://schemas.openxmlformats.org/spreadsheetml/2006/main" count="3084" uniqueCount="1698">
  <si>
    <t>版本</t>
  </si>
  <si>
    <t>Main</t>
  </si>
  <si>
    <t>不导出</t>
  </si>
  <si>
    <t>头饰名</t>
  </si>
  <si>
    <t>蜜语轻舞·头</t>
  </si>
  <si>
    <t>级别</t>
  </si>
  <si>
    <t>A</t>
  </si>
  <si>
    <t>是否可染色</t>
  </si>
  <si>
    <t>头饰</t>
  </si>
  <si>
    <t>获取途径尽量用现有的，实在没有就在字典表里加</t>
  </si>
  <si>
    <t>获取途径</t>
  </si>
  <si>
    <t>商城限时出售</t>
  </si>
  <si>
    <t>头饰序号</t>
  </si>
  <si>
    <t>头饰染色区域</t>
  </si>
  <si>
    <t>图标·男</t>
  </si>
  <si>
    <t>shizhuang_icon_head_miyuqingwu_nan</t>
  </si>
  <si>
    <t>描述</t>
  </si>
  <si>
    <t>蜜蜂只想bee*happy，不忘生活中的甜蜜时刻。</t>
  </si>
  <si>
    <t>外观排序</t>
  </si>
  <si>
    <t>染色通道G·男</t>
  </si>
  <si>
    <t>[FFEC72]</t>
  </si>
  <si>
    <t>图标·女</t>
  </si>
  <si>
    <t>shizhuang_icon_head_miyuqingwu_nv</t>
  </si>
  <si>
    <t>YuanBaoShop起始id</t>
  </si>
  <si>
    <t>染色通道B·男</t>
  </si>
  <si>
    <t>模型·男妖兽</t>
  </si>
  <si>
    <t>pbrmodel/Fx_ys_mifeng</t>
  </si>
  <si>
    <t>FashionBase起始id</t>
  </si>
  <si>
    <t>染色通道A·男</t>
  </si>
  <si>
    <t>模型·男</t>
  </si>
  <si>
    <t>pbrmodel/Fx_nan_mifeng</t>
  </si>
  <si>
    <t>染色通道AA·男</t>
  </si>
  <si>
    <t>模型·女</t>
  </si>
  <si>
    <t>pbrmodel/Fx_nv_mifeng</t>
  </si>
  <si>
    <t>外观可购买/商城可出售</t>
  </si>
  <si>
    <t>染色通道G·女</t>
  </si>
  <si>
    <t>是否可续费</t>
  </si>
  <si>
    <t>染色通道B·女</t>
  </si>
  <si>
    <t>是否可赠送</t>
  </si>
  <si>
    <t>染色通道A·女</t>
  </si>
  <si>
    <t>外观是否显示</t>
  </si>
  <si>
    <t>染色通道AA·女</t>
  </si>
  <si>
    <t>时装名</t>
  </si>
  <si>
    <t>蜜语轻舞</t>
  </si>
  <si>
    <t>时装</t>
  </si>
  <si>
    <t>时装序号</t>
  </si>
  <si>
    <t>时装染色区域</t>
  </si>
  <si>
    <t>shizhuang_icon_miyuqingwu_nan</t>
  </si>
  <si>
    <t>shizhuang_icon_miyuqingwu_nv</t>
  </si>
  <si>
    <t>[745F43]</t>
  </si>
  <si>
    <t>pbrmodel/Zysz_yaoshounan_mifeng</t>
  </si>
  <si>
    <t>pbrmodel/Zysz_yumangnan_mifeng</t>
  </si>
  <si>
    <t>[FFFFFF]</t>
  </si>
  <si>
    <t>pbrmodel/Zysz_yulingnv_mifeng</t>
  </si>
  <si>
    <t>场景休闲动作·男妖兽</t>
  </si>
  <si>
    <t>场景休闲动作·男</t>
  </si>
  <si>
    <t>场景休闲动作·女</t>
  </si>
  <si>
    <t>坐骑名</t>
  </si>
  <si>
    <t>小狗蛇-吉祥如亿</t>
  </si>
  <si>
    <t>S+</t>
  </si>
  <si>
    <t>坐骑人数</t>
  </si>
  <si>
    <t>单人坐骑</t>
  </si>
  <si>
    <t>坐骑</t>
  </si>
  <si>
    <t>运营活动</t>
  </si>
  <si>
    <t>坐骑序号</t>
  </si>
  <si>
    <t>角色动作类型</t>
  </si>
  <si>
    <t>魔像平坐</t>
  </si>
  <si>
    <t>图标</t>
  </si>
  <si>
    <t>icon_zuoqi_zhaocaimaoxiaogoushe</t>
  </si>
  <si>
    <t>小狗蛇坐骑，灵动可爱寓意祥，伴你左右好运亿长，吉祥如意行四方。</t>
  </si>
  <si>
    <t>乘客动作类型</t>
  </si>
  <si>
    <t>模型</t>
  </si>
  <si>
    <t>Qc_xiaogoushe_zhaocaimao</t>
  </si>
  <si>
    <t>缩放·妖兽</t>
  </si>
  <si>
    <t>绑定点</t>
  </si>
  <si>
    <t>Bone001/Ride_Point</t>
  </si>
  <si>
    <t>缩放·通用女</t>
  </si>
  <si>
    <t>副绑定点</t>
  </si>
  <si>
    <t>缩放·通用男</t>
  </si>
  <si>
    <t>没有就空着</t>
  </si>
  <si>
    <t>绑定点路径带空格，导入时会自动错一个格子</t>
  </si>
  <si>
    <t>Bip01/Bip01*Pelvis/Bip01*Spine/Bip01 Spine1/Ride_Point</t>
  </si>
  <si>
    <t>飞行器名</t>
  </si>
  <si>
    <t>小飞猪</t>
  </si>
  <si>
    <t>S</t>
  </si>
  <si>
    <t>飞行器人数</t>
  </si>
  <si>
    <t>单人飞行器</t>
  </si>
  <si>
    <t>飞行器</t>
  </si>
  <si>
    <t>飞行器序号</t>
  </si>
  <si>
    <t>平腿坐</t>
  </si>
  <si>
    <t>icon_feixingqi_feitianzhu</t>
  </si>
  <si>
    <t>我会飞！你行你飞呀！</t>
  </si>
  <si>
    <t>Fei_feizhu_02</t>
  </si>
  <si>
    <t>Bip001/Bip001*Pelvis/Bip001*Spine/Ride_Point</t>
  </si>
  <si>
    <t>加速特效</t>
  </si>
  <si>
    <t>wm_feijian_jiasu</t>
  </si>
  <si>
    <t>多人绑定点1</t>
  </si>
  <si>
    <t>妖族</t>
  </si>
  <si>
    <t>妖族飞行器</t>
  </si>
  <si>
    <t>仙玉台</t>
  </si>
  <si>
    <t>图标·妖族</t>
  </si>
  <si>
    <t>icon_feixingqi_baihe2</t>
  </si>
  <si>
    <t>羽族</t>
  </si>
  <si>
    <t>羽族飞行器</t>
  </si>
  <si>
    <t>仙合翼</t>
  </si>
  <si>
    <t>图标·羽族</t>
  </si>
  <si>
    <t>icon_feixingqi_haiyangzhixin</t>
  </si>
  <si>
    <t>人族</t>
  </si>
  <si>
    <t>人族飞行器</t>
  </si>
  <si>
    <t>白玉仙</t>
  </si>
  <si>
    <t>飞行器起始序号</t>
  </si>
  <si>
    <t>图标·人族</t>
  </si>
  <si>
    <t>icon_feixingqi_baihe1</t>
  </si>
  <si>
    <t>种族
飞行器</t>
  </si>
  <si>
    <t>缩放·妖族</t>
  </si>
  <si>
    <t>模型·妖族</t>
  </si>
  <si>
    <t>Fei_baiheyaozu</t>
  </si>
  <si>
    <t>琳琅小铺</t>
  </si>
  <si>
    <t>缩放·羽族</t>
  </si>
  <si>
    <t>模型·羽族</t>
  </si>
  <si>
    <t>Fei_yuzuchibang_140</t>
  </si>
  <si>
    <t>花根花朵胥攒簇，#r莫恨无端浪与名。#r借问世间一切法，#r孰非百合幻而成。</t>
  </si>
  <si>
    <t>缩放·人族</t>
  </si>
  <si>
    <t>模型·人族</t>
  </si>
  <si>
    <t>Fei_baiherenzu</t>
  </si>
  <si>
    <t>绑定点·妖族</t>
  </si>
  <si>
    <t>绑定点·羽族</t>
  </si>
  <si>
    <t>Ride_Point</t>
  </si>
  <si>
    <t>绑定点·人族</t>
  </si>
  <si>
    <t>加速特效·妖族</t>
  </si>
  <si>
    <t>Bone001/wm_feijian_jiasu</t>
  </si>
  <si>
    <t>加速特效·羽族</t>
  </si>
  <si>
    <t>加速特效·人族</t>
  </si>
  <si>
    <t>背饰名</t>
  </si>
  <si>
    <t>野趣风尚</t>
  </si>
  <si>
    <t>背饰</t>
  </si>
  <si>
    <t>踏青节</t>
  </si>
  <si>
    <t>背饰序号</t>
  </si>
  <si>
    <t>之前每有一个天星秘器算4个背饰</t>
  </si>
  <si>
    <t>缩放·男妖兽</t>
  </si>
  <si>
    <t>icon_beishi_yequfengshang</t>
  </si>
  <si>
    <t>背包很小，快乐很满！</t>
  </si>
  <si>
    <t>缩放·男</t>
  </si>
  <si>
    <t>Bs_luyingzhilv</t>
  </si>
  <si>
    <t>缩放·女</t>
  </si>
  <si>
    <t>星扇</t>
  </si>
  <si>
    <t>天星
秘器
背饰</t>
  </si>
  <si>
    <t>天星秘器名</t>
  </si>
  <si>
    <t>天渊星扇</t>
  </si>
  <si>
    <t>图标1</t>
  </si>
  <si>
    <t>icon_tianyuanxingshan_su</t>
  </si>
  <si>
    <t>天星秘器序号</t>
  </si>
  <si>
    <t>图标2</t>
  </si>
  <si>
    <t>icon_tianyuanxingshan_xingxiang</t>
  </si>
  <si>
    <t>图标3</t>
  </si>
  <si>
    <t>icon_tianyuanxingshan_tianyuan</t>
  </si>
  <si>
    <t>图标4</t>
  </si>
  <si>
    <t>icon_tianyuanxingshan_tianxingyin</t>
  </si>
  <si>
    <t>模型1</t>
  </si>
  <si>
    <t>Mq_tianyuanxingshansu</t>
  </si>
  <si>
    <t>模型2</t>
  </si>
  <si>
    <t>Mq_tianyuanxingshantiangen</t>
  </si>
  <si>
    <t>模型3</t>
  </si>
  <si>
    <t>Mq_tianyuanxingshantianxingyin</t>
  </si>
  <si>
    <t>模型4</t>
  </si>
  <si>
    <t>Mq_tiankuiyinxiaoxingxiang</t>
  </si>
  <si>
    <t>if路径在pbrmodel下，用这列：</t>
  </si>
  <si>
    <t>武器前缀名</t>
  </si>
  <si>
    <t>无相·花颂</t>
  </si>
  <si>
    <t>模型·妖兽</t>
  </si>
  <si>
    <t>Chui_wangguan</t>
  </si>
  <si>
    <t>图标·妖兽</t>
  </si>
  <si>
    <t>icon_weapon_wuxianghuasong_chui</t>
  </si>
  <si>
    <t>pbrmodel/Chui_wushenzhiqi</t>
  </si>
  <si>
    <t>武器
外观</t>
  </si>
  <si>
    <t>模型·羽芒</t>
  </si>
  <si>
    <t>Gong_wangguan</t>
  </si>
  <si>
    <t>图标·羽芒</t>
  </si>
  <si>
    <t>icon_weapon_wuxianghuasong_gong</t>
  </si>
  <si>
    <t>pbrmodel/Gong_wushenzhiqi</t>
  </si>
  <si>
    <t>武器序号</t>
  </si>
  <si>
    <t>模型·法师</t>
  </si>
  <si>
    <t>Jian_wangguan</t>
  </si>
  <si>
    <t>图标·法师</t>
  </si>
  <si>
    <t>icon_weapon_wuxianghuasong_jian</t>
  </si>
  <si>
    <t>pbrmodel/Jian_wushenzhiqi</t>
  </si>
  <si>
    <t>穿戴后即可激活【虚空花径】专属传送特效，移动时飘落永恒花瓣烙印</t>
  </si>
  <si>
    <t>模型·羽灵</t>
  </si>
  <si>
    <t>Lun_wangguan</t>
  </si>
  <si>
    <t>图标·羽灵</t>
  </si>
  <si>
    <t>icon_weapon_wuxianghuasong_huan</t>
  </si>
  <si>
    <t>pbrmodel/Lun_wushenzhiqi</t>
  </si>
  <si>
    <t>模型·武侠枪</t>
  </si>
  <si>
    <t>Qiang_wangguan</t>
  </si>
  <si>
    <t>图标·妖精</t>
  </si>
  <si>
    <t>icon_weapon_wuxianghuasong_zhang</t>
  </si>
  <si>
    <t>pbrmodel/Qiang_wushenzhiqi</t>
  </si>
  <si>
    <t>模型·妖精</t>
  </si>
  <si>
    <t>Zhang_wangguan</t>
  </si>
  <si>
    <t>图标·武侠</t>
  </si>
  <si>
    <t>icon_weapon_wuxianghuasong_fu</t>
  </si>
  <si>
    <t>pbrmodel/Zhang_wushenzhiqi</t>
  </si>
  <si>
    <t>模型·武侠斧</t>
  </si>
  <si>
    <t>Fu_wangguan</t>
  </si>
  <si>
    <t>图标·妖刃</t>
  </si>
  <si>
    <t>icon_weapon_wuxianghuasong_ren</t>
  </si>
  <si>
    <t>pbrmodel/Fu_wushenzhiqi</t>
  </si>
  <si>
    <t>模型·妖刃</t>
  </si>
  <si>
    <t>Ren_wangguan</t>
  </si>
  <si>
    <t>图标·羽岚</t>
  </si>
  <si>
    <t>icon_weapon_wuxianghuasong_shu</t>
  </si>
  <si>
    <t>pbrmodel/Ren_wushenzhiqi</t>
  </si>
  <si>
    <t>模型·羽岚</t>
  </si>
  <si>
    <t>Shu_wangguan</t>
  </si>
  <si>
    <t>图标·刀刹</t>
  </si>
  <si>
    <t>icon_weapon_wuxianghuasong_dao</t>
  </si>
  <si>
    <t>pbrmodel/Shu_wushenzhiqi</t>
  </si>
  <si>
    <t>模型·刀刹</t>
  </si>
  <si>
    <t>Dao_wangguan</t>
  </si>
  <si>
    <t>图标·月仙</t>
  </si>
  <si>
    <t>icon_weapon_wuxianghuasong_lian</t>
  </si>
  <si>
    <t>pbrmodel/Dao_wushenzhiqi</t>
  </si>
  <si>
    <t>模型·月仙</t>
  </si>
  <si>
    <t>Liandao_wangguan</t>
  </si>
  <si>
    <t>导出</t>
  </si>
  <si>
    <t>动作名</t>
  </si>
  <si>
    <t>经典制皂</t>
  </si>
  <si>
    <t>人数</t>
  </si>
  <si>
    <t>双人</t>
  </si>
  <si>
    <t>表情
动作</t>
  </si>
  <si>
    <t>节日活动</t>
  </si>
  <si>
    <t>动作序号(UnlockEmotion)</t>
  </si>
  <si>
    <t>关联外观备注</t>
  </si>
  <si>
    <t>单人动作序号</t>
  </si>
  <si>
    <t>动作图标</t>
  </si>
  <si>
    <t>TP_x_icon_action_jingdianzhizao</t>
  </si>
  <si>
    <t>物品描述</t>
  </si>
  <si>
    <t>洗去浮尘，留住淡雅</t>
  </si>
  <si>
    <t>双人动作序号</t>
  </si>
  <si>
    <t>Jh_cuopaopao</t>
  </si>
  <si>
    <t>Effect起始id</t>
  </si>
  <si>
    <t>跳舞通用特效3503</t>
  </si>
  <si>
    <t>双人交互持续时间</t>
  </si>
  <si>
    <t>Effect挂点</t>
  </si>
  <si>
    <t>CenterPoint</t>
  </si>
  <si>
    <t>特效名1</t>
  </si>
  <si>
    <t>wm_liandong_shanghaizhizao_nan_001</t>
  </si>
  <si>
    <t>特效时间1</t>
  </si>
  <si>
    <t>特效名2</t>
  </si>
  <si>
    <t>wm_liandong_shanghaizhizao_nv_001</t>
  </si>
  <si>
    <t>特效时间2</t>
  </si>
  <si>
    <t>特效名3</t>
  </si>
  <si>
    <t>wm_liandong_shanghaizhizao_yaoshou_001</t>
  </si>
  <si>
    <t>特效时间3</t>
  </si>
  <si>
    <t>级别定价：</t>
  </si>
  <si>
    <t>常用染色代号：</t>
  </si>
  <si>
    <t>级别id</t>
  </si>
  <si>
    <t>染色剂ID</t>
  </si>
  <si>
    <t>数量</t>
  </si>
  <si>
    <t>魅力值</t>
  </si>
  <si>
    <t>7天价</t>
  </si>
  <si>
    <t>永久价</t>
  </si>
  <si>
    <t>折扣价</t>
  </si>
  <si>
    <t>FashionColorInfoID</t>
  </si>
  <si>
    <t>备注</t>
  </si>
  <si>
    <t>色值</t>
  </si>
  <si>
    <t>头饰S+</t>
  </si>
  <si>
    <t>固定染色</t>
  </si>
  <si>
    <t>白</t>
  </si>
  <si>
    <t>头饰S</t>
  </si>
  <si>
    <t>黑</t>
  </si>
  <si>
    <t>[1C1619]</t>
  </si>
  <si>
    <t>头饰A</t>
  </si>
  <si>
    <t>真朱</t>
  </si>
  <si>
    <t>[890008]</t>
  </si>
  <si>
    <t>头饰B</t>
  </si>
  <si>
    <t>紫鸢</t>
  </si>
  <si>
    <t>[361120]</t>
  </si>
  <si>
    <t>时装S+</t>
  </si>
  <si>
    <t>灰汁</t>
  </si>
  <si>
    <t>[B4ADAD]</t>
  </si>
  <si>
    <t>时装S</t>
  </si>
  <si>
    <t>白鼠</t>
  </si>
  <si>
    <t>[D2D2D2]</t>
  </si>
  <si>
    <t>时装A</t>
  </si>
  <si>
    <t>时装B</t>
  </si>
  <si>
    <t>坐骑S+</t>
  </si>
  <si>
    <t>坐骑S</t>
  </si>
  <si>
    <t>坐骑A</t>
  </si>
  <si>
    <t>坐骑B</t>
  </si>
  <si>
    <t>飞行器S+</t>
  </si>
  <si>
    <t>飞行器S</t>
  </si>
  <si>
    <t>飞行器A</t>
  </si>
  <si>
    <t>飞行器B</t>
  </si>
  <si>
    <t>坐骑动作：</t>
  </si>
  <si>
    <t>武器S+</t>
  </si>
  <si>
    <t>武器S</t>
  </si>
  <si>
    <t>B</t>
  </si>
  <si>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·宿</t>
    </r>
  </si>
  <si>
    <r>
      <rPr>
        <sz val="11"/>
        <color theme="1"/>
        <rFont val="等线"/>
        <charset val="134"/>
        <scheme val="minor"/>
      </rPr>
      <t>解锁xxxx</t>
    </r>
    <r>
      <rPr>
        <sz val="11"/>
        <color theme="1"/>
        <rFont val="等线"/>
        <charset val="134"/>
        <scheme val="minor"/>
      </rPr>
      <t>后获得。#r#r时序突破后解锁更高形态，在天星秘器形态预览可查看所有外观形态。</t>
    </r>
  </si>
  <si>
    <t>武器A</t>
  </si>
  <si>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·星象</t>
    </r>
  </si>
  <si>
    <r>
      <rPr>
        <sz val="11"/>
        <color theme="1"/>
        <rFont val="等线"/>
        <charset val="134"/>
        <scheme val="minor"/>
      </rPr>
      <t>xxxx</t>
    </r>
    <r>
      <rPr>
        <sz val="11"/>
        <color theme="1"/>
        <rFont val="等线"/>
        <charset val="134"/>
        <scheme val="minor"/>
      </rPr>
      <t>达到时序三·时辰后获得。#r#r时序突破后解锁更高形态，在天星秘器形态预览可查看所有外观形态。</t>
    </r>
  </si>
  <si>
    <t>武器B</t>
  </si>
  <si>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·天垣</t>
    </r>
  </si>
  <si>
    <r>
      <rPr>
        <sz val="11"/>
        <color theme="1"/>
        <rFont val="等线"/>
        <charset val="134"/>
        <scheme val="minor"/>
      </rPr>
      <t>xxxx</t>
    </r>
    <r>
      <rPr>
        <sz val="11"/>
        <color theme="1"/>
        <rFont val="等线"/>
        <charset val="134"/>
        <scheme val="minor"/>
      </rPr>
      <t>达到时序五·候天后获得。#r#r时序突破后解锁更高形态，在天星秘器形态预览可查看所有外观形态。</t>
    </r>
  </si>
  <si>
    <t>背饰S+</t>
  </si>
  <si>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x</t>
    </r>
    <r>
      <rPr>
        <sz val="11"/>
        <color theme="1"/>
        <rFont val="等线"/>
        <charset val="134"/>
        <scheme val="minor"/>
      </rPr>
      <t>·天星引</t>
    </r>
  </si>
  <si>
    <r>
      <rPr>
        <sz val="11"/>
        <color theme="1"/>
        <rFont val="等线"/>
        <charset val="134"/>
        <scheme val="minor"/>
      </rPr>
      <t>xxxx</t>
    </r>
    <r>
      <rPr>
        <sz val="11"/>
        <color theme="1"/>
        <rFont val="等线"/>
        <charset val="134"/>
        <scheme val="minor"/>
      </rPr>
      <t>达到时序八·阴阳后获得。#r#r时序突破后解锁更高形态，在天星秘器形态预览可查看所有外观形态。</t>
    </r>
  </si>
  <si>
    <t>背饰S</t>
  </si>
  <si>
    <t>背饰A</t>
  </si>
  <si>
    <t>背饰B</t>
  </si>
  <si>
    <t>Id</t>
  </si>
  <si>
    <t>Desc</t>
  </si>
  <si>
    <t>StrDictionary</t>
  </si>
  <si>
    <t>INT</t>
  </si>
  <si>
    <t>STRING</t>
  </si>
  <si>
    <t>#</t>
  </si>
  <si>
    <t>#字典号</t>
  </si>
  <si>
    <t>描述（程序不读）</t>
  </si>
  <si>
    <t>字典内容</t>
  </si>
  <si>
    <t>外观获取途径</t>
  </si>
  <si>
    <t>敬请期待</t>
  </si>
  <si>
    <t>周年庆</t>
  </si>
  <si>
    <t>冰雪节</t>
  </si>
  <si>
    <t>情人节</t>
  </si>
  <si>
    <t>花冠节</t>
  </si>
  <si>
    <t>劳动节</t>
  </si>
  <si>
    <t>女王节</t>
  </si>
  <si>
    <t>万圣节</t>
  </si>
  <si>
    <t>七夕节</t>
  </si>
  <si>
    <t>端午节</t>
  </si>
  <si>
    <t>春节</t>
  </si>
  <si>
    <t>中秋节</t>
  </si>
  <si>
    <t>花朝节</t>
  </si>
  <si>
    <t>儿童节</t>
  </si>
  <si>
    <t>国庆节</t>
  </si>
  <si>
    <t>祖龙庆典</t>
  </si>
  <si>
    <t>魅力商店</t>
  </si>
  <si>
    <t>武神之器</t>
  </si>
  <si>
    <t>天星秘器</t>
  </si>
  <si>
    <t>主线任务</t>
  </si>
  <si>
    <t>轶事任务</t>
  </si>
  <si>
    <t>隐藏任务</t>
  </si>
  <si>
    <t>结婚</t>
  </si>
  <si>
    <t>结婚进阶任务</t>
  </si>
  <si>
    <t>结拜里程碑</t>
  </si>
  <si>
    <t>藏渊阁博学点数</t>
  </si>
  <si>
    <t>藏渊阁成就</t>
  </si>
  <si>
    <t>寰宇争锋</t>
  </si>
  <si>
    <t>落月武场挑战本</t>
  </si>
  <si>
    <t>幻境</t>
  </si>
  <si>
    <t>幻境最高两层</t>
  </si>
  <si>
    <t>开服豪礼</t>
  </si>
  <si>
    <t>七日目标</t>
  </si>
  <si>
    <t>开工大吉</t>
  </si>
  <si>
    <t>寰宇精粹兑换</t>
  </si>
  <si>
    <t>情义值兑换</t>
  </si>
  <si>
    <t>商城外观出售</t>
  </si>
  <si>
    <t>黑市商人</t>
  </si>
  <si>
    <t>首充</t>
  </si>
  <si>
    <t>预约活动</t>
  </si>
  <si>
    <t>社区活动</t>
  </si>
  <si>
    <t>新服预约</t>
  </si>
  <si>
    <t>特殊运营活动</t>
  </si>
  <si>
    <t>寻龙</t>
  </si>
  <si>
    <t>限时·惠</t>
  </si>
  <si>
    <t>社区限时活动</t>
  </si>
  <si>
    <t>积分商店</t>
  </si>
  <si>
    <t>官网活动</t>
  </si>
  <si>
    <t>跨服帮派联赛</t>
  </si>
  <si>
    <t>大客户专属</t>
  </si>
  <si>
    <t>迎新钱庄</t>
  </si>
  <si>
    <t>通天秘宝</t>
  </si>
  <si>
    <t>修真荣耀榜</t>
  </si>
  <si>
    <t>购买吉光烁羽时装</t>
  </si>
  <si>
    <t>新版本限定发售</t>
  </si>
  <si>
    <t>地脉寻宝</t>
  </si>
  <si>
    <t>诸神之战</t>
  </si>
  <si>
    <t>摇摇乐</t>
  </si>
  <si>
    <t>特殊限时活动</t>
  </si>
  <si>
    <t>累计充值</t>
  </si>
  <si>
    <t>线下活动</t>
  </si>
  <si>
    <t>消费有礼</t>
  </si>
  <si>
    <t>大玩家专属</t>
  </si>
  <si>
    <t>限时联动</t>
  </si>
  <si>
    <t>诗普琳品牌合作</t>
  </si>
  <si>
    <t>轩辕剑联动</t>
  </si>
  <si>
    <t>诛仙联动</t>
  </si>
  <si>
    <t>Name</t>
  </si>
  <si>
    <t>Atlas</t>
  </si>
  <si>
    <t>Icon</t>
  </si>
  <si>
    <t>TipsClassDesc</t>
  </si>
  <si>
    <t>ClassID</t>
  </si>
  <si>
    <t>SubClassID</t>
  </si>
  <si>
    <t>ThirdClassID</t>
  </si>
  <si>
    <t>Quality</t>
  </si>
  <si>
    <t>Color</t>
  </si>
  <si>
    <t>MinLevelRequire</t>
  </si>
  <si>
    <t>MaxLevelRequire</t>
  </si>
  <si>
    <t>CanUse</t>
  </si>
  <si>
    <t>BindType</t>
  </si>
  <si>
    <t>CanSell</t>
  </si>
  <si>
    <t>SellPrice</t>
  </si>
  <si>
    <t>SellMoneyType</t>
  </si>
  <si>
    <t>MaxStackSize</t>
  </si>
  <si>
    <t>ProfessionRequire</t>
  </si>
  <si>
    <t>SexReq</t>
  </si>
  <si>
    <t>UniqueEquip</t>
  </si>
  <si>
    <t>SortId</t>
  </si>
  <si>
    <t>CompoundType</t>
  </si>
  <si>
    <t>CompondLevel</t>
  </si>
  <si>
    <t>HyperLinkColor</t>
  </si>
  <si>
    <t>SoundID</t>
  </si>
  <si>
    <t>ExistTime</t>
  </si>
  <si>
    <t>DropIcon</t>
  </si>
  <si>
    <t>DropScaling</t>
  </si>
  <si>
    <t>DropEffectId</t>
  </si>
  <si>
    <t>DropModelId</t>
  </si>
  <si>
    <t>CanThrow</t>
  </si>
  <si>
    <t>IsCanStorage</t>
  </si>
  <si>
    <t>IsCanQianKunDai</t>
  </si>
  <si>
    <t>QianKunDaiGroup</t>
  </si>
  <si>
    <t>QianKunDaiLevel</t>
  </si>
  <si>
    <t>IsCanBatchUse</t>
  </si>
  <si>
    <t>IsNeedAddRemind</t>
  </si>
  <si>
    <t>IsNeedUseRemind</t>
  </si>
  <si>
    <t>AutoUse</t>
  </si>
  <si>
    <t>MaxStorage</t>
  </si>
  <si>
    <t>ItemRmbVal</t>
  </si>
  <si>
    <t>StallItemID</t>
  </si>
  <si>
    <t>StallOtherClass</t>
  </si>
  <si>
    <t>AuctionItemID</t>
  </si>
  <si>
    <t>AuctionOtherClass</t>
  </si>
  <si>
    <t>IsNeedSecPasswd</t>
  </si>
  <si>
    <t>DecomposeId</t>
  </si>
  <si>
    <t>CompoundFormulaId</t>
  </si>
  <si>
    <t>SourceId</t>
  </si>
  <si>
    <t>FirmBuyType</t>
  </si>
  <si>
    <t>NeedRealTimeSave</t>
  </si>
  <si>
    <t>DelayedUseTime</t>
  </si>
  <si>
    <t>IsCanSendLink</t>
  </si>
  <si>
    <t>NeedSendDropByMail</t>
  </si>
  <si>
    <t>IsRecordDropLog</t>
  </si>
  <si>
    <t>IsChest</t>
  </si>
  <si>
    <t>FLOAT</t>
  </si>
  <si>
    <t>#MAX_ID=300000;MAX_RECORD=100000;TableType=Hash;ProjectActive0=_GMSERVER_;</t>
  </si>
  <si>
    <t>N</t>
  </si>
  <si>
    <t>#ID</t>
  </si>
  <si>
    <t>（本列程序不读）</t>
  </si>
  <si>
    <t>名称</t>
  </si>
  <si>
    <t>图集Id（索引CommonItemAtlas）</t>
  </si>
  <si>
    <t>二级分类描述</t>
  </si>
  <si>
    <t>物品分类ID（精炼材料、捉鬼礼包、烟花9-4的分类程序有特殊处理，所以新建道具的分类ID尽量不要跟他们一样）</t>
  </si>
  <si>
    <t>次级分类ID</t>
  </si>
  <si>
    <t>三级分类ID</t>
  </si>
  <si>
    <t>品阶类型（装备类物品填写1~13，对应1~13品阶；道具类物品不填写）</t>
  </si>
  <si>
    <t>颜色（1=白色，2=蓝色B，3=紫色A，4=金色S，5=橙色S+，6=红色）</t>
  </si>
  <si>
    <t>需求等级下限</t>
  </si>
  <si>
    <t>需求等级上限</t>
  </si>
  <si>
    <t>可以使用（0否1是）</t>
  </si>
  <si>
    <t>绑定类型（0无1拾取绑定2装备绑定）</t>
  </si>
  <si>
    <t>可以出售给NPC（0否1是）</t>
  </si>
  <si>
    <t>卖出价格</t>
  </si>
  <si>
    <t>卖出货币类型</t>
  </si>
  <si>
    <t>最大堆叠数量（不能超过9999）</t>
  </si>
  <si>
    <t>职业需求（-1=无职业限制 0=妖兽 1=妖精 2=羽芒 3=羽灵 4=武侠 5=法师 6=妖刃 7=魂契 8=羽岚 9=剑灵 10=月仙）</t>
  </si>
  <si>
    <t>性别需求（-1无 0男 1女）</t>
  </si>
  <si>
    <t>装备唯一属性（1代表同一ID装备只能装备一件）</t>
  </si>
  <si>
    <t>排序显示ID</t>
  </si>
  <si>
    <t>合成类别（废弃）</t>
  </si>
  <si>
    <t>合成级别（废弃）</t>
  </si>
  <si>
    <t>聊天栏名字颜色</t>
  </si>
  <si>
    <t>音效</t>
  </si>
  <si>
    <t>有效时间（单位分钟 配置上限一年即512640）</t>
  </si>
  <si>
    <t>掉落显示图标(id对应CommonItemDropIcon表)</t>
  </si>
  <si>
    <t>掉落图标比例</t>
  </si>
  <si>
    <t>掉落特效</t>
  </si>
  <si>
    <t>掉落物模型ID</t>
  </si>
  <si>
    <t>是否可以丢弃（0不可1可丢弃）</t>
  </si>
  <si>
    <t>是否可以放入仓库（0否1是）</t>
  </si>
  <si>
    <t>是否可以放入乾坤袋参与合成（0否1是）</t>
  </si>
  <si>
    <t>乾坤袋合成组</t>
  </si>
  <si>
    <t>乾坤袋消耗级别 级别越低越优先消耗</t>
  </si>
  <si>
    <t>是否可以批量使用</t>
  </si>
  <si>
    <t>获得时是否需要弹提示（0否1是）</t>
  </si>
  <si>
    <t>获得提醒是否要使用按钮（前提是物品可使用）（0否1是）</t>
  </si>
  <si>
    <t>获得后自动使用</t>
  </si>
  <si>
    <t>最大持有数量（无限制时填-1）（包含背包 仓库 装备槽位 系统商店回购槽位）</t>
  </si>
  <si>
    <t>炼器、灌注的RMB值，没有填0（废弃）</t>
  </si>
  <si>
    <t>摆摊表ID</t>
  </si>
  <si>
    <t>摆摊其他分类标志</t>
  </si>
  <si>
    <t>拍卖表ID</t>
  </si>
  <si>
    <t>拍卖其他分类标志</t>
  </si>
  <si>
    <t>丢弃卖店是否需要二级密码</t>
  </si>
  <si>
    <t>分解Id</t>
  </si>
  <si>
    <t>参与合成的配方id（配第一个）</t>
  </si>
  <si>
    <t>物品来源Id</t>
  </si>
  <si>
    <t>物品在商会中所属类型（参照商会UI：精炼=1，宝石=2，精灵=3，其他=4，能出售不能购买=99）</t>
  </si>
  <si>
    <t>物品有变化的时候是否要进行实时存储，一般为0不需要实时存储，慎用！！</t>
  </si>
  <si>
    <t>延时使用时间</t>
  </si>
  <si>
    <t>是否可发送超链接</t>
  </si>
  <si>
    <t>物品在副本掉落未拾取时候，出副本时候是否向玩家发送邮件（0不发邮件，1发邮件）</t>
  </si>
  <si>
    <t>是否记录掉落日志</t>
  </si>
  <si>
    <t>是否为礼包</t>
  </si>
  <si>
    <t>发型</t>
  </si>
  <si>
    <t>武器外观</t>
  </si>
  <si>
    <t>表情动作</t>
  </si>
  <si>
    <t>Tips</t>
  </si>
  <si>
    <t>#ID（对应CommonItem的ID）</t>
  </si>
  <si>
    <t>ScriptId</t>
  </si>
  <si>
    <t>IsSkillUse</t>
  </si>
  <si>
    <t>SkillId</t>
  </si>
  <si>
    <t>ConsumeFlag</t>
  </si>
  <si>
    <t>CoolDownId</t>
  </si>
  <si>
    <t>CoolDownNoticeLeftTime</t>
  </si>
  <si>
    <t>CanUseInBW</t>
  </si>
  <si>
    <t>UseTip</t>
  </si>
  <si>
    <t>ShowItemList</t>
  </si>
  <si>
    <t>UseParamA</t>
  </si>
  <si>
    <t>UseParamB</t>
  </si>
  <si>
    <t>UseParamC</t>
  </si>
  <si>
    <t>UseParamD</t>
  </si>
  <si>
    <t>UseParamE</t>
  </si>
  <si>
    <t>UseParamF</t>
  </si>
  <si>
    <t>ProfessionParam1</t>
  </si>
  <si>
    <t>ProfessionParam2</t>
  </si>
  <si>
    <t>ProfessionParam3</t>
  </si>
  <si>
    <t>ProfessionParam4</t>
  </si>
  <si>
    <t>ProfessionParam5</t>
  </si>
  <si>
    <t>ProfessionParam6</t>
  </si>
  <si>
    <t>ProfessionParam7</t>
  </si>
  <si>
    <t>ProfessionParam8</t>
  </si>
  <si>
    <t>ProfessionParam9</t>
  </si>
  <si>
    <t>ProfessionParam10</t>
  </si>
  <si>
    <t>#MAX_ID=300000;MAX_RECORD=100000;TableType=Hash;</t>
  </si>
  <si>
    <t>程序不读</t>
  </si>
  <si>
    <t>物品名称</t>
  </si>
  <si>
    <t>脚本ID（260  271   281 扩充新职业的时候需要关注），271伪随机，216不分职业</t>
  </si>
  <si>
    <t>是否读条</t>
  </si>
  <si>
    <t>读条技能</t>
  </si>
  <si>
    <t>0：使用不销毁 1：使用后销毁2：使用后调用脚本的消耗函数</t>
  </si>
  <si>
    <t>冷却Id(CoolDownTime.txt)</t>
  </si>
  <si>
    <t>冷却中提示是否显示剩余时间（精确到秒）（1显示 0不显示）</t>
  </si>
  <si>
    <t>是否可以在大世界使用，涉及到全局掉落的福袋是不可以在大世界使用的</t>
  </si>
  <si>
    <t>使用后提示</t>
  </si>
  <si>
    <t>使用后显示物品获得窗口</t>
  </si>
  <si>
    <t>附加参数1</t>
  </si>
  <si>
    <t>附加参数2</t>
  </si>
  <si>
    <t>附加参数3</t>
  </si>
  <si>
    <t>附加参数4</t>
  </si>
  <si>
    <t>附加参数5</t>
  </si>
  <si>
    <t>附加参数6</t>
  </si>
  <si>
    <t>职业扩展相关参数1（目前只为宝箱扩展职业使用）</t>
  </si>
  <si>
    <t>职业扩展相关参数2（目前只为宝箱扩展职业使用）</t>
  </si>
  <si>
    <t>职业扩展相关参数3（目前只为宝箱扩展职业使用）</t>
  </si>
  <si>
    <t>职业扩展相关参数4（目前只为宝箱扩展职业使用）</t>
  </si>
  <si>
    <t>职业扩展相关参数5（目前只为宝箱扩展职业使用）</t>
  </si>
  <si>
    <t>职业扩展相关参数6（目前只为宝箱扩展职业使用）</t>
  </si>
  <si>
    <t>职业扩展相关参数7（目前只为宝箱扩展职业使用）</t>
  </si>
  <si>
    <t>职业扩展相关参数8（目前只为宝箱扩展职业使用）</t>
  </si>
  <si>
    <t>职业扩展相关参数9（目前只为宝箱扩展职业使用）</t>
  </si>
  <si>
    <t>职业扩展相关参数10（目前只为宝箱扩展职业使用）（对应刀客）</t>
  </si>
  <si>
    <t>TabIndex</t>
  </si>
  <si>
    <t>ItemId</t>
  </si>
  <si>
    <t>Stack</t>
  </si>
  <si>
    <t>Price</t>
  </si>
  <si>
    <t>CurrencyType</t>
  </si>
  <si>
    <t>Discount</t>
  </si>
  <si>
    <t>SellStart</t>
  </si>
  <si>
    <t>SellEnd</t>
  </si>
  <si>
    <t>SaleStart</t>
  </si>
  <si>
    <t>SaleEnd</t>
  </si>
  <si>
    <t>OpenRollNotice</t>
  </si>
  <si>
    <t>IsRecommend</t>
  </si>
  <si>
    <t>IsPrecious</t>
  </si>
  <si>
    <t>IsSell</t>
  </si>
  <si>
    <t>IsPresent</t>
  </si>
  <si>
    <t>FriendPointReq</t>
  </si>
  <si>
    <t>SaveIndex</t>
  </si>
  <si>
    <t>ShowSort</t>
  </si>
  <si>
    <t>RecommendSort</t>
  </si>
  <si>
    <t>ShowInNewGood</t>
  </si>
  <si>
    <t>ServerLv</t>
  </si>
  <si>
    <t>RecommendLv</t>
  </si>
  <si>
    <t>IsShowInShop</t>
  </si>
  <si>
    <t>IsNew</t>
  </si>
  <si>
    <t>SubTitle</t>
  </si>
  <si>
    <t>RecommendTabIndex</t>
  </si>
  <si>
    <t>INT64</t>
  </si>
  <si>
    <t>#MAX_ID=9999;MAX_RECORD=9999;</t>
  </si>
  <si>
    <t>描述(程序不读)</t>
  </si>
  <si>
    <t>分页 索引YuanBaoShopSubTab（5强化 6精炼 7魂石 8英魂 9天书 10神器 11地脉 12其他养成线 13外观时装 14坐骑飞行器 15奇物 1-2为额外推荐页 3-4为寻龙和月卡 ）</t>
  </si>
  <si>
    <t>物品ID</t>
  </si>
  <si>
    <t>堆叠数量</t>
  </si>
  <si>
    <t>价格</t>
  </si>
  <si>
    <t>货币类型(2:元宝，4:绑定元宝)目前只使用这两种（外观支持银元宝3）</t>
  </si>
  <si>
    <t>出售起始时间</t>
  </si>
  <si>
    <t>出售结束时间</t>
  </si>
  <si>
    <t>打折开始时间</t>
  </si>
  <si>
    <t>打折结束</t>
  </si>
  <si>
    <t>物品上下架打折时是否开启滚屏提示</t>
  </si>
  <si>
    <t>是否推荐</t>
  </si>
  <si>
    <t>是否是精品(此列已废弃)</t>
  </si>
  <si>
    <t>是否出售</t>
  </si>
  <si>
    <t>是否可以赠送</t>
  </si>
  <si>
    <t>赠送需要友好度</t>
  </si>
  <si>
    <t>定期限购存储索引（0~29 不限购填-1）非特殊情况，均填-1</t>
  </si>
  <si>
    <t>显示顺序（-1按id显示 0往上越小越靠前显示）（S级1-10、A级11-25、S头26-35、A头--36-45、背饰--46-50、坐骑50-55、飞行器56-60）</t>
  </si>
  <si>
    <t>推荐页排序，只在推荐页生效（-1按id显示 0往上越小越靠前显示）</t>
  </si>
  <si>
    <t>是否显示在新品商店(-1，0:不显示 1:显示)</t>
  </si>
  <si>
    <t>出现所需服务器等级</t>
  </si>
  <si>
    <t>推荐等级上限</t>
  </si>
  <si>
    <t>是否在商城显示</t>
  </si>
  <si>
    <t>是否显示新品标签（1是新品，0不是）</t>
  </si>
  <si>
    <t>副标题（建议6个字左右 没有填-1）</t>
  </si>
  <si>
    <t>首页推荐页栏位 填YuanBaoShopSubTabID（不上推荐页填-1）</t>
  </si>
  <si>
    <t>ChangeProfessionRule</t>
  </si>
  <si>
    <t>YaoShou01</t>
  </si>
  <si>
    <t>YaoShou02</t>
  </si>
  <si>
    <t>YaoJing01</t>
  </si>
  <si>
    <t>YaoJing02</t>
  </si>
  <si>
    <t>YuMang01</t>
  </si>
  <si>
    <t>YuMang02</t>
  </si>
  <si>
    <t>YuLing01</t>
  </si>
  <si>
    <t>YuLing02</t>
  </si>
  <si>
    <t>WuXia01</t>
  </si>
  <si>
    <t>WuXia02</t>
  </si>
  <si>
    <t>FaShi01</t>
  </si>
  <si>
    <t>FaShi02</t>
  </si>
  <si>
    <t>YaoRen1</t>
  </si>
  <si>
    <t>YaoRen2</t>
  </si>
  <si>
    <t>YuLan1</t>
  </si>
  <si>
    <t>YuLan2</t>
  </si>
  <si>
    <t>YueXian1</t>
  </si>
  <si>
    <t>YueXian2</t>
  </si>
  <si>
    <t>DaoCha1</t>
  </si>
  <si>
    <t>DaoCha2</t>
  </si>
  <si>
    <t>#MAX_ID=999;MAX_RECORD=1000;</t>
  </si>
  <si>
    <t>描述(程序不读，时装：0-150，发饰：151-251，武器：251-300，坐骑：301-400，S渠道：431-500)</t>
  </si>
  <si>
    <t>转职特殊处理（0：不处理，1：处理）</t>
  </si>
  <si>
    <t>妖兽 索引FashionData</t>
  </si>
  <si>
    <t>妖兽女</t>
  </si>
  <si>
    <t>妖精男</t>
  </si>
  <si>
    <t>妖精女</t>
  </si>
  <si>
    <t>羽芒男</t>
  </si>
  <si>
    <t>羽芒女</t>
  </si>
  <si>
    <t>羽灵男</t>
  </si>
  <si>
    <t>羽灵女</t>
  </si>
  <si>
    <t>武侠男</t>
  </si>
  <si>
    <t>占用</t>
  </si>
  <si>
    <t>法师男</t>
  </si>
  <si>
    <t>法师女</t>
  </si>
  <si>
    <t>妖刃男</t>
  </si>
  <si>
    <t>妖刃女</t>
  </si>
  <si>
    <t>羽岚男</t>
  </si>
  <si>
    <t>羽岚女</t>
  </si>
  <si>
    <t>月仙男</t>
  </si>
  <si>
    <t>月仙女</t>
  </si>
  <si>
    <t>刀刹男</t>
  </si>
  <si>
    <t>刀刹女</t>
  </si>
  <si>
    <t>FashionDesc</t>
  </si>
  <si>
    <t>FashionPart</t>
  </si>
  <si>
    <t>IndexID</t>
  </si>
  <si>
    <t>VisualId</t>
  </si>
  <si>
    <t>Atlas00</t>
  </si>
  <si>
    <t>Atlas01</t>
  </si>
  <si>
    <t>Icon00</t>
  </si>
  <si>
    <t>Icon01</t>
  </si>
  <si>
    <t>CanBeDyed</t>
  </si>
  <si>
    <t>RefineId</t>
  </si>
  <si>
    <t>BackgroundTexture</t>
  </si>
  <si>
    <t>CharmValue</t>
  </si>
  <si>
    <t>CanBeRandomDyed</t>
  </si>
  <si>
    <t>CanBeFreedomDyed</t>
  </si>
  <si>
    <t>FreedomDyeItem1</t>
  </si>
  <si>
    <t>FreedomDyeItem1Count</t>
  </si>
  <si>
    <t>FashionRarity</t>
  </si>
  <si>
    <t>BackgroundEffect</t>
  </si>
  <si>
    <t>ChangeAnim</t>
  </si>
  <si>
    <t>IdleAnim</t>
  </si>
  <si>
    <t>StartIdleTime</t>
  </si>
  <si>
    <t>RepeatIdleTime</t>
  </si>
  <si>
    <t>FreedomDyePartCount</t>
  </si>
  <si>
    <t>ForceHairSpecularColor</t>
  </si>
  <si>
    <t>ForceHairDyeColor</t>
  </si>
  <si>
    <t>VideoId</t>
  </si>
  <si>
    <t>IdleAnimInScene</t>
  </si>
  <si>
    <t>YaoShouIdleAnimInScene</t>
  </si>
  <si>
    <t>IdleAnimInSceneCD</t>
  </si>
  <si>
    <t>EnableSpringAllAnim</t>
  </si>
  <si>
    <t>描述(程序不读，时装：0-100，坐骑：100-120，飞行器：120-150)</t>
  </si>
  <si>
    <t>名字（除了显示还是跳转商城购买的关键字 注意维护）</t>
  </si>
  <si>
    <t>时装描述</t>
  </si>
  <si>
    <t>部位（0面部 1头发 2身体 3武器 4背饰 7坐骑 8飞行器）</t>
  </si>
  <si>
    <t>坐骑飞行器表ID（时装填-1）（坐骑:MountBase 飞行器:AircraftBase）</t>
  </si>
  <si>
    <t>外观Id（仅时装填，对应ItemVisualID）</t>
  </si>
  <si>
    <t>性别要求（0男 1女 -1不限）</t>
  </si>
  <si>
    <t>图集（男）</t>
  </si>
  <si>
    <t>图集（女）</t>
  </si>
  <si>
    <t>图标（男）</t>
  </si>
  <si>
    <t>图标（女）</t>
  </si>
  <si>
    <t>是否可以染色（1：是0：否）</t>
  </si>
  <si>
    <t>显示排序</t>
  </si>
  <si>
    <t>精炼特效id(穿时装武器时，索引FashionWeaponRefineLevel表，只配武器)</t>
  </si>
  <si>
    <t>背景图片</t>
  </si>
  <si>
    <t>是否可以随机染色</t>
  </si>
  <si>
    <t>是否可以自由染色</t>
  </si>
  <si>
    <t>自由染色物品id</t>
  </si>
  <si>
    <t>自由染色物品数量</t>
  </si>
  <si>
    <t>外观级别（1B，2A，3S，4S+）</t>
  </si>
  <si>
    <t>背景特效</t>
  </si>
  <si>
    <t>换装动作id</t>
  </si>
  <si>
    <t>休闲动作id</t>
  </si>
  <si>
    <t>开始休闲动作时间</t>
  </si>
  <si>
    <t>重复休闲动作时间</t>
  </si>
  <si>
    <t>自由染色区域数量</t>
  </si>
  <si>
    <t>头发设置此颜色后，捏脸设置的高光颜色无效，使用此颜色</t>
  </si>
  <si>
    <t>头发设置此颜色后，捏脸设置的头发颜色无效，使用此颜色</t>
  </si>
  <si>
    <t>对应Video.txt中的id</t>
  </si>
  <si>
    <t>场景内休闲动作ID（仅衣服生效）</t>
  </si>
  <si>
    <t>妖兽场景内休闲动作ID（仅衣服生效）</t>
  </si>
  <si>
    <t>场景内休闲动作冷却时间</t>
  </si>
  <si>
    <t>所有动画开启软体</t>
  </si>
  <si>
    <t>DefaultIconAtlas/DefaultIconAtlas</t>
  </si>
  <si>
    <t>WaiGuan/waiguan_bg_daditu2</t>
  </si>
  <si>
    <t>UI/wm_ui_huanzhuang_001</t>
  </si>
  <si>
    <t>UI/wm_ui_huanzhuang_003</t>
  </si>
  <si>
    <t>UI/wm_ui_huanzhuang_002</t>
  </si>
  <si>
    <t>IsShow</t>
  </si>
  <si>
    <t>GoodsId1</t>
  </si>
  <si>
    <t>GoodsId2</t>
  </si>
  <si>
    <t>GoodsId3</t>
  </si>
  <si>
    <t>IsProlong</t>
  </si>
  <si>
    <t>IsCanBuy</t>
  </si>
  <si>
    <t>GetWay</t>
  </si>
  <si>
    <t>FashionBuyLevel</t>
  </si>
  <si>
    <t>是否显示（若外观界面不显示，商城内也会不显示1：是，-1：否，-2，仅拥有时在外观界面显示，解锁时间举例：20220221040000【玩家在线时也可生效】）</t>
  </si>
  <si>
    <t>7天商品Id(对应Yuanbaoshop)</t>
  </si>
  <si>
    <t>30天商品Id(对应Yuanbaoshop)</t>
  </si>
  <si>
    <t>永久商品Id(对应Yuanbaoshop)</t>
  </si>
  <si>
    <t>可续费</t>
  </si>
  <si>
    <t>可购买（外观界面是否显示购买按钮）</t>
  </si>
  <si>
    <t>解锁的等级</t>
  </si>
  <si>
    <t>MountDesc</t>
  </si>
  <si>
    <t>MountSource</t>
  </si>
  <si>
    <t>ModelID</t>
  </si>
  <si>
    <t>UISpeed</t>
  </si>
  <si>
    <t>UIAccSpeed</t>
  </si>
  <si>
    <t>SpeedBuffID</t>
  </si>
  <si>
    <t>MemberCount</t>
  </si>
  <si>
    <t>ProfessionReq1</t>
  </si>
  <si>
    <t>ProfessionReq2</t>
  </si>
  <si>
    <t>ProfessionReq3</t>
  </si>
  <si>
    <t>ProfessionReq4</t>
  </si>
  <si>
    <t>ProfessionReq5</t>
  </si>
  <si>
    <t>ProfessionReq6</t>
  </si>
  <si>
    <t>ProfessionReq7</t>
  </si>
  <si>
    <t>ProfessionReq8</t>
  </si>
  <si>
    <t>ProfessionReq9</t>
  </si>
  <si>
    <t>ProfessionReq10</t>
  </si>
  <si>
    <t>ProfessionReq11</t>
  </si>
  <si>
    <t>ProfessionReq12</t>
  </si>
  <si>
    <t>ProfessionReq13</t>
  </si>
  <si>
    <t>ProfessionReq14</t>
  </si>
  <si>
    <t>ProfessionReq15</t>
  </si>
  <si>
    <t>ProfessionReq16</t>
  </si>
  <si>
    <t>MinLevelReq</t>
  </si>
  <si>
    <t>CustomColor</t>
  </si>
  <si>
    <t>IsShowInUI</t>
  </si>
  <si>
    <t>Height</t>
  </si>
  <si>
    <t>#MAX_ID=128;MAX_RECORD=128;</t>
  </si>
  <si>
    <t>坐骑描述</t>
  </si>
  <si>
    <t>坐骑来源描述（不读）</t>
  </si>
  <si>
    <t>对应ClientTable/CharMount.txt</t>
  </si>
  <si>
    <t>普通移动速度(UI显示)</t>
  </si>
  <si>
    <t>加速移动速度(UI显示)</t>
  </si>
  <si>
    <t>速度修正BuffID</t>
  </si>
  <si>
    <t>品阶</t>
  </si>
  <si>
    <t>坐骑允许成员数量</t>
  </si>
  <si>
    <t>职业限制1</t>
  </si>
  <si>
    <t>职业限制2</t>
  </si>
  <si>
    <t>职业限制3</t>
  </si>
  <si>
    <t>职业限制4</t>
  </si>
  <si>
    <t>职业限制5</t>
  </si>
  <si>
    <t>职业限制6</t>
  </si>
  <si>
    <t>职业限制7</t>
  </si>
  <si>
    <t>职业限制8</t>
  </si>
  <si>
    <t>职业限制9</t>
  </si>
  <si>
    <t>职业限制10</t>
  </si>
  <si>
    <t>职业限制11</t>
  </si>
  <si>
    <t>职业限制12</t>
  </si>
  <si>
    <t>职业限制13</t>
  </si>
  <si>
    <t>职业限制14</t>
  </si>
  <si>
    <t>职业限制15</t>
  </si>
  <si>
    <t>职业限制16</t>
  </si>
  <si>
    <t>要求最低等级</t>
  </si>
  <si>
    <t>默认的自定义颜色</t>
  </si>
  <si>
    <t>是否显示在UI上</t>
  </si>
  <si>
    <t>高度修正</t>
  </si>
  <si>
    <t>MountModel</t>
  </si>
  <si>
    <t>AffectByTerrain</t>
  </si>
  <si>
    <t>BindPoint_M</t>
  </si>
  <si>
    <t>BindPoint_W</t>
  </si>
  <si>
    <t>BindPoint_Vice</t>
  </si>
  <si>
    <t>FakeObjID</t>
  </si>
  <si>
    <t>CameraOffsetHeight_YaoShouNan</t>
  </si>
  <si>
    <t>CameraOffsetHeight_Nv</t>
  </si>
  <si>
    <t>CameraOffsetHeight_Nan</t>
  </si>
  <si>
    <t>HeadInfoAddHeight_YaoShouNan</t>
  </si>
  <si>
    <t>HeadInfoAddHeight_Nv</t>
  </si>
  <si>
    <t>HeadInfoAddHeight_Nan</t>
  </si>
  <si>
    <t>PlayerStand_Anim</t>
  </si>
  <si>
    <t>PlayerRun_Anim</t>
  </si>
  <si>
    <t>GuestStand_Anim</t>
  </si>
  <si>
    <t>GuestRun_Anim</t>
  </si>
  <si>
    <t>PlayerRide_Anim</t>
  </si>
  <si>
    <t>PlayerRide_Sound</t>
  </si>
  <si>
    <t>IdleSoundID</t>
  </si>
  <si>
    <t>JumpSoundID</t>
  </si>
  <si>
    <t>Scale_YaoShouNan</t>
  </si>
  <si>
    <t>Scale_Nv</t>
  </si>
  <si>
    <t>Scale_Nan</t>
  </si>
  <si>
    <t>BattleFairyHeightOffset</t>
  </si>
  <si>
    <t>SHORT</t>
  </si>
  <si>
    <t>模型路径</t>
  </si>
  <si>
    <t>是否受地形影响播放踩地特效</t>
  </si>
  <si>
    <t>绑定点男</t>
  </si>
  <si>
    <t>绑定点女</t>
  </si>
  <si>
    <t>对应FakeObj表ID</t>
  </si>
  <si>
    <t>上坐骑时相机看点高度修正妖兽</t>
  </si>
  <si>
    <t>上坐骑时相机看点高度修正通用女</t>
  </si>
  <si>
    <t>上坐骑时相机看点高度修正通用男</t>
  </si>
  <si>
    <t>上坐骑时名字板的高度修正妖兽</t>
  </si>
  <si>
    <t>上坐骑时名字板的高度修正通用女</t>
  </si>
  <si>
    <t>上坐骑时名字板的高度修正通用男</t>
  </si>
  <si>
    <t>人在该坐骑上站立的动画ID</t>
  </si>
  <si>
    <t>人在该坐骑上移动的动画ID</t>
  </si>
  <si>
    <t>乘客在该坐骑上站立的动画ID</t>
  </si>
  <si>
    <t>乘客在该坐骑上移动的动画ID</t>
  </si>
  <si>
    <t>人上该坐骑的动画ID</t>
  </si>
  <si>
    <t>人上该坐骑的声音ID</t>
  </si>
  <si>
    <t>坐骑休闲音效</t>
  </si>
  <si>
    <t>坐骑跳跃时音效</t>
  </si>
  <si>
    <t>坐骑妖兽缩放系数</t>
  </si>
  <si>
    <t>坐骑通用女缩放系数</t>
  </si>
  <si>
    <t>坐骑通用男缩放系数</t>
  </si>
  <si>
    <t>战斗精灵高度修生</t>
  </si>
  <si>
    <t>狮王侧坐男跨坐，腿比柯基开得小，女侧坐</t>
  </si>
  <si>
    <t>Stand_ride_4</t>
  </si>
  <si>
    <t>Stand_ride</t>
  </si>
  <si>
    <t>Stand_ride_2</t>
  </si>
  <si>
    <t>跨坐</t>
  </si>
  <si>
    <t>袋鼠跳跳</t>
  </si>
  <si>
    <t>狮王侧坐</t>
  </si>
  <si>
    <t>雪域之主</t>
  </si>
  <si>
    <t>蒸汽魔像</t>
  </si>
  <si>
    <t>哈雷跨坐</t>
  </si>
  <si>
    <t>哈雷</t>
  </si>
  <si>
    <t>电驴跨坐</t>
  </si>
  <si>
    <t>强哥牌小电驴</t>
  </si>
  <si>
    <t>Stand_ride_3</t>
  </si>
  <si>
    <t>Stand_ride_xiaomotuo</t>
  </si>
  <si>
    <t>Stand_ride_motuo</t>
  </si>
  <si>
    <t>铁骑风暴跨坐</t>
  </si>
  <si>
    <t>铁骑风暴</t>
  </si>
  <si>
    <t>布加油开车</t>
  </si>
  <si>
    <t>布加油</t>
  </si>
  <si>
    <t>爱玛跨坐</t>
  </si>
  <si>
    <t>爱玛电动车</t>
  </si>
  <si>
    <t>落樱秒速跨坐</t>
  </si>
  <si>
    <t>落樱秒速</t>
  </si>
  <si>
    <t>绒兔乐队站立</t>
  </si>
  <si>
    <t>绒兔乐队</t>
  </si>
  <si>
    <t>Stand_ride_che</t>
  </si>
  <si>
    <t>Stand_ride_aima</t>
  </si>
  <si>
    <t>Stand_ride_linglongyingyu</t>
  </si>
  <si>
    <t>柯小基跨坐</t>
  </si>
  <si>
    <t>柯小基</t>
  </si>
  <si>
    <t>复古机车跨坐</t>
  </si>
  <si>
    <t>复古机车</t>
  </si>
  <si>
    <t>螃蟹侧坐（头朝前）</t>
  </si>
  <si>
    <t>螃蟹</t>
  </si>
  <si>
    <t>曙光摩托</t>
  </si>
  <si>
    <t>曙光之星</t>
  </si>
  <si>
    <t>秋千</t>
  </si>
  <si>
    <t>花照春坞</t>
  </si>
  <si>
    <t>货拉拉-驾驶</t>
  </si>
  <si>
    <t>Stand_ride_rongtu</t>
  </si>
  <si>
    <t>Stand_ride_keji</t>
  </si>
  <si>
    <t>柯基男跨坐，腿开得较大女侧坐</t>
  </si>
  <si>
    <t>货拉拉-乘客</t>
  </si>
  <si>
    <t>Fly_sit_01</t>
  </si>
  <si>
    <t>Stand_ride_haleimotuo</t>
  </si>
  <si>
    <t>Stand_ride_pangxie</t>
  </si>
  <si>
    <t>Stand_ride_elingqishi</t>
  </si>
  <si>
    <t>AircraftDesc</t>
  </si>
  <si>
    <t>AircraftSource</t>
  </si>
  <si>
    <t>HighAltitude</t>
  </si>
  <si>
    <t>UISpeedLowAltitude</t>
  </si>
  <si>
    <t>EnterHighAltitudeNotice</t>
  </si>
  <si>
    <t>FlySpeed</t>
  </si>
  <si>
    <t>FlySpeedLowAltitude</t>
  </si>
  <si>
    <t>FastFlySpeed</t>
  </si>
  <si>
    <t>EnergyDecPS</t>
  </si>
  <si>
    <t>EnergyIncPS</t>
  </si>
  <si>
    <t>PetHeightOffset</t>
  </si>
  <si>
    <t>FresnelColor</t>
  </si>
  <si>
    <t>StartFresnelPOW</t>
  </si>
  <si>
    <t>StartFresnelMultiply</t>
  </si>
  <si>
    <t>FresnelTime</t>
  </si>
  <si>
    <t>DecayTime</t>
  </si>
  <si>
    <t>#MAX_ID=256;MAX_RECORD=256;</t>
  </si>
  <si>
    <t>#ID（妖族1-30，羽族31-60，人族，61-90）</t>
  </si>
  <si>
    <t>飞行器描述（不读）</t>
  </si>
  <si>
    <t>飞行器来源描述（不读）</t>
  </si>
  <si>
    <t>对应ClientTable/CharAircraft.txt</t>
  </si>
  <si>
    <t>高空高度</t>
  </si>
  <si>
    <t>高空飞行速度(UI显示)</t>
  </si>
  <si>
    <t>低空飞行速度(UI显示)</t>
  </si>
  <si>
    <t>加速飞行速度(UI显示)</t>
  </si>
  <si>
    <t>进入高空加速的提示字典 （18960:120%，18961:150%，18962:175%）</t>
  </si>
  <si>
    <t>高空飞行速度（索引BuffXmlData）</t>
  </si>
  <si>
    <t>低空飞行速度（索引BuffXmlData）</t>
  </si>
  <si>
    <t>加速飞行速度（索引BuffXmlData）</t>
  </si>
  <si>
    <t>该飞行器的能量消耗速度（实际消耗速度=L列数值-M列数值）</t>
  </si>
  <si>
    <t>该飞行器能量增长速度，能量上限600</t>
  </si>
  <si>
    <t>飞行器允许成员数量</t>
  </si>
  <si>
    <t>妖兽-0 (这里的职业配置负责给飞行器图标上加种族标签 频道展示物品时飞行器的职业显示 与实际使用无关)(-1=不限制 0=限制)</t>
  </si>
  <si>
    <t>妖精-1</t>
  </si>
  <si>
    <t>羽芒-2</t>
  </si>
  <si>
    <t>羽灵-3</t>
  </si>
  <si>
    <t>武侠-4</t>
  </si>
  <si>
    <t>法师-5</t>
  </si>
  <si>
    <t>妖刃-6</t>
  </si>
  <si>
    <t>占位</t>
  </si>
  <si>
    <t>羽岚-8</t>
  </si>
  <si>
    <t>占位-9</t>
  </si>
  <si>
    <t>占位-10</t>
  </si>
  <si>
    <t>占位-11</t>
  </si>
  <si>
    <t>占位-12</t>
  </si>
  <si>
    <t>占位-13</t>
  </si>
  <si>
    <t>占位-14</t>
  </si>
  <si>
    <t>刀刹-15</t>
  </si>
  <si>
    <t>宠物跟随高度修正</t>
  </si>
  <si>
    <t>爆白颜色</t>
  </si>
  <si>
    <t>FresnelPOW初值</t>
  </si>
  <si>
    <t>FresnelMultiply初值</t>
  </si>
  <si>
    <t>爆白时间</t>
  </si>
  <si>
    <t>衰减时间</t>
  </si>
  <si>
    <t>全种族通用</t>
  </si>
  <si>
    <t>FFFFFFFF</t>
  </si>
  <si>
    <t>万化城出品的妖族飞行器，满16岁并通过飞行器驾驶测试的妖族才可以使用</t>
  </si>
  <si>
    <t>积羽城出品的羽族飞行器，满16岁并通过飞行器驾驶测试的羽族才可以使用</t>
  </si>
  <si>
    <t>剑仙城出品的人族飞行器，满16岁并通过飞行器驾驶测试的人族才可以使用</t>
  </si>
  <si>
    <t>AircraftModel</t>
  </si>
  <si>
    <t>BindPoint</t>
  </si>
  <si>
    <t>FastSpeedEffect_0</t>
  </si>
  <si>
    <t>FastSpeedEffect_1</t>
  </si>
  <si>
    <t>FastSpeedEffect_2</t>
  </si>
  <si>
    <t>FastSpeedEffect_3</t>
  </si>
  <si>
    <t>FastSpeedEffect_4</t>
  </si>
  <si>
    <t>FastSpeedEffect_5</t>
  </si>
  <si>
    <t>FastSpeedEffect_6</t>
  </si>
  <si>
    <t>FastSpeedEffect_7</t>
  </si>
  <si>
    <t>HeadInfoAddHeight_YaoShou</t>
  </si>
  <si>
    <t>RideSoundID</t>
  </si>
  <si>
    <t>StandSoundID1</t>
  </si>
  <si>
    <t>RunSoundID</t>
  </si>
  <si>
    <t>GlideSound</t>
  </si>
  <si>
    <t>RunUpSoundID</t>
  </si>
  <si>
    <t>RunDownSoundID</t>
  </si>
  <si>
    <t>RunDownFastSoundID</t>
  </si>
  <si>
    <t>PlayerUnRide_Anim</t>
  </si>
  <si>
    <t>PlayerJumpRide_Anim</t>
  </si>
  <si>
    <t>PlayerRunFast_Anim</t>
  </si>
  <si>
    <t>PlayerRunUp_Anim</t>
  </si>
  <si>
    <t>PlayerRunDown_Anim</t>
  </si>
  <si>
    <t>PlayerRunDownFast_Anim</t>
  </si>
  <si>
    <t>PlayerAttackStand_Anim</t>
  </si>
  <si>
    <t>PlayerAttackRun_Anim</t>
  </si>
  <si>
    <t>PlayerAttackRunUp_Anim</t>
  </si>
  <si>
    <t>PlayerAttackRunDown_Anim</t>
  </si>
  <si>
    <t>PlayerAttackRunDownFast_Anim</t>
  </si>
  <si>
    <t>PlayerAttackRunFast_Anim</t>
  </si>
  <si>
    <t>PlayerCollectInSky</t>
  </si>
  <si>
    <t>PlayerDie_Anim</t>
  </si>
  <si>
    <t>PlayerDead_Anim</t>
  </si>
  <si>
    <t>IsWings</t>
  </si>
  <si>
    <t>FadeTime</t>
  </si>
  <si>
    <t>RunToGlideTime1</t>
  </si>
  <si>
    <t>RunToGlideTime2</t>
  </si>
  <si>
    <t>RunToGlideTime3</t>
  </si>
  <si>
    <t>GlideToRunTime1</t>
  </si>
  <si>
    <t>GlideToRunTime2</t>
  </si>
  <si>
    <t>GlideToRunTime3</t>
  </si>
  <si>
    <t>BP_1</t>
  </si>
  <si>
    <t>BP_2</t>
  </si>
  <si>
    <t>BP_3</t>
  </si>
  <si>
    <t>BP_4</t>
  </si>
  <si>
    <t>BP_5</t>
  </si>
  <si>
    <t>StandSoundID2</t>
  </si>
  <si>
    <t>StandSoundID3</t>
  </si>
  <si>
    <t>#ID（妖族0-30，羽族31-60，人族，61-90）</t>
  </si>
  <si>
    <t>加速时要启用的特效</t>
  </si>
  <si>
    <t>上飞行器时相机看点高度修正-妖兽</t>
  </si>
  <si>
    <t>上飞行器时相机看点高度修正-通用女</t>
  </si>
  <si>
    <t>上飞行器时相机看点高度修正-通用男</t>
  </si>
  <si>
    <t>上飞行器时名字板的高度修正-妖兽男</t>
  </si>
  <si>
    <t>上飞行器时名字板的高度修正-通用女</t>
  </si>
  <si>
    <t>上飞行器时名字板的高度修正-羽芒</t>
  </si>
  <si>
    <t>上飞行器的时候音效</t>
  </si>
  <si>
    <t>飞行器站立声音ID</t>
  </si>
  <si>
    <t>飞行器移动声音ID</t>
  </si>
  <si>
    <t>飞行器滑翔声音ID</t>
  </si>
  <si>
    <t>飞行器上升声音ID</t>
  </si>
  <si>
    <t>飞行器下降声音ID</t>
  </si>
  <si>
    <t>飞行器俯冲声音ID</t>
  </si>
  <si>
    <t>玩家上飞行器的动作</t>
  </si>
  <si>
    <t>玩家下飞行器的动作</t>
  </si>
  <si>
    <t>通过四段跳上飞行器动作</t>
  </si>
  <si>
    <t>玩家在飞行器站立的动作（114:翅膀飞行 207:站立 20010:平坐 20012:跨坐）</t>
  </si>
  <si>
    <t>飞行器移动时玩家相应动作-1表示无特殊性</t>
  </si>
  <si>
    <t>飞行器加速时玩家相应动作</t>
  </si>
  <si>
    <t>飞行器上升时玩家对应动作-1表示无特殊性</t>
  </si>
  <si>
    <t>飞行器下降时玩家对应的动作-1表示无特殊性</t>
  </si>
  <si>
    <t>飞行器俯冲时玩家对应的动作</t>
  </si>
  <si>
    <t>玩家在空中警戒站立动画</t>
  </si>
  <si>
    <t>玩家在空中警戒移动动画</t>
  </si>
  <si>
    <t>战斗状态飞行器上升时玩家对应动作-1表示无特殊性</t>
  </si>
  <si>
    <t>战斗状态飞行器下降时玩家对应的动作-1表示无特殊性</t>
  </si>
  <si>
    <t>战斗状态飞行器俯冲时玩家对应的动作</t>
  </si>
  <si>
    <t>战斗状态飞行器加速时玩家相应动作</t>
  </si>
  <si>
    <t>玩家空中采集动作</t>
  </si>
  <si>
    <t>玩家在飞行器上死亡动画</t>
  </si>
  <si>
    <t>玩家在飞行器上尸体动画</t>
  </si>
  <si>
    <t>是否是翅膀</t>
  </si>
  <si>
    <t>飞行器动作切换时的动作融合时间</t>
  </si>
  <si>
    <t>飞行器妖兽男缩放系数</t>
  </si>
  <si>
    <t>飞行器通用女缩放系数</t>
  </si>
  <si>
    <t>飞行器通用男缩放系数</t>
  </si>
  <si>
    <t>移动切换到滑翔的时间间隔</t>
  </si>
  <si>
    <t>滑翔切换到移动的时间间隔</t>
  </si>
  <si>
    <t>多人飞行绑定点1</t>
  </si>
  <si>
    <t>多人飞行绑定点2</t>
  </si>
  <si>
    <t>多人飞行绑定点3</t>
  </si>
  <si>
    <t>多人飞行绑定点4</t>
  </si>
  <si>
    <t>多人飞行绑定点5</t>
  </si>
  <si>
    <t>Stand_fly</t>
  </si>
  <si>
    <t>Stand_fly_c站立为各职业站立动作</t>
  </si>
  <si>
    <t>翅膀</t>
  </si>
  <si>
    <t>白翼</t>
  </si>
  <si>
    <t>站立</t>
  </si>
  <si>
    <t>元气鸭</t>
  </si>
  <si>
    <t>月兔谣</t>
  </si>
  <si>
    <t>风驰幻影跨坐</t>
  </si>
  <si>
    <t>风驰幻影</t>
  </si>
  <si>
    <t>Fly_sit_02</t>
  </si>
  <si>
    <t>Fly_sit_fengchi</t>
  </si>
  <si>
    <t>落缨秒速跨坐</t>
  </si>
  <si>
    <t>风筝</t>
  </si>
  <si>
    <t>钢铁鲨</t>
  </si>
  <si>
    <t>飞机坐</t>
  </si>
  <si>
    <t>苍穹绝影</t>
  </si>
  <si>
    <t>花照阡陌</t>
  </si>
  <si>
    <t>Fly_sit_linglongyingyu</t>
  </si>
  <si>
    <t>Fly_fengzheng_01</t>
  </si>
  <si>
    <t>Fly_sit_cangqiong</t>
  </si>
  <si>
    <t>YaoShou1</t>
  </si>
  <si>
    <t>YaoShou2</t>
  </si>
  <si>
    <t>YaoShouMonsterHead1</t>
  </si>
  <si>
    <t>YaoShouMonsterHead2</t>
  </si>
  <si>
    <t>YaoJing</t>
  </si>
  <si>
    <t>WuXia1</t>
  </si>
  <si>
    <t>WuXia_SkillTrans1</t>
  </si>
  <si>
    <t>WuXia2</t>
  </si>
  <si>
    <t>WuXia_SkillTrans2</t>
  </si>
  <si>
    <t>Fashi1</t>
  </si>
  <si>
    <t>Fashi2</t>
  </si>
  <si>
    <t>YuMang1</t>
  </si>
  <si>
    <t>YuMang2</t>
  </si>
  <si>
    <t>YuLing1</t>
  </si>
  <si>
    <t>YuLing2</t>
  </si>
  <si>
    <t>妖兽男</t>
  </si>
  <si>
    <t>妖兽男虎头</t>
  </si>
  <si>
    <t>妖兽女虎头</t>
  </si>
  <si>
    <t>武侠男双持</t>
  </si>
  <si>
    <t>武侠男长兵</t>
  </si>
  <si>
    <t>武侠女双持</t>
  </si>
  <si>
    <t>武侠女长兵</t>
  </si>
  <si>
    <t>ResPath</t>
  </si>
  <si>
    <t>PosX</t>
  </si>
  <si>
    <t>PosY</t>
  </si>
  <si>
    <t>PosZ</t>
  </si>
  <si>
    <t>RotX</t>
  </si>
  <si>
    <t>RotY</t>
  </si>
  <si>
    <t>RotZ</t>
  </si>
  <si>
    <t>FBAnimNode</t>
  </si>
  <si>
    <t>FBAnimBone</t>
  </si>
  <si>
    <t>Scale</t>
  </si>
  <si>
    <t>#角色ID</t>
  </si>
  <si>
    <t>资源路径</t>
  </si>
  <si>
    <t>X方向偏移</t>
  </si>
  <si>
    <t>Y方向偏移</t>
  </si>
  <si>
    <t>Z方向偏移</t>
  </si>
  <si>
    <t>X方向旋转</t>
  </si>
  <si>
    <t>Y方向旋转</t>
  </si>
  <si>
    <t>Z方向旋转</t>
  </si>
  <si>
    <t>绑定点(对应CharModelPoint表格 目前只对法宝生效 其余固定绑定点)</t>
  </si>
  <si>
    <t>法宝动画节点（法宝模型-&gt;动画节点-&gt;人物骨骼-&gt;根）</t>
  </si>
  <si>
    <t>法宝动画节点的绑定骨骼</t>
  </si>
  <si>
    <t>缩放(武器，背饰生效)</t>
  </si>
  <si>
    <t>备份</t>
  </si>
  <si>
    <t>CharModelID</t>
  </si>
  <si>
    <t>FieldOfView</t>
  </si>
  <si>
    <t>CameraPitch</t>
  </si>
  <si>
    <t>IsNeedScale</t>
  </si>
  <si>
    <t>NearPosX</t>
  </si>
  <si>
    <t>NearPosY</t>
  </si>
  <si>
    <t>NearPosZ</t>
  </si>
  <si>
    <t>HPosX</t>
  </si>
  <si>
    <t>HPosY</t>
  </si>
  <si>
    <t>HPosZ</t>
  </si>
  <si>
    <t>HRotX</t>
  </si>
  <si>
    <t>HRotY</t>
  </si>
  <si>
    <t>HRotZ</t>
  </si>
  <si>
    <t>HFieldOfView</t>
  </si>
  <si>
    <t>HCameraPitch</t>
  </si>
  <si>
    <t>HIsNeedScale</t>
  </si>
  <si>
    <t>HNearPosX</t>
  </si>
  <si>
    <t>HNearPosY</t>
  </si>
  <si>
    <t>HNearPosZ</t>
  </si>
  <si>
    <t>索引CharModel表</t>
  </si>
  <si>
    <t>X方向偏移（竖屏）</t>
  </si>
  <si>
    <t>摄像机FieldOfView（避免拉伸尽量小，但是太小头顶光照不到）</t>
  </si>
  <si>
    <t>摄像机俯仰角度</t>
  </si>
  <si>
    <t>是否开启镜头缩放(开启后，nearpos才起作用)</t>
  </si>
  <si>
    <t>X方向偏移（横屏）</t>
  </si>
  <si>
    <t>坐骑通用备份</t>
  </si>
  <si>
    <t>飞行器通用备份</t>
  </si>
  <si>
    <t>AnimPath</t>
  </si>
  <si>
    <t>HeadPic</t>
  </si>
  <si>
    <t>HalfFakeOjbID</t>
  </si>
  <si>
    <t>HeadInfoHeight</t>
  </si>
  <si>
    <t>DamageBoardHeight</t>
  </si>
  <si>
    <t>ShadowScale</t>
  </si>
  <si>
    <t>DeadSound01</t>
  </si>
  <si>
    <t>DeadSound02</t>
  </si>
  <si>
    <t>DeadSound03</t>
  </si>
  <si>
    <t>DeadEffectId</t>
  </si>
  <si>
    <t>SpecialStandAnimId</t>
  </si>
  <si>
    <t>SpecialRunAnimId</t>
  </si>
  <si>
    <t>SpecialWalkAnimId</t>
  </si>
  <si>
    <t>SpecialDeadAnimId</t>
  </si>
  <si>
    <t>AttackSoundRate</t>
  </si>
  <si>
    <t>AttcackSoundId</t>
  </si>
  <si>
    <t>HitSoundRate</t>
  </si>
  <si>
    <t>HitSoundId</t>
  </si>
  <si>
    <t>ModelType</t>
  </si>
  <si>
    <t>EffectScale</t>
  </si>
  <si>
    <t>OffsetX</t>
  </si>
  <si>
    <t>OffsetY</t>
  </si>
  <si>
    <t>OffsetZ</t>
  </si>
  <si>
    <t>ColliderRadius</t>
  </si>
  <si>
    <t>ColliderHeight</t>
  </si>
  <si>
    <t>NpcAttack1SoundId</t>
  </si>
  <si>
    <t>NpcAttack2SoundId</t>
  </si>
  <si>
    <t>SelectCircleOffsetY</t>
  </si>
  <si>
    <t>ShadowOffsetY</t>
  </si>
  <si>
    <t>ColliderOffsetY</t>
  </si>
  <si>
    <t>HeadIconType</t>
  </si>
  <si>
    <t>HeadTimeOffestX</t>
  </si>
  <si>
    <t>HeadTimeOffestY</t>
  </si>
  <si>
    <t>HeadTimeScale</t>
  </si>
  <si>
    <t>动作路径</t>
  </si>
  <si>
    <t>头像(Id对应CharModelHeadPic表)</t>
  </si>
  <si>
    <t>对话半身像FakeObjID</t>
  </si>
  <si>
    <t>头顶信息板高度修正</t>
  </si>
  <si>
    <t>伤害板高度修正</t>
  </si>
  <si>
    <t>缩放比例</t>
  </si>
  <si>
    <t>阴影片缩放比例</t>
  </si>
  <si>
    <t>死亡音效1（最终死亡音效从死亡音效1、2、3中随机选取一个播放，如果只填写其中一个，有可能随机中填空的两个，即不播放死亡音效）</t>
  </si>
  <si>
    <t>死亡音效2</t>
  </si>
  <si>
    <t>死亡音效3</t>
  </si>
  <si>
    <t>死亡特效ID</t>
  </si>
  <si>
    <t>特殊待机(战立动作)动作ID(无则填-1)</t>
  </si>
  <si>
    <t>特殊走动动作ID(无则填-1)</t>
  </si>
  <si>
    <t>特殊步行动作ID(无则填-1)</t>
  </si>
  <si>
    <t>特殊死亡动作ID(无则填-1)</t>
  </si>
  <si>
    <t>攻击附加额外音效播放的权重（100 表示100%）</t>
  </si>
  <si>
    <t>攻击附加额外音效ID</t>
  </si>
  <si>
    <t>受击音效播放权重（100 表示100%）</t>
  </si>
  <si>
    <t>受击音效ID</t>
  </si>
  <si>
    <t>骨骼模型类别(1-人形怪（Bip01），2-人形怪（Bip001），3-玩家（Bip01），4-虚拟体导出类，5-多足类（蜘蛛、魔哭九婴），6-玩家（Bip001），7-食人花女王（Bip001）,8嗜血妖花）</t>
  </si>
  <si>
    <t>模型身上的特效缩放比</t>
  </si>
  <si>
    <t>x轴偏移</t>
  </si>
  <si>
    <t>y轴偏移</t>
  </si>
  <si>
    <t>z轴偏移</t>
  </si>
  <si>
    <t>碰撞体半径</t>
  </si>
  <si>
    <t>碰撞体高度</t>
  </si>
  <si>
    <t>怪物普攻1音效</t>
  </si>
  <si>
    <t>怪物普攻2音效</t>
  </si>
  <si>
    <t>选中圈偏移高度</t>
  </si>
  <si>
    <t>阴影偏移高度</t>
  </si>
  <si>
    <t>包围盒偏移高度</t>
  </si>
  <si>
    <t>头像类型(-1:玩家,0:Npc,1:怪物,2:Boss)</t>
  </si>
  <si>
    <t>头顶buff倒计时偏移x</t>
  </si>
  <si>
    <t>头顶buff倒计时偏移y</t>
  </si>
  <si>
    <t>头顶buff倒计时缩放</t>
  </si>
  <si>
    <t>主角：时装</t>
  </si>
  <si>
    <t>Player/Yaoshou/Human</t>
  </si>
  <si>
    <t>Player/Yaojing</t>
  </si>
  <si>
    <t>Player/Wuxia/Shuangduan</t>
  </si>
  <si>
    <t>Player/Wuxia/Changqiang</t>
  </si>
  <si>
    <t>Player/Nanfashi</t>
  </si>
  <si>
    <t>Player/Fashi</t>
  </si>
  <si>
    <t>Player/Yumang</t>
  </si>
  <si>
    <t>Player/Nvyumang</t>
  </si>
  <si>
    <t>Player/Yuling</t>
  </si>
  <si>
    <t>Player/Nancike</t>
  </si>
  <si>
    <t>Player/Nvcike</t>
  </si>
  <si>
    <t>Player/Nanyulan</t>
  </si>
  <si>
    <t>Player/Nvyulan</t>
  </si>
  <si>
    <t>Player/Daochanan</t>
  </si>
  <si>
    <t>Player/Daochanv</t>
  </si>
  <si>
    <t>Player/Nvyaoshou/Human</t>
  </si>
  <si>
    <t>Player/Nanyuexian</t>
  </si>
  <si>
    <t>Player/Nvyuexian</t>
  </si>
  <si>
    <t>Player/Nanyuling</t>
  </si>
  <si>
    <t>KeyString</t>
  </si>
  <si>
    <t>KeyId</t>
  </si>
  <si>
    <t>InteractType</t>
  </si>
  <si>
    <t>#MAX_ID=100;MAX_RECORD=100;TableType=Index;</t>
  </si>
  <si>
    <t>#解锁的表情和动作等(ID从1只增 目前最大64)</t>
  </si>
  <si>
    <t>解锁物品ID</t>
  </si>
  <si>
    <t>识别的关键字</t>
  </si>
  <si>
    <t>识别动作的ID（单人动作，读CharInteractSingle的ID）</t>
  </si>
  <si>
    <t>多人动作交互类型(CharInteract.txt的InteractType列)</t>
  </si>
  <si>
    <t>解锁时提示的名称</t>
  </si>
  <si>
    <t>Profession</t>
  </si>
  <si>
    <t>Sex</t>
  </si>
  <si>
    <t>MaleAnimID</t>
  </si>
  <si>
    <t>FemaleAnimID</t>
  </si>
  <si>
    <t>YaoShouAnimID</t>
  </si>
  <si>
    <t>ActType</t>
  </si>
  <si>
    <t>IsMoveBreak</t>
  </si>
  <si>
    <t>IsBattleBreak</t>
  </si>
  <si>
    <t>TalkStrID</t>
  </si>
  <si>
    <t>IsShowMainAct</t>
  </si>
  <si>
    <t>IsShowTakePhotoAct</t>
  </si>
  <si>
    <t>ActionIconName</t>
  </si>
  <si>
    <t>int</t>
  </si>
  <si>
    <t>#MAX_ID=4096;MAX_RECORD=4096;TableType=Hash;</t>
  </si>
  <si>
    <t>名字</t>
  </si>
  <si>
    <t>职业限制（无填-1, 如果不想任何职业显示填9999，0=妖兽，1=妖精，2=羽芒，3=羽灵，4=武侠，5=法师，6=刺客）</t>
  </si>
  <si>
    <t>性别(无填-1,男0  女1</t>
  </si>
  <si>
    <t>男性动作ID</t>
  </si>
  <si>
    <t>女性动作ID</t>
  </si>
  <si>
    <t>妖兽动作ID</t>
  </si>
  <si>
    <t>动作类型(0 循环类  1 瞬发类  2 触发类)</t>
  </si>
  <si>
    <t>是否移动打断</t>
  </si>
  <si>
    <t>是否进战打断</t>
  </si>
  <si>
    <t>喊话内容ID</t>
  </si>
  <si>
    <t>音效ID</t>
  </si>
  <si>
    <t>是否在主界面动作列表显示(可配置时间，按时间解锁)</t>
  </si>
  <si>
    <t>是否在拍照动作列表显示(可配置时间，按时间解锁)</t>
  </si>
  <si>
    <t>获取途径（不填不显示）</t>
  </si>
  <si>
    <t>LimitType</t>
  </si>
  <si>
    <t>IsNeedBind</t>
  </si>
  <si>
    <t>CanLeaderWalk</t>
  </si>
  <si>
    <t>LeaderStartAnimID</t>
  </si>
  <si>
    <t>MemberStartAnimID</t>
  </si>
  <si>
    <t>LeaderIdleAnimID</t>
  </si>
  <si>
    <t>MemberIdleAnimID</t>
  </si>
  <si>
    <t>LeaderFlyIdleAnimID</t>
  </si>
  <si>
    <t>MemberFlyIdleAnimID</t>
  </si>
  <si>
    <t>LeaderRideIdleAnimID</t>
  </si>
  <si>
    <t>MemberRideIdleAnimID</t>
  </si>
  <si>
    <t>LeaderWalkAnimID</t>
  </si>
  <si>
    <t>MemberWalkAnimID</t>
  </si>
  <si>
    <t>LeaderFlyWalkAnimID</t>
  </si>
  <si>
    <t>MemberFlyWalkAnimID</t>
  </si>
  <si>
    <t>LeaderRideWalkAnimID</t>
  </si>
  <si>
    <t>MemberRideWalkAnimID</t>
  </si>
  <si>
    <t>LeaderJumpAnimID</t>
  </si>
  <si>
    <t>MemberJumpAnimID</t>
  </si>
  <si>
    <t>Duration</t>
  </si>
  <si>
    <t>MoveSpeed</t>
  </si>
  <si>
    <t>HideMemberWeapon</t>
  </si>
  <si>
    <t>HideHeadInfo</t>
  </si>
  <si>
    <t>BuffID</t>
  </si>
  <si>
    <t>RotationType</t>
  </si>
  <si>
    <t>StartDist</t>
  </si>
  <si>
    <t>IsDiffSex</t>
  </si>
  <si>
    <t>HaveCondition</t>
  </si>
  <si>
    <t>LoveValue</t>
  </si>
  <si>
    <t>SwornValue</t>
  </si>
  <si>
    <t>FriendValue</t>
  </si>
  <si>
    <t>交互类型（1拥抱 2亲亲密密）</t>
  </si>
  <si>
    <t>适用骨骼类型（1.羽族男 2.标准女 3.妖兽人形态 4.妖精人形态 5.妖兽虎形态 6.妖精兽形态 7.人族男 计算方法=发起方*10+接收方 例如：12=标准男x标准女）</t>
  </si>
  <si>
    <t>是否需要绑定</t>
  </si>
  <si>
    <t>队长是否可以行走</t>
  </si>
  <si>
    <t>发起者起始动画（AnimationID 发起动画无特效）</t>
  </si>
  <si>
    <t>成员起始动画</t>
  </si>
  <si>
    <t>发起者站立动画</t>
  </si>
  <si>
    <t>成员站立动画</t>
  </si>
  <si>
    <t>发起者飞行站立动画</t>
  </si>
  <si>
    <t>成员飞行站立动画</t>
  </si>
  <si>
    <t>发起者坐骑站立动画</t>
  </si>
  <si>
    <t>成员坐骑站立动画</t>
  </si>
  <si>
    <t>发起者行走动画</t>
  </si>
  <si>
    <t>成员行走动画</t>
  </si>
  <si>
    <t>发起者飞行行走动画</t>
  </si>
  <si>
    <t>成员飞行行走动画</t>
  </si>
  <si>
    <t>发起者坐骑行走动画</t>
  </si>
  <si>
    <t>成员坐骑行走动画</t>
  </si>
  <si>
    <t>发起者跳跃动画</t>
  </si>
  <si>
    <t>成员跳跃动画</t>
  </si>
  <si>
    <t>持续时间，无时间限制填0</t>
  </si>
  <si>
    <t>行走速度</t>
  </si>
  <si>
    <t>是否隐藏成员武器（只对绑定动作有效）</t>
  </si>
  <si>
    <t>是否隐藏成员名字板</t>
  </si>
  <si>
    <t>旋转类型(0-相对 1-同向) 对非绑定类型生效</t>
  </si>
  <si>
    <t>动作开始时的距离 对非绑定类型生效</t>
  </si>
  <si>
    <t>是否需要不同性别 1 需要 0 不需要</t>
  </si>
  <si>
    <t>是否有条件（-1代表无  1 结婚  2  结拜  3  好友</t>
  </si>
  <si>
    <t>夫妻恩爱值</t>
  </si>
  <si>
    <t>结拜好感度</t>
  </si>
  <si>
    <t>好友好感度</t>
  </si>
  <si>
    <t>AnimID</t>
  </si>
  <si>
    <t>AinmName</t>
  </si>
  <si>
    <t>CheckType</t>
  </si>
  <si>
    <t>CheckLoop</t>
  </si>
  <si>
    <t>Layer</t>
  </si>
  <si>
    <t>WrapMode</t>
  </si>
  <si>
    <t>Speed</t>
  </si>
  <si>
    <t>TransitTime</t>
  </si>
  <si>
    <t>LoopTime</t>
  </si>
  <si>
    <t>LoopOverAnimId</t>
  </si>
  <si>
    <t>IsCanBreak</t>
  </si>
  <si>
    <t>StartEffect01</t>
  </si>
  <si>
    <t>IsStartEffectAutoEnd01</t>
  </si>
  <si>
    <t>StartEffect02</t>
  </si>
  <si>
    <t>IsStartEffectAutoEnd02</t>
  </si>
  <si>
    <t>StartEffect03</t>
  </si>
  <si>
    <t>IsStartEffectAutoEnd03</t>
  </si>
  <si>
    <t>StartEffect04</t>
  </si>
  <si>
    <t>IsStartEffectAutoEnd04</t>
  </si>
  <si>
    <t>StartEffect05</t>
  </si>
  <si>
    <t>IsStartEffectAutoEnd05</t>
  </si>
  <si>
    <t>StartEffect06</t>
  </si>
  <si>
    <t>IsStartEffectAutoEnd06</t>
  </si>
  <si>
    <t>EndEffect</t>
  </si>
  <si>
    <t>IsCallEnd</t>
  </si>
  <si>
    <t>NextAnimId</t>
  </si>
  <si>
    <t>IsSkillAnim</t>
  </si>
  <si>
    <t>CameraRockQueueID</t>
  </si>
  <si>
    <t>StopCameraRock</t>
  </si>
  <si>
    <t>PartnerLayer</t>
  </si>
  <si>
    <t>BelowAnimName</t>
  </si>
  <si>
    <t>CameraLookBone</t>
  </si>
  <si>
    <t>DelayStartCameraLook</t>
  </si>
  <si>
    <t>DelayStopCameraLook</t>
  </si>
  <si>
    <t>UpperAnimName_L</t>
  </si>
  <si>
    <t>UpperAnimName_R</t>
  </si>
  <si>
    <t>StopMoveDelayRotate</t>
  </si>
  <si>
    <t>HideWeapon</t>
  </si>
  <si>
    <t>HidePlayerNameBoard</t>
  </si>
  <si>
    <t>IsAlwaysFaceToLockTar</t>
  </si>
  <si>
    <t>SpringDynamicRatio</t>
  </si>
  <si>
    <t>CanPlayOverBuff</t>
  </si>
  <si>
    <t>BYTE</t>
  </si>
  <si>
    <t>BOOL</t>
  </si>
  <si>
    <t>#预留</t>
  </si>
  <si>
    <t>#本行程序不读 动画ID</t>
  </si>
  <si>
    <t>动画名称</t>
  </si>
  <si>
    <t>检查动作标签（0：不检查，1023：全部，1：妖兽人，2：妖兽兽，3：妖兽（人兽），4：妖精人，8：妖精兽，12：妖精（人兽）16：羽灵，32：羽芒，64：武侠双短，128：武侠长枪，192：武侠，256：法师（女），512：法师（男），768：法师）</t>
  </si>
  <si>
    <t>检查循环（0：不检查，1：循环）</t>
  </si>
  <si>
    <t>优先级(站立 跑动优先级为1 其他为2)</t>
  </si>
  <si>
    <t>播放模式1 1是不循环，2是循环</t>
  </si>
  <si>
    <t>速度</t>
  </si>
  <si>
    <t>过渡时间(融合时间，一般0.1~0.2)</t>
  </si>
  <si>
    <t>循环次数（如果WrapMode==2，需要填）</t>
  </si>
  <si>
    <t>循环结束动作（如果WrapMode==2，则用这个动作结束）</t>
  </si>
  <si>
    <t>是否能被其他动作打断</t>
  </si>
  <si>
    <t>起始特效01ID</t>
  </si>
  <si>
    <t>起始特效01是否自动结束（0表示随着动作结束）</t>
  </si>
  <si>
    <t>起始特效02ID</t>
  </si>
  <si>
    <t>起始特效02是否自动结束</t>
  </si>
  <si>
    <t>起始特效03ID</t>
  </si>
  <si>
    <t>起始特效03是否自动结束</t>
  </si>
  <si>
    <t>起始特效04ID</t>
  </si>
  <si>
    <t>起始特效04是否自动结束</t>
  </si>
  <si>
    <t>起始特效05ID</t>
  </si>
  <si>
    <t>起始特效05是否自动结束</t>
  </si>
  <si>
    <t>起始特效06ID</t>
  </si>
  <si>
    <t>起始特效06是否自动结束</t>
  </si>
  <si>
    <t>结束特效ID</t>
  </si>
  <si>
    <t>结束后是否回调</t>
  </si>
  <si>
    <t>结束后的下一动作//如果不循环，以这个动作结束</t>
  </si>
  <si>
    <t>动作音效</t>
  </si>
  <si>
    <t>是否是技能攻击动作</t>
  </si>
  <si>
    <t>震屏队列ID</t>
  </si>
  <si>
    <t>动画结束后是否停止震屏(-1表示是， 1表示不是)</t>
  </si>
  <si>
    <t>是否是半身动画（0-不是，1-是）</t>
  </si>
  <si>
    <t>和这个动作相关联的下半身动画名</t>
  </si>
  <si>
    <t>摄像机看的骨骼名称</t>
  </si>
  <si>
    <t>延迟开始延迟摄像机看向骨骼</t>
  </si>
  <si>
    <t>延迟结束延迟摄像机看向骨骼</t>
  </si>
  <si>
    <t>上半身左移时动作</t>
  </si>
  <si>
    <t>上半身右移时动作</t>
  </si>
  <si>
    <t>停止移动时是否迟滞旋转待动画播完再转</t>
  </si>
  <si>
    <t>是否隐藏武器</t>
  </si>
  <si>
    <t>是否隐藏玩家姓名板</t>
  </si>
  <si>
    <t>是否一直朝向锁定目标</t>
  </si>
  <si>
    <t>柔体动态参数</t>
  </si>
  <si>
    <t>是否可以被控时播放</t>
  </si>
  <si>
    <t>ProfessionType_1</t>
  </si>
  <si>
    <t>ProfessionType_2</t>
  </si>
  <si>
    <t>ProfessionType_3</t>
  </si>
  <si>
    <t>ProfessionType_4</t>
  </si>
  <si>
    <t>ProfessionType_5</t>
  </si>
  <si>
    <t>ProfessionType_6</t>
  </si>
  <si>
    <t>ProfessionType_7</t>
  </si>
  <si>
    <t>ProfessionType_8</t>
  </si>
  <si>
    <t>ProfessionType_9</t>
  </si>
  <si>
    <t>ProfessionType_10</t>
  </si>
  <si>
    <t>ProfessionType_11</t>
  </si>
  <si>
    <t>ProfessionType_12</t>
  </si>
  <si>
    <t>ProfessionType_13</t>
  </si>
  <si>
    <t>ProfessionType_14</t>
  </si>
  <si>
    <t>ProfessionType_15</t>
  </si>
  <si>
    <t>ProfessionType_16</t>
  </si>
  <si>
    <t>Common_Nan</t>
  </si>
  <si>
    <t>Common_Nv</t>
  </si>
  <si>
    <t>#预留（本表格建立得目的是在现用的动画基础上尽可能的让动画能复用）</t>
  </si>
  <si>
    <t>妖精（0=妖兽 1=妖精 2=羽芒 3=羽灵 4=武侠 5=法师 6-妖刃 7-魂契 8-羽岚 9-剑灵 10-月仙 15-刀刹）</t>
  </si>
  <si>
    <t>羽芒（0=妖兽 1=妖精 2=羽芒 3=羽灵 4=武侠 5=法师 6-妖刃 7-魂契 8-羽岚 9-剑灵 10-月仙 15-刀刹）</t>
  </si>
  <si>
    <t>羽灵（0=妖兽 1=妖精 2=羽芒 3=羽灵 4=武侠 5=法师 6-妖刃 7-魂契 8-羽岚 9-剑灵 10-月仙 15-刀刹）</t>
  </si>
  <si>
    <t>武侠（0=妖兽 1=妖精 2=羽芒 3=羽灵 4=武侠 5=法师 6-妖刃 7-魂契 8-羽岚 9-剑灵 10-月仙 15-刀刹）</t>
  </si>
  <si>
    <t>法师（0=妖兽 1=妖精 2=羽芒 3=羽灵 4=武侠 5=法师 6-妖刃 7-魂契 8-羽岚 9-剑灵 10-月仙 15-刀刹）</t>
  </si>
  <si>
    <t>妖刃（0=妖兽 1=妖精 2=羽芒 3=羽灵 4=武侠 5=法师 6-妖刃 7-魂契 8-羽岚 9-剑灵 10-月仙 15-刀刹）</t>
  </si>
  <si>
    <t>魂契（0=妖兽 1=妖精 2=羽芒 3=羽灵 4=武侠 5=法师 6-妖刃 7-魂契 8-羽岚 9-剑灵 10-月仙 15-刀刹）</t>
  </si>
  <si>
    <t>羽岚（0=妖兽 1=妖精 2=羽芒 3=羽灵 4=武侠 5=法师 6-妖刃 7-魂契 8-羽岚 9-剑灵 10-月仙 15-刀刹）</t>
  </si>
  <si>
    <t>职业类型-未用到（0=妖兽 1=妖精 2=羽芒 3=羽灵 4=武侠 5=法师 6-妖刃 7-魂契 8-羽岚 9-剑灵 10-月仙 15-刀刹）</t>
  </si>
  <si>
    <t>女妖兽列，男妖兽不走这个通用动作表，而是读取Yaoshou/Human下的动作</t>
  </si>
  <si>
    <t>月仙（0=妖兽 1=妖精 2=羽芒 3=羽灵 4=武侠 5=法师 6-妖刃 7-魂契 8-羽岚 9-剑灵 10-月仙 15-刀刹）</t>
  </si>
  <si>
    <t>职业类型-刀刹列（0=妖兽 1=妖精 2=羽芒 3=羽灵 4=武侠 5=法师 6-妖刃 7-魂契 8-羽岚 9-剑灵 10-月仙 15-刀刹）</t>
  </si>
  <si>
    <t>公用男路径</t>
  </si>
  <si>
    <t>公用女路径</t>
  </si>
  <si>
    <t>Player/Common_nan</t>
  </si>
  <si>
    <t>Player/Common_nv</t>
  </si>
  <si>
    <t>EffectID</t>
  </si>
  <si>
    <t>EffectName</t>
  </si>
  <si>
    <t>HaveLowEdition</t>
  </si>
  <si>
    <t>Priority</t>
  </si>
  <si>
    <t>EffectClassify</t>
  </si>
  <si>
    <t>DelayTime</t>
  </si>
  <si>
    <t>IsOnlyDeactive</t>
  </si>
  <si>
    <t>EffectType</t>
  </si>
  <si>
    <t>ParentName</t>
  </si>
  <si>
    <t>FellowOwnerType</t>
  </si>
  <si>
    <t>MaxOwnNum</t>
  </si>
  <si>
    <t>X</t>
  </si>
  <si>
    <t>Y</t>
  </si>
  <si>
    <t>Z</t>
  </si>
  <si>
    <t>IsUseWorldPosition</t>
  </si>
  <si>
    <t>RotationX</t>
  </si>
  <si>
    <t>RotationY</t>
  </si>
  <si>
    <t>RotationZ</t>
  </si>
  <si>
    <t>IsNeedScaleByModel</t>
  </si>
  <si>
    <t>IsNeedScaleByNpc</t>
  </si>
  <si>
    <t>IsNeedScaleOne</t>
  </si>
  <si>
    <t>CameraRockQueue</t>
  </si>
  <si>
    <t>KeyRes</t>
  </si>
  <si>
    <t>EffectNoHide</t>
  </si>
  <si>
    <t>BlurTime</t>
  </si>
  <si>
    <t>BlurID</t>
  </si>
  <si>
    <t>RotationGroupID</t>
  </si>
  <si>
    <t>OnlyForMainPlayer</t>
  </si>
  <si>
    <t>FullScreenMode</t>
  </si>
  <si>
    <t>DependMap</t>
  </si>
  <si>
    <t>特效名字</t>
  </si>
  <si>
    <t>是否有低级特效（1=有，0=没有，没有会被空特效替换）</t>
  </si>
  <si>
    <t>优先级</t>
  </si>
  <si>
    <t>特效种类（用于优化逻辑0：一般，1：受击，数量较多时会删除最开始的受击特效）</t>
  </si>
  <si>
    <t>特效延迟时间</t>
  </si>
  <si>
    <t>是否播放完只失效(0销毁，1不销毁只失效）</t>
  </si>
  <si>
    <t>特效类别（0一般 1受击红闪烁特效 2范围标示特效 3移动特效）</t>
  </si>
  <si>
    <t>绑定GameObjet名称（RootPoint 通用绑定点（在骑乘/飞行器上时表示挂接点）EffectPoint表示主体坐标点 CenterPoint 身体中心点 HeadPoint头NameBoardPoint名字板LHandPoint左手 RHandPoint右手 LFootPoint左脚 RFootPoint右脚 WeaponL左手武器  WeaponR右手武器 Fairy战斗精灵）横版对应：1表示主体坐标点 2身体中心点 3头 4名字板 5左手 6右手 7左脚 8右脚 9左手武器 10右手武器 11战斗精灵 12背部 13模型原点）</t>
  </si>
  <si>
    <t>跟随拥有者的方式（0不跟随拥有者移动和旋转 1跟随拥有者移动和旋转 2只跟随拥有者移动但不跟随旋转 3只跟随拥有者旋转但不跟随移动 4跟随绑定节点移动和旋转 5跟随拥有者但动态的以另一个obj旋转 6从起始点移动到另一个obj点 7从目标obj点移动回起始点 8跟随拥有者移动但不跟随旋转但初始化不用原始旋转 9不跟随拥有者移动旋转初始化用相对于发送者位置反方向）</t>
  </si>
  <si>
    <t>同一特效同时存在的最大数量（-1 表示不作限制）</t>
  </si>
  <si>
    <t>坐标X</t>
  </si>
  <si>
    <t>坐标Y</t>
  </si>
  <si>
    <t>坐标Z</t>
  </si>
  <si>
    <t>位置偏移量是否使用世界坐标系(0表示不是， 1表示是)</t>
  </si>
  <si>
    <t>旋转坐标X</t>
  </si>
  <si>
    <t>旋转坐标Y</t>
  </si>
  <si>
    <t>旋转坐标Z</t>
  </si>
  <si>
    <t>持续时间 0代表循环</t>
  </si>
  <si>
    <t>是否需要根据模型大小进行缩放</t>
  </si>
  <si>
    <t>是否需要根据NPC比例进行缩放</t>
  </si>
  <si>
    <t>缩放比例是否永远保持1</t>
  </si>
  <si>
    <t>声音ID</t>
  </si>
  <si>
    <t>是否关键资源（可忽略特效队列限制：可用于打算同时播放，却受到特效队列限制导致依次播放的多个特效—如万箭齐发）</t>
  </si>
  <si>
    <t>是否不受配置限制（可忽略特效限制：超低配不显示其他玩家特效，有需要这列可配1）</t>
  </si>
  <si>
    <t>模糊时间</t>
  </si>
  <si>
    <t>模糊id</t>
  </si>
  <si>
    <t>旋转组id，EffectRotationGroup表</t>
  </si>
  <si>
    <t>是否只在主角身上播放</t>
  </si>
  <si>
    <t>全屏特效模式(0不是全屏特效，1全屏特效竖版，2全屏特效横版）</t>
  </si>
  <si>
    <t>全屏特效模式依赖（横屏依赖竖屏，竖屏也依赖横屏）</t>
  </si>
  <si>
    <t>DefColorId1</t>
  </si>
  <si>
    <t>DefColorId2</t>
  </si>
  <si>
    <t>DefColorId3</t>
  </si>
  <si>
    <t>DefColorId4</t>
  </si>
  <si>
    <t>ColorId1</t>
  </si>
  <si>
    <t>ColorId2</t>
  </si>
  <si>
    <t>ColorId3</t>
  </si>
  <si>
    <t>ColorId4</t>
  </si>
  <si>
    <t>ColorId5</t>
  </si>
  <si>
    <t>ColorId6</t>
  </si>
  <si>
    <t>ColorId7</t>
  </si>
  <si>
    <t>ColorId8</t>
  </si>
  <si>
    <t>ColorId9</t>
  </si>
  <si>
    <t>ColorId10</t>
  </si>
  <si>
    <t>DefaultCount</t>
  </si>
  <si>
    <t>ItemCount0</t>
  </si>
  <si>
    <t>ItemCount1</t>
  </si>
  <si>
    <t>ItemCount2</t>
  </si>
  <si>
    <t>ItemCount3</t>
  </si>
  <si>
    <t>ItemCount4</t>
  </si>
  <si>
    <t>ItemCount5</t>
  </si>
  <si>
    <t>ItemCount6</t>
  </si>
  <si>
    <t>ItemCount7</t>
  </si>
  <si>
    <t>ItemCount8</t>
  </si>
  <si>
    <t>ItemCount9</t>
  </si>
  <si>
    <t>ItemCount10</t>
  </si>
  <si>
    <t>ItemCount11</t>
  </si>
  <si>
    <t>ItemCount12</t>
  </si>
  <si>
    <t>ItemCount13</t>
  </si>
  <si>
    <t>ItemCount14</t>
  </si>
  <si>
    <t>ItemCount15</t>
  </si>
  <si>
    <t>ItemCount16</t>
  </si>
  <si>
    <t>ItemCount17</t>
  </si>
  <si>
    <t>ItemCount18</t>
  </si>
  <si>
    <t>ItemCount19</t>
  </si>
  <si>
    <t>ItemCount20</t>
  </si>
  <si>
    <t>ItemCount21</t>
  </si>
  <si>
    <t>ItemCount22</t>
  </si>
  <si>
    <t>ItemCount23</t>
  </si>
  <si>
    <t>ItemCount24</t>
  </si>
  <si>
    <t>ItemCount25</t>
  </si>
  <si>
    <t>ItemCount26</t>
  </si>
  <si>
    <t>ItemCount27</t>
  </si>
  <si>
    <t>ItemCount28</t>
  </si>
  <si>
    <t>ItemCount29</t>
  </si>
  <si>
    <t>ItemCount30</t>
  </si>
  <si>
    <t>ItemCount31</t>
  </si>
  <si>
    <t>ItemCount32</t>
  </si>
  <si>
    <t>ItemCount33</t>
  </si>
  <si>
    <t>ItemCount34</t>
  </si>
  <si>
    <t>ItemCount35</t>
  </si>
  <si>
    <t>ItemCount36</t>
  </si>
  <si>
    <t>ItemCount37</t>
  </si>
  <si>
    <t>ItemCount38</t>
  </si>
  <si>
    <t>ItemCount39</t>
  </si>
  <si>
    <t>ItemCount40</t>
  </si>
  <si>
    <t>ItemCount41</t>
  </si>
  <si>
    <t>ItemCount42</t>
  </si>
  <si>
    <t>ItemCount43</t>
  </si>
  <si>
    <t>ItemCount44</t>
  </si>
  <si>
    <t>ItemCount45</t>
  </si>
  <si>
    <t>ItemCount46</t>
  </si>
  <si>
    <t>ItemCount47</t>
  </si>
  <si>
    <t>ItemCount48</t>
  </si>
  <si>
    <t>ItemCount49</t>
  </si>
  <si>
    <t>#MAX_ID=9999;MAX_RECORD=3000;</t>
  </si>
  <si>
    <t>默认主色1ID</t>
  </si>
  <si>
    <t>默认辅色2ID</t>
  </si>
  <si>
    <t>默认辅色3ID</t>
  </si>
  <si>
    <t>默认辅色4ID</t>
  </si>
  <si>
    <t>推荐染色1主色ID（对应FashionColor表）</t>
  </si>
  <si>
    <t>推荐染色1辅色ID（对应FashionColor表，-1为空，即只染色推荐一种主色）</t>
  </si>
  <si>
    <t>推荐染色2主色ID（对应FashionColor表）</t>
  </si>
  <si>
    <t>推荐染色2辅色ID（对应FashionColor表）</t>
  </si>
  <si>
    <t>推荐染色3主色ID</t>
  </si>
  <si>
    <t>推荐染色3辅色ID</t>
  </si>
  <si>
    <t>推荐染色4主色ID（对应FashionColor表）</t>
  </si>
  <si>
    <t>推荐染色4辅色ID</t>
  </si>
  <si>
    <t>推荐染色5主色ID（对应FashionColor表）</t>
  </si>
  <si>
    <t>推荐染色5辅色ID</t>
  </si>
  <si>
    <t>默认材料数量</t>
  </si>
  <si>
    <t>染色剂1数量</t>
  </si>
  <si>
    <t>染色剂2数量</t>
  </si>
  <si>
    <t>染色剂3数量</t>
  </si>
  <si>
    <t>染色剂4数量</t>
  </si>
  <si>
    <t>染色剂5数量</t>
  </si>
  <si>
    <t>染色剂6数量</t>
  </si>
  <si>
    <t>染色剂7数量</t>
  </si>
  <si>
    <t>染色剂8数量</t>
  </si>
  <si>
    <t>染色剂9数量</t>
  </si>
  <si>
    <t>染色剂10数量</t>
  </si>
  <si>
    <t>染色剂11数量</t>
  </si>
  <si>
    <t>染色剂12数量</t>
  </si>
  <si>
    <t>染色剂13数量</t>
  </si>
  <si>
    <t>染色剂14数量</t>
  </si>
  <si>
    <t>染色剂15数量</t>
  </si>
  <si>
    <t>染色剂16数量</t>
  </si>
  <si>
    <t>染色剂17数量</t>
  </si>
  <si>
    <t>染色剂18数量</t>
  </si>
  <si>
    <t>染色剂19数量</t>
  </si>
  <si>
    <t>染色剂20数量</t>
  </si>
  <si>
    <t>染色剂21数量</t>
  </si>
  <si>
    <t>染色剂22数量</t>
  </si>
  <si>
    <t>染色剂23数量</t>
  </si>
  <si>
    <t>染色剂24数量</t>
  </si>
  <si>
    <t>染色剂25数量</t>
  </si>
  <si>
    <t>染色剂26数量</t>
  </si>
  <si>
    <t>染色剂27数量</t>
  </si>
  <si>
    <t>染色剂28数量</t>
  </si>
  <si>
    <t>染色剂29数量</t>
  </si>
  <si>
    <t>染色剂30数量</t>
  </si>
  <si>
    <t>染色剂31数量</t>
  </si>
  <si>
    <t>染色剂32数量</t>
  </si>
  <si>
    <t>染色剂33数量</t>
  </si>
  <si>
    <t>染色剂34数量</t>
  </si>
  <si>
    <t>染色剂35数量</t>
  </si>
  <si>
    <t>染色剂36数量</t>
  </si>
  <si>
    <t>染色剂37数量</t>
  </si>
  <si>
    <t>染色剂38数量</t>
  </si>
  <si>
    <t>染色剂39数量</t>
  </si>
  <si>
    <t>染色剂40数量</t>
  </si>
  <si>
    <t>染色剂41数量</t>
  </si>
  <si>
    <t>染色剂42数量</t>
  </si>
  <si>
    <t>染色剂43数量</t>
  </si>
  <si>
    <t>染色剂44数量</t>
  </si>
  <si>
    <t>染色剂45数量</t>
  </si>
  <si>
    <t>染色剂46数量</t>
  </si>
  <si>
    <t>染色剂47数量</t>
  </si>
  <si>
    <t>染色剂48数量</t>
  </si>
  <si>
    <t>染色剂49数量</t>
  </si>
  <si>
    <t>染色剂50数量</t>
  </si>
  <si>
    <t>DefColorId</t>
  </si>
  <si>
    <t>ColorId0</t>
  </si>
  <si>
    <t>Texture0</t>
  </si>
  <si>
    <t>Texture_T0</t>
  </si>
  <si>
    <t>Texture_L0</t>
  </si>
  <si>
    <t>Texture1</t>
  </si>
  <si>
    <t>Texture_T1</t>
  </si>
  <si>
    <t>Texture_L1</t>
  </si>
  <si>
    <t>Texture2</t>
  </si>
  <si>
    <t>Texture_T2</t>
  </si>
  <si>
    <t>Texture_L2</t>
  </si>
  <si>
    <t>Texture3</t>
  </si>
  <si>
    <t>Texture_T3</t>
  </si>
  <si>
    <t>Texture_L3</t>
  </si>
  <si>
    <t>Texture4</t>
  </si>
  <si>
    <t>Texture_T4</t>
  </si>
  <si>
    <t>Texture_L4</t>
  </si>
  <si>
    <t>#MAX_ID=9999;MAX_RECORD=500;</t>
  </si>
  <si>
    <t>#ID（ID要和fashiondata一样）</t>
  </si>
  <si>
    <t>默认染色索引（填索引0～4）</t>
  </si>
  <si>
    <t>颜色Id1（对应FashionColorInfo表）</t>
  </si>
  <si>
    <t>贴图1</t>
  </si>
  <si>
    <t>贴图_透明1</t>
  </si>
  <si>
    <t>贴图_流光1</t>
  </si>
  <si>
    <t>消耗染色剂数量1</t>
  </si>
  <si>
    <t>颜色Id2（对应FashionColorInfo表）</t>
  </si>
  <si>
    <t>贴图2</t>
  </si>
  <si>
    <t>贴图_透明2</t>
  </si>
  <si>
    <t>贴图_流光2</t>
  </si>
  <si>
    <t>消耗染色剂数量2</t>
  </si>
  <si>
    <t>颜色Id3（对应FashionColorInfo表）</t>
  </si>
  <si>
    <t>贴图3</t>
  </si>
  <si>
    <t>贴图_透明3</t>
  </si>
  <si>
    <t>贴图_流光3</t>
  </si>
  <si>
    <t>消耗染色剂数量3</t>
  </si>
  <si>
    <t>颜色Id4（对应FashionColorInfo表）</t>
  </si>
  <si>
    <t>贴图4</t>
  </si>
  <si>
    <t>贴图_透明4</t>
  </si>
  <si>
    <t>贴图_流光4</t>
  </si>
  <si>
    <t>消耗染色剂数量4</t>
  </si>
  <si>
    <t>颜色Id5（对应FashionColorInfo表）</t>
  </si>
  <si>
    <t>贴图5</t>
  </si>
  <si>
    <t>贴图_透明5</t>
  </si>
  <si>
    <t>贴图_流光5</t>
  </si>
  <si>
    <t>消耗染色剂数量5</t>
  </si>
  <si>
    <t>Color1</t>
  </si>
  <si>
    <t>Color2</t>
  </si>
  <si>
    <t>Color3</t>
  </si>
  <si>
    <t>Color4</t>
  </si>
  <si>
    <t>#MAX_ID=9999;MAX_RECORD=1000;</t>
  </si>
  <si>
    <t>#对应FashionData表的id</t>
  </si>
  <si>
    <t>颜色1(G)</t>
  </si>
  <si>
    <t>颜色2(B)</t>
  </si>
  <si>
    <t>颜色3(A)</t>
  </si>
  <si>
    <t>颜色4(AA)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</si>
</sst>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7">
    <font>
      <sz val="11"/>
      <color theme="1"/>
      <name val="等线"/>
      <charset val="134"/>
      <scheme val="minor"/>
    </font>
    <font>
      <sz val="11"/>
      <color rgb="FFFFFFFF"/>
      <name val="等线"/>
      <charset val="134"/>
      <scheme val="minor"/>
    </font>
    <font>
      <sz val="11"/>
      <color rgb="FF00B050"/>
      <name val="等线"/>
      <charset val="134"/>
      <scheme val="minor"/>
    </font>
    <font>
      <b/>
      <sz val="11"/>
      <color rgb="FF00B050"/>
      <name val="等线"/>
      <charset val="134"/>
      <scheme val="minor"/>
    </font>
    <font>
      <b/>
      <sz val="11"/>
      <color rgb="FF663300"/>
      <name val="等线"/>
      <charset val="134"/>
      <scheme val="minor"/>
    </font>
    <font>
      <b/>
      <sz val="11"/>
      <color rgb="FFCC66FF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sz val="11"/>
      <color rgb="FF0070C0"/>
      <name val="等线"/>
      <charset val="134"/>
      <scheme val="minor"/>
    </font>
    <font>
      <sz val="11"/>
      <color rgb="FFCC66FF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663300"/>
      <name val="等线"/>
      <charset val="134"/>
      <scheme val="minor"/>
    </font>
    <font>
      <b/>
      <sz val="11"/>
      <color theme="5"/>
      <name val="等线"/>
      <charset val="134"/>
      <scheme val="minor"/>
    </font>
    <font>
      <sz val="9"/>
      <color theme="1"/>
      <name val="等线"/>
      <charset val="134"/>
      <scheme val="minor"/>
    </font>
    <font>
      <i/>
      <sz val="11"/>
      <color rgb="FF0070C0"/>
      <name val="微软雅黑"/>
      <charset val="134"/>
    </font>
    <font>
      <sz val="11"/>
      <color rgb="FF0070C0"/>
      <name val="微软雅黑"/>
      <charset val="134"/>
    </font>
    <font>
      <sz val="10"/>
      <color theme="1"/>
      <name val="等线"/>
      <charset val="134"/>
      <scheme val="minor"/>
    </font>
    <font>
      <sz val="10.5"/>
      <color rgb="FF222222"/>
      <name val="PingFang SC"/>
      <charset val="134"/>
    </font>
    <font>
      <b/>
      <sz val="11"/>
      <color theme="5" tint="-0.249977111117893"/>
      <name val="等线"/>
      <charset val="134"/>
      <scheme val="minor"/>
    </font>
    <font>
      <sz val="11"/>
      <color theme="5" tint="-0.249977111117893"/>
      <name val="等线"/>
      <charset val="134"/>
      <scheme val="minor"/>
    </font>
    <font>
      <b/>
      <sz val="11"/>
      <color theme="9"/>
      <name val="等线"/>
      <charset val="134"/>
      <scheme val="minor"/>
    </font>
    <font>
      <sz val="11"/>
      <color theme="9"/>
      <name val="等线"/>
      <charset val="134"/>
      <scheme val="minor"/>
    </font>
    <font>
      <b/>
      <sz val="11"/>
      <color theme="4"/>
      <name val="等线"/>
      <charset val="134"/>
      <scheme val="minor"/>
    </font>
    <font>
      <sz val="11"/>
      <color theme="4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rgb="FFFF0000"/>
      <name val="微软雅黑"/>
      <charset val="134"/>
    </font>
    <font>
      <sz val="11"/>
      <color theme="5"/>
      <name val="微软雅黑"/>
      <charset val="134"/>
    </font>
    <font>
      <sz val="14"/>
      <color theme="0"/>
      <name val="微软雅黑"/>
      <charset val="134"/>
    </font>
    <font>
      <sz val="9"/>
      <color theme="0" tint="-0.499984740745262"/>
      <name val="微软雅黑"/>
      <charset val="134"/>
    </font>
    <font>
      <sz val="11"/>
      <color theme="9" tint="-0.249977111117893"/>
      <name val="微软雅黑"/>
      <charset val="134"/>
    </font>
    <font>
      <sz val="11"/>
      <color rgb="FF663300"/>
      <name val="微软雅黑"/>
      <charset val="134"/>
    </font>
    <font>
      <sz val="11"/>
      <color theme="9"/>
      <name val="微软雅黑"/>
      <charset val="134"/>
    </font>
    <font>
      <sz val="11"/>
      <color theme="4"/>
      <name val="微软雅黑"/>
      <charset val="134"/>
    </font>
    <font>
      <sz val="11"/>
      <color theme="0" tint="-0.249977111117893"/>
      <name val="微软雅黑"/>
      <charset val="134"/>
    </font>
    <font>
      <sz val="11"/>
      <color rgb="FFCC66FF"/>
      <name val="微软雅黑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EAFFEA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4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A2C7B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85961485641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85961485641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8596148564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85961485641"/>
        <bgColor indexed="64"/>
      </patternFill>
    </fill>
    <fill>
      <patternFill patternType="solid">
        <fgColor theme="8" tint="0.7998596148564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7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7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47" fillId="0" borderId="8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48" fillId="30" borderId="10" applyNumberFormat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49" fillId="30" borderId="6" applyNumberFormat="0" applyAlignment="0" applyProtection="0">
      <alignment vertical="center"/>
    </xf>
    <xf numFmtId="0" fontId="50" fillId="32" borderId="11" applyNumberFormat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51" fillId="0" borderId="12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52" fillId="0" borderId="13" applyNumberFormat="0" applyFill="0" applyAlignment="0" applyProtection="0">
      <alignment vertical="center"/>
    </xf>
    <xf numFmtId="0" fontId="53" fillId="35" borderId="0" applyNumberFormat="0" applyBorder="0" applyAlignment="0" applyProtection="0">
      <alignment vertical="center"/>
    </xf>
    <xf numFmtId="0" fontId="54" fillId="36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0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6" fillId="4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36" fillId="47" borderId="0" applyNumberFormat="0" applyBorder="0" applyAlignment="0" applyProtection="0">
      <alignment vertical="center"/>
    </xf>
    <xf numFmtId="0" fontId="0" fillId="48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0" fillId="50" borderId="0" applyNumberFormat="0" applyBorder="0" applyAlignment="0" applyProtection="0">
      <alignment vertical="center"/>
    </xf>
    <xf numFmtId="0" fontId="0" fillId="51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4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9" borderId="7" applyNumberFormat="0" applyFont="0" applyAlignment="0" applyProtection="0">
      <alignment vertical="center"/>
    </xf>
    <xf numFmtId="0" fontId="0" fillId="9" borderId="7" applyNumberFormat="0" applyFont="0" applyAlignment="0" applyProtection="0">
      <alignment vertical="center"/>
    </xf>
  </cellStyleXfs>
  <cellXfs count="9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>
      <alignment vertical="center"/>
    </xf>
    <xf numFmtId="0" fontId="0" fillId="0" borderId="0" xfId="64">
      <alignment vertical="center"/>
    </xf>
    <xf numFmtId="0" fontId="0" fillId="0" borderId="0" xfId="62">
      <alignment vertical="center"/>
    </xf>
    <xf numFmtId="0" fontId="2" fillId="0" borderId="0" xfId="62" applyFont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0" fillId="3" borderId="0" xfId="0" applyFill="1">
      <alignment vertical="center"/>
    </xf>
    <xf numFmtId="0" fontId="9" fillId="0" borderId="0" xfId="0" applyFont="1">
      <alignment vertical="center"/>
    </xf>
    <xf numFmtId="0" fontId="9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10" fillId="0" borderId="0" xfId="0" applyFont="1">
      <alignment vertical="center"/>
    </xf>
    <xf numFmtId="0" fontId="0" fillId="4" borderId="0" xfId="0" applyFill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1" fillId="0" borderId="0" xfId="0" applyFont="1" applyFill="1">
      <alignment vertical="center"/>
    </xf>
    <xf numFmtId="0" fontId="0" fillId="6" borderId="0" xfId="0" applyFill="1">
      <alignment vertical="center"/>
    </xf>
    <xf numFmtId="0" fontId="12" fillId="0" borderId="0" xfId="0" applyFont="1">
      <alignment vertical="center"/>
    </xf>
    <xf numFmtId="0" fontId="13" fillId="0" borderId="0" xfId="62" applyFont="1">
      <alignment vertical="center"/>
    </xf>
    <xf numFmtId="0" fontId="14" fillId="0" borderId="0" xfId="0" applyFont="1">
      <alignment vertical="center"/>
    </xf>
    <xf numFmtId="0" fontId="13" fillId="0" borderId="0" xfId="62" applyFont="1" applyFill="1">
      <alignment vertical="center"/>
    </xf>
    <xf numFmtId="0" fontId="3" fillId="0" borderId="0" xfId="62" applyFont="1">
      <alignment vertical="center"/>
    </xf>
    <xf numFmtId="0" fontId="3" fillId="0" borderId="0" xfId="62" applyFont="1" applyFill="1">
      <alignment vertical="center"/>
    </xf>
    <xf numFmtId="0" fontId="0" fillId="0" borderId="0" xfId="63">
      <alignment vertical="center"/>
    </xf>
    <xf numFmtId="0" fontId="15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16" fillId="0" borderId="0" xfId="0" applyFont="1">
      <alignment vertical="center"/>
    </xf>
    <xf numFmtId="0" fontId="3" fillId="0" borderId="0" xfId="63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3" fillId="0" borderId="0" xfId="63" applyFont="1" applyFill="1">
      <alignment vertical="center"/>
    </xf>
    <xf numFmtId="0" fontId="19" fillId="0" borderId="0" xfId="0" applyFont="1">
      <alignment vertical="center"/>
    </xf>
    <xf numFmtId="0" fontId="20" fillId="0" borderId="0" xfId="63" applyFont="1">
      <alignment vertical="center"/>
    </xf>
    <xf numFmtId="0" fontId="21" fillId="0" borderId="0" xfId="63" applyFont="1">
      <alignment vertical="center"/>
    </xf>
    <xf numFmtId="0" fontId="22" fillId="0" borderId="0" xfId="63" applyFont="1">
      <alignment vertical="center"/>
    </xf>
    <xf numFmtId="0" fontId="2" fillId="0" borderId="0" xfId="63" applyFont="1">
      <alignment vertical="center"/>
    </xf>
    <xf numFmtId="0" fontId="2" fillId="0" borderId="0" xfId="0" applyFont="1" applyFill="1">
      <alignment vertical="center"/>
    </xf>
    <xf numFmtId="0" fontId="0" fillId="0" borderId="0" xfId="63" applyFill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7" borderId="0" xfId="61" applyFont="1" applyFill="1" applyAlignment="1">
      <alignment horizontal="center" vertical="center"/>
    </xf>
    <xf numFmtId="0" fontId="26" fillId="0" borderId="0" xfId="0" applyFont="1">
      <alignment vertical="center"/>
    </xf>
    <xf numFmtId="0" fontId="24" fillId="8" borderId="1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7" fillId="9" borderId="1" xfId="0" applyFont="1" applyFill="1" applyBorder="1" applyAlignment="1">
      <alignment horizontal="center" vertical="center"/>
    </xf>
    <xf numFmtId="0" fontId="24" fillId="10" borderId="1" xfId="0" applyFont="1" applyFill="1" applyBorder="1" applyAlignment="1">
      <alignment horizontal="center" vertical="center"/>
    </xf>
    <xf numFmtId="0" fontId="24" fillId="8" borderId="1" xfId="0" applyFont="1" applyFill="1" applyBorder="1">
      <alignment vertical="center"/>
    </xf>
    <xf numFmtId="0" fontId="28" fillId="11" borderId="2" xfId="0" applyFont="1" applyFill="1" applyBorder="1" applyAlignment="1">
      <alignment horizontal="center" vertical="center"/>
    </xf>
    <xf numFmtId="0" fontId="29" fillId="0" borderId="0" xfId="0" applyFont="1">
      <alignment vertical="center"/>
    </xf>
    <xf numFmtId="0" fontId="28" fillId="11" borderId="0" xfId="0" applyFont="1" applyFill="1" applyAlignment="1">
      <alignment horizontal="center" vertical="center"/>
    </xf>
    <xf numFmtId="0" fontId="24" fillId="8" borderId="3" xfId="0" applyFont="1" applyFill="1" applyBorder="1" applyAlignment="1">
      <alignment horizontal="left" vertical="center" wrapText="1"/>
    </xf>
    <xf numFmtId="0" fontId="30" fillId="0" borderId="0" xfId="0" applyFont="1">
      <alignment vertical="center"/>
    </xf>
    <xf numFmtId="0" fontId="24" fillId="8" borderId="4" xfId="0" applyFont="1" applyFill="1" applyBorder="1" applyAlignment="1">
      <alignment horizontal="left" vertical="center" wrapText="1"/>
    </xf>
    <xf numFmtId="0" fontId="24" fillId="8" borderId="5" xfId="0" applyFont="1" applyFill="1" applyBorder="1" applyAlignment="1">
      <alignment horizontal="left" vertical="center" wrapText="1"/>
    </xf>
    <xf numFmtId="0" fontId="24" fillId="10" borderId="1" xfId="0" applyFont="1" applyFill="1" applyBorder="1">
      <alignment vertical="center"/>
    </xf>
    <xf numFmtId="0" fontId="28" fillId="12" borderId="2" xfId="0" applyFont="1" applyFill="1" applyBorder="1" applyAlignment="1">
      <alignment horizontal="center" vertical="center"/>
    </xf>
    <xf numFmtId="0" fontId="28" fillId="12" borderId="0" xfId="0" applyFont="1" applyFill="1" applyAlignment="1">
      <alignment horizontal="center" vertical="center"/>
    </xf>
    <xf numFmtId="0" fontId="28" fillId="13" borderId="2" xfId="0" applyFont="1" applyFill="1" applyBorder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28" fillId="14" borderId="2" xfId="0" applyFont="1" applyFill="1" applyBorder="1" applyAlignment="1">
      <alignment horizontal="center" vertical="center"/>
    </xf>
    <xf numFmtId="0" fontId="28" fillId="14" borderId="0" xfId="0" applyFont="1" applyFill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31" fillId="0" borderId="0" xfId="0" applyFont="1">
      <alignment vertical="center"/>
    </xf>
    <xf numFmtId="0" fontId="32" fillId="0" borderId="0" xfId="0" applyFont="1" applyAlignment="1">
      <alignment horizontal="right" vertical="center"/>
    </xf>
    <xf numFmtId="0" fontId="32" fillId="0" borderId="0" xfId="0" applyFont="1">
      <alignment vertical="center"/>
    </xf>
    <xf numFmtId="0" fontId="33" fillId="0" borderId="0" xfId="0" applyFont="1" applyAlignment="1">
      <alignment horizontal="right" vertical="center"/>
    </xf>
    <xf numFmtId="0" fontId="33" fillId="0" borderId="0" xfId="0" applyFont="1">
      <alignment vertical="center"/>
    </xf>
    <xf numFmtId="0" fontId="24" fillId="0" borderId="0" xfId="0" applyFont="1" applyFill="1">
      <alignment vertical="center"/>
    </xf>
    <xf numFmtId="0" fontId="34" fillId="0" borderId="0" xfId="0" applyFont="1" applyAlignment="1">
      <alignment horizontal="right" vertical="center"/>
    </xf>
    <xf numFmtId="0" fontId="28" fillId="15" borderId="0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24" fillId="10" borderId="1" xfId="0" applyFont="1" applyFill="1" applyBorder="1" applyAlignment="1">
      <alignment horizontal="left" vertical="center"/>
    </xf>
    <xf numFmtId="0" fontId="35" fillId="0" borderId="0" xfId="0" applyFont="1">
      <alignment vertical="center"/>
    </xf>
    <xf numFmtId="0" fontId="31" fillId="0" borderId="0" xfId="0" applyFont="1" applyFill="1">
      <alignment vertical="center"/>
    </xf>
    <xf numFmtId="0" fontId="28" fillId="16" borderId="2" xfId="0" applyFont="1" applyFill="1" applyBorder="1" applyAlignment="1">
      <alignment horizontal="center" vertical="center"/>
    </xf>
    <xf numFmtId="0" fontId="28" fillId="16" borderId="0" xfId="0" applyFont="1" applyFill="1" applyAlignment="1">
      <alignment horizontal="center" vertical="center"/>
    </xf>
    <xf numFmtId="0" fontId="28" fillId="17" borderId="2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center" vertical="center"/>
    </xf>
    <xf numFmtId="0" fontId="28" fillId="18" borderId="2" xfId="0" applyFont="1" applyFill="1" applyBorder="1" applyAlignment="1">
      <alignment horizontal="center" vertical="center" wrapText="1"/>
    </xf>
    <xf numFmtId="0" fontId="28" fillId="18" borderId="0" xfId="0" applyFont="1" applyFill="1" applyAlignment="1">
      <alignment horizontal="center" vertical="center"/>
    </xf>
    <xf numFmtId="0" fontId="28" fillId="19" borderId="2" xfId="0" applyFont="1" applyFill="1" applyBorder="1" applyAlignment="1">
      <alignment horizontal="center" vertical="center" wrapText="1"/>
    </xf>
    <xf numFmtId="0" fontId="28" fillId="19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4" fillId="0" borderId="1" xfId="0" applyFont="1" applyFill="1" applyBorder="1" applyAlignment="1">
      <alignment horizontal="left" vertical="center"/>
    </xf>
  </cellXfs>
  <cellStyles count="67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20% - 着色 6 2" xfId="5"/>
    <cellStyle name="千位分隔[0]" xfId="6" builtinId="6"/>
    <cellStyle name="40% - 着色 4 2" xfId="7"/>
    <cellStyle name="40% - 强调文字颜色 3" xfId="8" builtinId="39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40% - 着色 3 2" xfId="22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40% - 着色 2 2" xfId="28"/>
    <cellStyle name="计算" xfId="29" builtinId="22"/>
    <cellStyle name="检查单元格" xfId="30" builtinId="23"/>
    <cellStyle name="20% - 着色 1 2" xfId="31"/>
    <cellStyle name="链接单元格" xfId="32" builtinId="24"/>
    <cellStyle name="40% - 着色 5 2" xfId="33"/>
    <cellStyle name="20% - 强调文字颜色 6" xfId="34" builtinId="50"/>
    <cellStyle name="强调文字颜色 2" xfId="35" builtinId="33"/>
    <cellStyle name="汇总" xfId="36" builtinId="25"/>
    <cellStyle name="好" xfId="37" builtinId="26"/>
    <cellStyle name="适中" xfId="38" builtinId="28"/>
    <cellStyle name="20% - 强调文字颜色 5" xfId="39" builtinId="46"/>
    <cellStyle name="强调文字颜色 1" xfId="40" builtinId="29"/>
    <cellStyle name="20% - 着色 2 2" xfId="41"/>
    <cellStyle name="20% - 强调文字颜色 1" xfId="42" builtinId="30"/>
    <cellStyle name="40% - 强调文字颜色 1" xfId="43" builtinId="31"/>
    <cellStyle name="20% - 强调文字颜色 2" xfId="44" builtinId="34"/>
    <cellStyle name="40% - 强调文字颜色 2" xfId="45" builtinId="35"/>
    <cellStyle name="强调文字颜色 3" xfId="46" builtinId="37"/>
    <cellStyle name="强调文字颜色 4" xfId="47" builtinId="41"/>
    <cellStyle name="20% - 强调文字颜色 4" xfId="48" builtinId="42"/>
    <cellStyle name="40% - 强调文字颜色 4" xfId="49" builtinId="43"/>
    <cellStyle name="强调文字颜色 5" xfId="50" builtinId="45"/>
    <cellStyle name="40% - 强调文字颜色 5" xfId="51" builtinId="47"/>
    <cellStyle name="60% - 强调文字颜色 5" xfId="52" builtinId="48"/>
    <cellStyle name="强调文字颜色 6" xfId="53" builtinId="49"/>
    <cellStyle name="40% - 强调文字颜色 6" xfId="54" builtinId="51"/>
    <cellStyle name="20% - 着色 3 2" xfId="55"/>
    <cellStyle name="60% - 强调文字颜色 6" xfId="56" builtinId="52"/>
    <cellStyle name="20% - 着色 4 2" xfId="57"/>
    <cellStyle name="20% - 着色 5 2" xfId="58"/>
    <cellStyle name="40% - 着色 1 2" xfId="59"/>
    <cellStyle name="40% - 着色 6 2" xfId="60"/>
    <cellStyle name="常规 2" xfId="61"/>
    <cellStyle name="常规 3" xfId="62"/>
    <cellStyle name="常规 4" xfId="63"/>
    <cellStyle name="常规 5" xfId="64"/>
    <cellStyle name="注释 2" xfId="65"/>
    <cellStyle name="注释 3" xfId="66"/>
  </cellStyles>
  <tableStyles count="0" defaultTableStyle="TableStyleMedium2" defaultPivotStyle="PivotStyleLight16"/>
  <colors>
    <mruColors>
      <color rgb="00FFCC66"/>
      <color rgb="00FF99FF"/>
      <color rgb="009933FF"/>
      <color rgb="00EAFFEA"/>
      <color rgb="00FFF4FF"/>
      <color rgb="00E0FFE0"/>
      <color rgb="00FFEAFF"/>
      <color rgb="00EAFFFF"/>
      <color rgb="00CC66FF"/>
      <color rgb="00A2C7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theme" Target="theme/theme1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10</xdr:col>
      <xdr:colOff>266700</xdr:colOff>
      <xdr:row>12</xdr:row>
      <xdr:rowOff>114662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rcRect r="3846"/>
        <a:stretch>
          <a:fillRect/>
        </a:stretch>
      </xdr:blipFill>
      <xdr:spPr>
        <a:xfrm>
          <a:off x="8877300" y="1476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161925</xdr:colOff>
      <xdr:row>12</xdr:row>
      <xdr:rowOff>104775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rcRect r="19902"/>
        <a:stretch>
          <a:fillRect/>
        </a:stretch>
      </xdr:blipFill>
      <xdr:spPr>
        <a:xfrm>
          <a:off x="10248900" y="1476375"/>
          <a:ext cx="847725" cy="942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314483</xdr:colOff>
      <xdr:row>12</xdr:row>
      <xdr:rowOff>104775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20500" y="1476375"/>
          <a:ext cx="1000125" cy="9429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264207</xdr:colOff>
      <xdr:row>18</xdr:row>
      <xdr:rowOff>38099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77300" y="2733675"/>
          <a:ext cx="949960" cy="8756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161925</xdr:colOff>
      <xdr:row>18</xdr:row>
      <xdr:rowOff>29058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48900" y="2733675"/>
          <a:ext cx="8477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190500</xdr:colOff>
      <xdr:row>18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20500" y="2733675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10</xdr:col>
      <xdr:colOff>256923</xdr:colOff>
      <xdr:row>23</xdr:row>
      <xdr:rowOff>19050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rcRect b="4255"/>
        <a:stretch>
          <a:fillRect/>
        </a:stretch>
      </xdr:blipFill>
      <xdr:spPr>
        <a:xfrm>
          <a:off x="8877300" y="3781425"/>
          <a:ext cx="942340" cy="85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190500</xdr:colOff>
      <xdr:row>23</xdr:row>
      <xdr:rowOff>19049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248900" y="3781425"/>
          <a:ext cx="876300" cy="85661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14</xdr:col>
      <xdr:colOff>240102</xdr:colOff>
      <xdr:row>23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20500" y="3781425"/>
          <a:ext cx="925830" cy="857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10</xdr:col>
      <xdr:colOff>261348</xdr:colOff>
      <xdr:row>30</xdr:row>
      <xdr:rowOff>9525</xdr:rowOff>
    </xdr:to>
    <xdr:pic>
      <xdr:nvPicPr>
        <xdr:cNvPr id="33" name="图片 3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877300" y="5038725"/>
          <a:ext cx="946785" cy="9429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171450</xdr:colOff>
      <xdr:row>30</xdr:row>
      <xdr:rowOff>17190</xdr:rowOff>
    </xdr:to>
    <xdr:pic>
      <xdr:nvPicPr>
        <xdr:cNvPr id="34" name="图片 33"/>
        <xdr:cNvPicPr>
          <a:picLocks noChangeAspect="1"/>
        </xdr:cNvPicPr>
      </xdr:nvPicPr>
      <xdr:blipFill>
        <a:blip r:embed="rId11"/>
        <a:srcRect r="10891"/>
        <a:stretch>
          <a:fillRect/>
        </a:stretch>
      </xdr:blipFill>
      <xdr:spPr>
        <a:xfrm>
          <a:off x="10248900" y="5038725"/>
          <a:ext cx="857250" cy="9505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14</xdr:col>
      <xdr:colOff>285749</xdr:colOff>
      <xdr:row>30</xdr:row>
      <xdr:rowOff>16605</xdr:rowOff>
    </xdr:to>
    <xdr:pic>
      <xdr:nvPicPr>
        <xdr:cNvPr id="35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20500" y="5038725"/>
          <a:ext cx="970915" cy="949960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32</xdr:row>
      <xdr:rowOff>9525</xdr:rowOff>
    </xdr:from>
    <xdr:to>
      <xdr:col>12</xdr:col>
      <xdr:colOff>213403</xdr:colOff>
      <xdr:row>36</xdr:row>
      <xdr:rowOff>171450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rcRect l="6836"/>
        <a:stretch>
          <a:fillRect/>
        </a:stretch>
      </xdr:blipFill>
      <xdr:spPr>
        <a:xfrm>
          <a:off x="10239375" y="6343650"/>
          <a:ext cx="908685" cy="885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10</xdr:col>
      <xdr:colOff>219075</xdr:colOff>
      <xdr:row>37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877300" y="6334125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14</xdr:col>
      <xdr:colOff>209550</xdr:colOff>
      <xdr:row>36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20500" y="6334125"/>
          <a:ext cx="895350" cy="89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0</xdr:colOff>
      <xdr:row>13</xdr:row>
      <xdr:rowOff>0</xdr:rowOff>
    </xdr:from>
    <xdr:to>
      <xdr:col>41</xdr:col>
      <xdr:colOff>352425</xdr:colOff>
      <xdr:row>17</xdr:row>
      <xdr:rowOff>200025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37500" y="2381250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13</xdr:row>
      <xdr:rowOff>0</xdr:rowOff>
    </xdr:from>
    <xdr:to>
      <xdr:col>43</xdr:col>
      <xdr:colOff>361950</xdr:colOff>
      <xdr:row>18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709100" y="238125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19</xdr:row>
      <xdr:rowOff>0</xdr:rowOff>
    </xdr:from>
    <xdr:to>
      <xdr:col>41</xdr:col>
      <xdr:colOff>371475</xdr:colOff>
      <xdr:row>24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337500" y="3638550"/>
          <a:ext cx="1057275" cy="105727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19</xdr:row>
      <xdr:rowOff>0</xdr:rowOff>
    </xdr:from>
    <xdr:to>
      <xdr:col>43</xdr:col>
      <xdr:colOff>390525</xdr:colOff>
      <xdr:row>24</xdr:row>
      <xdr:rowOff>80343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709100" y="3638550"/>
          <a:ext cx="1076325" cy="107061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41</xdr:col>
      <xdr:colOff>409575</xdr:colOff>
      <xdr:row>32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337500" y="4991100"/>
          <a:ext cx="1095375" cy="109537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26</xdr:row>
      <xdr:rowOff>0</xdr:rowOff>
    </xdr:from>
    <xdr:to>
      <xdr:col>43</xdr:col>
      <xdr:colOff>409575</xdr:colOff>
      <xdr:row>32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709100" y="4991100"/>
          <a:ext cx="1095375" cy="1095375"/>
        </a:xfrm>
        <a:prstGeom prst="rect">
          <a:avLst/>
        </a:prstGeom>
      </xdr:spPr>
    </xdr:pic>
    <xdr:clientData/>
  </xdr:twoCellAnchor>
  <xdr:twoCellAnchor editAs="oneCell">
    <xdr:from>
      <xdr:col>40</xdr:col>
      <xdr:colOff>1</xdr:colOff>
      <xdr:row>33</xdr:row>
      <xdr:rowOff>0</xdr:rowOff>
    </xdr:from>
    <xdr:to>
      <xdr:col>41</xdr:col>
      <xdr:colOff>417611</xdr:colOff>
      <xdr:row>38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337500" y="6257925"/>
          <a:ext cx="1102995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66CC"/>
  </sheetPr>
  <dimension ref="A1:O127"/>
  <sheetViews>
    <sheetView tabSelected="1" topLeftCell="B95" workbookViewId="0">
      <selection activeCell="G114" sqref="G114"/>
    </sheetView>
  </sheetViews>
  <sheetFormatPr defaultColWidth="9" defaultRowHeight="16.5"/>
  <cols>
    <col min="1" max="3" width="9" style="53"/>
    <col min="4" max="4" width="12.875" style="53" customWidth="1"/>
    <col min="5" max="5" width="30.625" style="53" customWidth="1"/>
    <col min="6" max="6" width="9" style="53"/>
    <col min="7" max="7" width="24.375" style="53" customWidth="1"/>
    <col min="8" max="8" width="9" style="53" customWidth="1"/>
    <col min="9" max="9" width="10.5" style="53" customWidth="1"/>
    <col min="10" max="10" width="14.875" style="53" customWidth="1"/>
    <col min="11" max="11" width="18.625" style="57" customWidth="1"/>
    <col min="12" max="12" width="9" style="53"/>
    <col min="13" max="13" width="18" style="53" customWidth="1"/>
    <col min="14" max="14" width="46.5" style="57" customWidth="1"/>
    <col min="15" max="16384" width="9" style="53"/>
  </cols>
  <sheetData>
    <row r="1" spans="2:2">
      <c r="B1" s="58" t="s">
        <v>0</v>
      </c>
    </row>
    <row r="2" spans="2:2">
      <c r="B2" s="58" t="s">
        <v>1</v>
      </c>
    </row>
    <row r="4" spans="2:11">
      <c r="B4" s="59" t="s">
        <v>2</v>
      </c>
      <c r="D4" s="53" t="s">
        <v>3</v>
      </c>
      <c r="E4" s="60" t="s">
        <v>4</v>
      </c>
      <c r="G4" s="53" t="s">
        <v>5</v>
      </c>
      <c r="H4" s="59" t="s">
        <v>6</v>
      </c>
      <c r="I4" s="84">
        <f>IF(H4="S+",4,IF(H4="S",3,IF(H4="A",2,IF(H4="B",1,0))))</f>
        <v>2</v>
      </c>
      <c r="J4" s="53" t="s">
        <v>7</v>
      </c>
      <c r="K4" s="85">
        <v>1</v>
      </c>
    </row>
    <row r="5" customHeight="1" spans="2:5">
      <c r="B5" s="61" t="s">
        <v>8</v>
      </c>
      <c r="E5" s="62" t="s">
        <v>9</v>
      </c>
    </row>
    <row r="6" customHeight="1" spans="2:14">
      <c r="B6" s="63"/>
      <c r="D6" s="53" t="s">
        <v>10</v>
      </c>
      <c r="E6" s="60" t="s">
        <v>11</v>
      </c>
      <c r="F6" s="62"/>
      <c r="G6" s="55" t="s">
        <v>12</v>
      </c>
      <c r="H6" s="60">
        <v>58</v>
      </c>
      <c r="J6" s="53" t="s">
        <v>13</v>
      </c>
      <c r="K6" s="57">
        <v>1</v>
      </c>
      <c r="M6" s="33" t="s">
        <v>14</v>
      </c>
      <c r="N6" s="56" t="s">
        <v>15</v>
      </c>
    </row>
    <row r="7" customHeight="1" spans="2:14">
      <c r="B7" s="63"/>
      <c r="D7" s="53" t="s">
        <v>16</v>
      </c>
      <c r="E7" s="64" t="s">
        <v>17</v>
      </c>
      <c r="G7" s="65" t="s">
        <v>18</v>
      </c>
      <c r="H7" s="60">
        <v>2797</v>
      </c>
      <c r="J7" s="33" t="s">
        <v>19</v>
      </c>
      <c r="K7" s="56" t="s">
        <v>20</v>
      </c>
      <c r="M7" s="86" t="s">
        <v>21</v>
      </c>
      <c r="N7" s="56" t="s">
        <v>22</v>
      </c>
    </row>
    <row r="8" customHeight="1" spans="2:14">
      <c r="B8" s="63"/>
      <c r="E8" s="66"/>
      <c r="G8" s="65" t="s">
        <v>23</v>
      </c>
      <c r="H8" s="60">
        <v>9396</v>
      </c>
      <c r="J8" s="33" t="s">
        <v>24</v>
      </c>
      <c r="K8" s="57">
        <v>-1</v>
      </c>
      <c r="M8" s="76" t="s">
        <v>25</v>
      </c>
      <c r="N8" s="56" t="s">
        <v>26</v>
      </c>
    </row>
    <row r="9" customHeight="1" spans="2:14">
      <c r="B9" s="63"/>
      <c r="E9" s="66"/>
      <c r="G9" s="65" t="s">
        <v>27</v>
      </c>
      <c r="H9" s="60">
        <v>835</v>
      </c>
      <c r="J9" s="33" t="s">
        <v>28</v>
      </c>
      <c r="K9" s="57">
        <v>-1</v>
      </c>
      <c r="M9" s="33" t="s">
        <v>29</v>
      </c>
      <c r="N9" s="56" t="s">
        <v>30</v>
      </c>
    </row>
    <row r="10" customHeight="1" spans="2:14">
      <c r="B10" s="63"/>
      <c r="E10" s="67"/>
      <c r="J10" s="33" t="s">
        <v>31</v>
      </c>
      <c r="K10" s="57">
        <v>-1</v>
      </c>
      <c r="M10" s="86" t="s">
        <v>32</v>
      </c>
      <c r="N10" s="56" t="s">
        <v>33</v>
      </c>
    </row>
    <row r="11" customHeight="1" spans="2:11">
      <c r="B11" s="63"/>
      <c r="G11" s="53" t="s">
        <v>34</v>
      </c>
      <c r="H11" s="68">
        <v>0</v>
      </c>
      <c r="J11" s="86" t="s">
        <v>35</v>
      </c>
      <c r="K11" s="56" t="s">
        <v>20</v>
      </c>
    </row>
    <row r="12" customHeight="1" spans="2:11">
      <c r="B12" s="63"/>
      <c r="G12" s="53" t="s">
        <v>36</v>
      </c>
      <c r="H12" s="68">
        <v>0</v>
      </c>
      <c r="J12" s="86" t="s">
        <v>37</v>
      </c>
      <c r="K12" s="57">
        <v>-1</v>
      </c>
    </row>
    <row r="13" customHeight="1" spans="2:11">
      <c r="B13" s="63"/>
      <c r="G13" s="53" t="s">
        <v>38</v>
      </c>
      <c r="H13" s="68">
        <v>0</v>
      </c>
      <c r="J13" s="86" t="s">
        <v>39</v>
      </c>
      <c r="K13" s="57">
        <v>-1</v>
      </c>
    </row>
    <row r="14" customHeight="1" spans="2:11">
      <c r="B14" s="63"/>
      <c r="G14" s="53" t="s">
        <v>40</v>
      </c>
      <c r="H14" s="68">
        <v>0</v>
      </c>
      <c r="J14" s="86" t="s">
        <v>41</v>
      </c>
      <c r="K14" s="57">
        <v>-1</v>
      </c>
    </row>
    <row r="18" spans="2:11">
      <c r="B18" s="59" t="s">
        <v>2</v>
      </c>
      <c r="D18" s="53" t="s">
        <v>42</v>
      </c>
      <c r="E18" s="60" t="s">
        <v>43</v>
      </c>
      <c r="G18" s="53" t="s">
        <v>5</v>
      </c>
      <c r="H18" s="59" t="s">
        <v>6</v>
      </c>
      <c r="I18" s="84">
        <f>IF(H18="S+",4,IF(H18="S",3,IF(H18="A",2,IF(H18="B",1,0))))</f>
        <v>2</v>
      </c>
      <c r="J18" s="53" t="s">
        <v>7</v>
      </c>
      <c r="K18" s="85">
        <v>1</v>
      </c>
    </row>
    <row r="19" customHeight="1" spans="2:5">
      <c r="B19" s="69" t="s">
        <v>44</v>
      </c>
      <c r="E19" s="62" t="s">
        <v>9</v>
      </c>
    </row>
    <row r="20" customHeight="1" spans="2:14">
      <c r="B20" s="70"/>
      <c r="D20" s="53" t="s">
        <v>10</v>
      </c>
      <c r="E20" s="60" t="s">
        <v>11</v>
      </c>
      <c r="G20" s="53" t="s">
        <v>45</v>
      </c>
      <c r="H20" s="60">
        <v>58</v>
      </c>
      <c r="J20" s="53" t="s">
        <v>46</v>
      </c>
      <c r="K20" s="56">
        <v>4</v>
      </c>
      <c r="M20" s="33" t="s">
        <v>14</v>
      </c>
      <c r="N20" s="56" t="s">
        <v>47</v>
      </c>
    </row>
    <row r="21" customHeight="1" spans="2:14">
      <c r="B21" s="70"/>
      <c r="D21" s="53" t="s">
        <v>16</v>
      </c>
      <c r="E21" s="64" t="s">
        <v>17</v>
      </c>
      <c r="G21" s="53" t="s">
        <v>18</v>
      </c>
      <c r="H21" s="60">
        <v>2797</v>
      </c>
      <c r="J21" s="33" t="s">
        <v>19</v>
      </c>
      <c r="K21" s="56" t="s">
        <v>20</v>
      </c>
      <c r="M21" s="86" t="s">
        <v>21</v>
      </c>
      <c r="N21" s="56" t="s">
        <v>48</v>
      </c>
    </row>
    <row r="22" customHeight="1" spans="2:14">
      <c r="B22" s="70"/>
      <c r="E22" s="66"/>
      <c r="G22" s="53" t="s">
        <v>23</v>
      </c>
      <c r="H22" s="60">
        <v>9392</v>
      </c>
      <c r="J22" s="33" t="s">
        <v>24</v>
      </c>
      <c r="K22" s="56" t="s">
        <v>49</v>
      </c>
      <c r="M22" s="76" t="s">
        <v>25</v>
      </c>
      <c r="N22" s="56" t="s">
        <v>50</v>
      </c>
    </row>
    <row r="23" customHeight="1" spans="2:14">
      <c r="B23" s="70"/>
      <c r="E23" s="66"/>
      <c r="G23" s="53" t="s">
        <v>27</v>
      </c>
      <c r="H23" s="60">
        <v>836</v>
      </c>
      <c r="J23" s="33" t="s">
        <v>28</v>
      </c>
      <c r="K23" s="56" t="s">
        <v>20</v>
      </c>
      <c r="M23" s="33" t="s">
        <v>29</v>
      </c>
      <c r="N23" s="56" t="s">
        <v>51</v>
      </c>
    </row>
    <row r="24" customHeight="1" spans="2:14">
      <c r="B24" s="70"/>
      <c r="E24" s="67"/>
      <c r="J24" s="33" t="s">
        <v>31</v>
      </c>
      <c r="K24" s="56" t="s">
        <v>52</v>
      </c>
      <c r="M24" s="86" t="s">
        <v>32</v>
      </c>
      <c r="N24" s="56" t="s">
        <v>53</v>
      </c>
    </row>
    <row r="25" customHeight="1" spans="2:14">
      <c r="B25" s="70"/>
      <c r="G25" s="53" t="s">
        <v>34</v>
      </c>
      <c r="H25" s="68">
        <v>0</v>
      </c>
      <c r="J25" s="86" t="s">
        <v>35</v>
      </c>
      <c r="K25" s="56" t="s">
        <v>20</v>
      </c>
      <c r="M25" s="87" t="s">
        <v>54</v>
      </c>
      <c r="N25" s="56">
        <v>-1</v>
      </c>
    </row>
    <row r="26" customHeight="1" spans="2:14">
      <c r="B26" s="70"/>
      <c r="G26" s="53" t="s">
        <v>36</v>
      </c>
      <c r="H26" s="68">
        <v>0</v>
      </c>
      <c r="J26" s="86" t="s">
        <v>37</v>
      </c>
      <c r="K26" s="56" t="s">
        <v>49</v>
      </c>
      <c r="M26" s="33" t="s">
        <v>55</v>
      </c>
      <c r="N26" s="56">
        <v>-1</v>
      </c>
    </row>
    <row r="27" customHeight="1" spans="2:14">
      <c r="B27" s="70"/>
      <c r="G27" s="53" t="s">
        <v>38</v>
      </c>
      <c r="H27" s="68">
        <v>0</v>
      </c>
      <c r="J27" s="86" t="s">
        <v>39</v>
      </c>
      <c r="K27" s="56" t="s">
        <v>20</v>
      </c>
      <c r="M27" s="86" t="s">
        <v>56</v>
      </c>
      <c r="N27" s="56">
        <v>-1</v>
      </c>
    </row>
    <row r="28" customHeight="1" spans="2:11">
      <c r="B28" s="70"/>
      <c r="G28" s="53" t="s">
        <v>40</v>
      </c>
      <c r="H28" s="68">
        <v>0</v>
      </c>
      <c r="J28" s="86" t="s">
        <v>41</v>
      </c>
      <c r="K28" s="56" t="s">
        <v>52</v>
      </c>
    </row>
    <row r="32" spans="2:11">
      <c r="B32" s="59" t="s">
        <v>2</v>
      </c>
      <c r="D32" s="53" t="s">
        <v>57</v>
      </c>
      <c r="E32" s="60" t="s">
        <v>58</v>
      </c>
      <c r="G32" s="53" t="s">
        <v>5</v>
      </c>
      <c r="H32" s="59" t="s">
        <v>59</v>
      </c>
      <c r="I32" s="84">
        <f>IF(H32="S+",4,IF(H32="S",3,IF(H32="A",2,IF(H32="B",1,0))))</f>
        <v>4</v>
      </c>
      <c r="J32" s="53" t="s">
        <v>60</v>
      </c>
      <c r="K32" s="85" t="s">
        <v>61</v>
      </c>
    </row>
    <row r="33" spans="2:5">
      <c r="B33" s="71" t="s">
        <v>62</v>
      </c>
      <c r="E33" s="62" t="s">
        <v>9</v>
      </c>
    </row>
    <row r="34" spans="2:14">
      <c r="B34" s="72"/>
      <c r="D34" s="53" t="s">
        <v>10</v>
      </c>
      <c r="E34" s="60" t="s">
        <v>63</v>
      </c>
      <c r="G34" s="53" t="s">
        <v>64</v>
      </c>
      <c r="H34" s="60">
        <v>21</v>
      </c>
      <c r="J34" s="81" t="s">
        <v>65</v>
      </c>
      <c r="K34" s="85" t="s">
        <v>66</v>
      </c>
      <c r="M34" s="53" t="s">
        <v>67</v>
      </c>
      <c r="N34" s="56" t="s">
        <v>68</v>
      </c>
    </row>
    <row r="35" spans="2:14">
      <c r="B35" s="72"/>
      <c r="D35" s="53" t="s">
        <v>16</v>
      </c>
      <c r="E35" s="64" t="s">
        <v>69</v>
      </c>
      <c r="G35" s="53" t="s">
        <v>18</v>
      </c>
      <c r="H35" s="60">
        <v>914</v>
      </c>
      <c r="J35" s="81" t="s">
        <v>70</v>
      </c>
      <c r="K35" s="85" t="s">
        <v>66</v>
      </c>
      <c r="M35" s="81" t="s">
        <v>71</v>
      </c>
      <c r="N35" s="56" t="s">
        <v>72</v>
      </c>
    </row>
    <row r="36" spans="2:14">
      <c r="B36" s="72"/>
      <c r="E36" s="66"/>
      <c r="G36" s="53" t="s">
        <v>23</v>
      </c>
      <c r="H36" s="60">
        <v>9326</v>
      </c>
      <c r="J36" s="76" t="s">
        <v>73</v>
      </c>
      <c r="K36" s="56">
        <v>1.2</v>
      </c>
      <c r="M36" s="81" t="s">
        <v>74</v>
      </c>
      <c r="N36" s="56" t="s">
        <v>75</v>
      </c>
    </row>
    <row r="37" spans="2:14">
      <c r="B37" s="72"/>
      <c r="E37" s="66"/>
      <c r="G37" s="53" t="s">
        <v>27</v>
      </c>
      <c r="H37" s="60">
        <v>808</v>
      </c>
      <c r="J37" s="81" t="s">
        <v>76</v>
      </c>
      <c r="K37" s="56">
        <v>1.1</v>
      </c>
      <c r="M37" s="81" t="s">
        <v>77</v>
      </c>
      <c r="N37" s="56"/>
    </row>
    <row r="38" spans="2:13">
      <c r="B38" s="72"/>
      <c r="E38" s="67"/>
      <c r="J38" s="81" t="s">
        <v>78</v>
      </c>
      <c r="K38" s="56">
        <v>1.1</v>
      </c>
      <c r="M38" s="62" t="s">
        <v>79</v>
      </c>
    </row>
    <row r="39" spans="2:15">
      <c r="B39" s="72"/>
      <c r="G39" s="53" t="s">
        <v>34</v>
      </c>
      <c r="H39" s="68">
        <v>0</v>
      </c>
      <c r="M39" s="62" t="s">
        <v>80</v>
      </c>
      <c r="N39" s="56" t="s">
        <v>81</v>
      </c>
      <c r="O39" s="57"/>
    </row>
    <row r="40" spans="2:8">
      <c r="B40" s="72"/>
      <c r="G40" s="53" t="s">
        <v>36</v>
      </c>
      <c r="H40" s="68">
        <v>0</v>
      </c>
    </row>
    <row r="41" spans="2:8">
      <c r="B41" s="72"/>
      <c r="G41" s="53" t="s">
        <v>38</v>
      </c>
      <c r="H41" s="68">
        <v>0</v>
      </c>
    </row>
    <row r="42" spans="2:8">
      <c r="B42" s="72"/>
      <c r="G42" s="53" t="s">
        <v>40</v>
      </c>
      <c r="H42" s="68">
        <v>0</v>
      </c>
    </row>
    <row r="46" spans="2:11">
      <c r="B46" s="59" t="s">
        <v>2</v>
      </c>
      <c r="D46" s="53" t="s">
        <v>82</v>
      </c>
      <c r="E46" s="60" t="s">
        <v>83</v>
      </c>
      <c r="G46" s="53" t="s">
        <v>5</v>
      </c>
      <c r="H46" s="59" t="s">
        <v>84</v>
      </c>
      <c r="I46" s="84">
        <f>IF(H46="S+",4,IF(H46="S",3,IF(H46="A",2,IF(H46="B",1,0))))</f>
        <v>3</v>
      </c>
      <c r="J46" s="53" t="s">
        <v>85</v>
      </c>
      <c r="K46" s="85" t="s">
        <v>86</v>
      </c>
    </row>
    <row r="47" customHeight="1" spans="2:5">
      <c r="B47" s="73" t="s">
        <v>87</v>
      </c>
      <c r="E47" s="62" t="s">
        <v>9</v>
      </c>
    </row>
    <row r="48" customHeight="1" spans="2:14">
      <c r="B48" s="74"/>
      <c r="D48" s="53" t="s">
        <v>10</v>
      </c>
      <c r="E48" s="60" t="s">
        <v>63</v>
      </c>
      <c r="G48" s="53" t="s">
        <v>88</v>
      </c>
      <c r="H48" s="60">
        <v>21</v>
      </c>
      <c r="J48" s="53" t="s">
        <v>65</v>
      </c>
      <c r="K48" s="85" t="s">
        <v>89</v>
      </c>
      <c r="L48" s="84"/>
      <c r="M48" s="53" t="s">
        <v>67</v>
      </c>
      <c r="N48" s="56" t="s">
        <v>90</v>
      </c>
    </row>
    <row r="49" customHeight="1" spans="2:14">
      <c r="B49" s="74"/>
      <c r="D49" s="53" t="s">
        <v>16</v>
      </c>
      <c r="E49" s="64" t="s">
        <v>91</v>
      </c>
      <c r="G49" s="53" t="s">
        <v>18</v>
      </c>
      <c r="H49" s="60">
        <v>1887</v>
      </c>
      <c r="M49" s="53" t="s">
        <v>71</v>
      </c>
      <c r="N49" s="56" t="s">
        <v>92</v>
      </c>
    </row>
    <row r="50" customHeight="1" spans="2:14">
      <c r="B50" s="74"/>
      <c r="E50" s="66"/>
      <c r="G50" s="53" t="s">
        <v>23</v>
      </c>
      <c r="H50" s="60">
        <v>9380</v>
      </c>
      <c r="J50" s="76" t="s">
        <v>73</v>
      </c>
      <c r="K50" s="56">
        <v>1.1</v>
      </c>
      <c r="M50" s="53" t="s">
        <v>74</v>
      </c>
      <c r="N50" s="56" t="s">
        <v>93</v>
      </c>
    </row>
    <row r="51" customHeight="1" spans="2:14">
      <c r="B51" s="74"/>
      <c r="E51" s="66"/>
      <c r="G51" s="53" t="s">
        <v>27</v>
      </c>
      <c r="H51" s="60">
        <v>831</v>
      </c>
      <c r="J51" s="81" t="s">
        <v>76</v>
      </c>
      <c r="K51" s="56">
        <v>1</v>
      </c>
      <c r="M51" s="53" t="s">
        <v>94</v>
      </c>
      <c r="N51" s="56" t="s">
        <v>95</v>
      </c>
    </row>
    <row r="52" customHeight="1" spans="2:14">
      <c r="B52" s="74"/>
      <c r="E52" s="67"/>
      <c r="J52" s="81" t="s">
        <v>78</v>
      </c>
      <c r="K52" s="56">
        <v>1</v>
      </c>
      <c r="M52" s="53" t="s">
        <v>96</v>
      </c>
      <c r="N52" s="56"/>
    </row>
    <row r="53" customHeight="1" spans="2:8">
      <c r="B53" s="74"/>
      <c r="G53" s="53" t="s">
        <v>34</v>
      </c>
      <c r="H53" s="68">
        <v>0</v>
      </c>
    </row>
    <row r="54" customHeight="1" spans="2:8">
      <c r="B54" s="74"/>
      <c r="G54" s="53" t="s">
        <v>36</v>
      </c>
      <c r="H54" s="68">
        <v>1</v>
      </c>
    </row>
    <row r="55" customHeight="1" spans="2:8">
      <c r="B55" s="74"/>
      <c r="G55" s="53" t="s">
        <v>38</v>
      </c>
      <c r="H55" s="68">
        <v>0</v>
      </c>
    </row>
    <row r="56" customHeight="1" spans="2:8">
      <c r="B56" s="74"/>
      <c r="G56" s="53" t="s">
        <v>40</v>
      </c>
      <c r="H56" s="68">
        <v>1</v>
      </c>
    </row>
    <row r="60" spans="1:14">
      <c r="A60" s="75" t="s">
        <v>97</v>
      </c>
      <c r="B60" s="59" t="s">
        <v>2</v>
      </c>
      <c r="D60" s="76" t="s">
        <v>98</v>
      </c>
      <c r="E60" s="60" t="s">
        <v>99</v>
      </c>
      <c r="G60" s="53" t="s">
        <v>5</v>
      </c>
      <c r="H60" s="59" t="s">
        <v>84</v>
      </c>
      <c r="I60" s="84">
        <f>IF(H60="S+",4,IF(H60="S",3,IF(H60="A",2,IF(H60="B",1,0))))</f>
        <v>3</v>
      </c>
      <c r="M60" s="76" t="s">
        <v>100</v>
      </c>
      <c r="N60" s="56" t="s">
        <v>101</v>
      </c>
    </row>
    <row r="61" spans="1:14">
      <c r="A61" s="77" t="s">
        <v>102</v>
      </c>
      <c r="B61" s="59" t="s">
        <v>2</v>
      </c>
      <c r="D61" s="78" t="s">
        <v>103</v>
      </c>
      <c r="E61" s="60" t="s">
        <v>104</v>
      </c>
      <c r="M61" s="78" t="s">
        <v>105</v>
      </c>
      <c r="N61" s="56" t="s">
        <v>106</v>
      </c>
    </row>
    <row r="62" spans="1:14">
      <c r="A62" s="79" t="s">
        <v>107</v>
      </c>
      <c r="B62" s="59" t="s">
        <v>2</v>
      </c>
      <c r="D62" s="80" t="s">
        <v>108</v>
      </c>
      <c r="E62" s="60" t="s">
        <v>109</v>
      </c>
      <c r="G62" s="81" t="s">
        <v>110</v>
      </c>
      <c r="H62" s="60">
        <v>3</v>
      </c>
      <c r="J62" s="76" t="s">
        <v>73</v>
      </c>
      <c r="K62" s="56">
        <v>1.1</v>
      </c>
      <c r="L62" s="84"/>
      <c r="M62" s="80" t="s">
        <v>111</v>
      </c>
      <c r="N62" s="56" t="s">
        <v>112</v>
      </c>
    </row>
    <row r="63" spans="1:14">
      <c r="A63" s="82">
        <f>COUNTIF(B60,"导出")</f>
        <v>0</v>
      </c>
      <c r="B63" s="83" t="s">
        <v>113</v>
      </c>
      <c r="E63" s="62" t="s">
        <v>9</v>
      </c>
      <c r="G63" s="53" t="s">
        <v>18</v>
      </c>
      <c r="H63" s="60">
        <v>1899</v>
      </c>
      <c r="J63" s="76" t="s">
        <v>114</v>
      </c>
      <c r="K63" s="56">
        <v>1</v>
      </c>
      <c r="M63" s="76" t="s">
        <v>115</v>
      </c>
      <c r="N63" s="56" t="s">
        <v>116</v>
      </c>
    </row>
    <row r="64" spans="1:14">
      <c r="A64" s="82">
        <f>COUNTIF(B60:B61,"导出")</f>
        <v>0</v>
      </c>
      <c r="B64" s="83"/>
      <c r="D64" s="53" t="s">
        <v>10</v>
      </c>
      <c r="E64" s="60" t="s">
        <v>117</v>
      </c>
      <c r="G64" s="53" t="s">
        <v>23</v>
      </c>
      <c r="H64" s="60">
        <v>8827</v>
      </c>
      <c r="J64" s="78" t="s">
        <v>118</v>
      </c>
      <c r="K64" s="56">
        <v>1</v>
      </c>
      <c r="M64" s="78" t="s">
        <v>119</v>
      </c>
      <c r="N64" s="56" t="s">
        <v>120</v>
      </c>
    </row>
    <row r="65" spans="2:14">
      <c r="B65" s="83"/>
      <c r="D65" s="53" t="s">
        <v>16</v>
      </c>
      <c r="E65" s="64" t="s">
        <v>121</v>
      </c>
      <c r="G65" s="53" t="s">
        <v>27</v>
      </c>
      <c r="H65" s="60">
        <v>661</v>
      </c>
      <c r="J65" s="80" t="s">
        <v>122</v>
      </c>
      <c r="K65" s="56">
        <v>1</v>
      </c>
      <c r="M65" s="80" t="s">
        <v>123</v>
      </c>
      <c r="N65" s="56" t="s">
        <v>124</v>
      </c>
    </row>
    <row r="66" spans="2:14">
      <c r="B66" s="83"/>
      <c r="E66" s="66"/>
      <c r="M66" s="76" t="s">
        <v>125</v>
      </c>
      <c r="N66" s="56" t="s">
        <v>75</v>
      </c>
    </row>
    <row r="67" spans="2:14">
      <c r="B67" s="83"/>
      <c r="E67" s="66"/>
      <c r="G67" s="53" t="s">
        <v>34</v>
      </c>
      <c r="H67" s="68">
        <v>0</v>
      </c>
      <c r="M67" s="78" t="s">
        <v>126</v>
      </c>
      <c r="N67" s="56" t="s">
        <v>127</v>
      </c>
    </row>
    <row r="68" spans="2:14">
      <c r="B68" s="83"/>
      <c r="E68" s="67"/>
      <c r="G68" s="53" t="s">
        <v>36</v>
      </c>
      <c r="H68" s="68">
        <v>0</v>
      </c>
      <c r="M68" s="80" t="s">
        <v>128</v>
      </c>
      <c r="N68" s="56" t="s">
        <v>75</v>
      </c>
    </row>
    <row r="69" spans="2:14">
      <c r="B69" s="83"/>
      <c r="G69" s="53" t="s">
        <v>38</v>
      </c>
      <c r="H69" s="68">
        <v>0</v>
      </c>
      <c r="M69" s="76" t="s">
        <v>129</v>
      </c>
      <c r="N69" s="56" t="s">
        <v>130</v>
      </c>
    </row>
    <row r="70" spans="2:14">
      <c r="B70" s="83"/>
      <c r="G70" s="53" t="s">
        <v>40</v>
      </c>
      <c r="H70" s="68">
        <v>1</v>
      </c>
      <c r="M70" s="78" t="s">
        <v>131</v>
      </c>
      <c r="N70" s="56" t="s">
        <v>130</v>
      </c>
    </row>
    <row r="71" spans="13:14">
      <c r="M71" s="80" t="s">
        <v>132</v>
      </c>
      <c r="N71" s="56" t="s">
        <v>130</v>
      </c>
    </row>
    <row r="74" spans="2:9">
      <c r="B74" s="59" t="s">
        <v>2</v>
      </c>
      <c r="D74" s="53" t="s">
        <v>133</v>
      </c>
      <c r="E74" s="60" t="s">
        <v>134</v>
      </c>
      <c r="G74" s="53" t="s">
        <v>5</v>
      </c>
      <c r="H74" s="59" t="s">
        <v>6</v>
      </c>
      <c r="I74" s="84">
        <f>IF(H74="S+",4,IF(H74="S",3,IF(H74="A",2,IF(H74="B",1,0))))</f>
        <v>2</v>
      </c>
    </row>
    <row r="75" customHeight="1" spans="2:5">
      <c r="B75" s="88" t="s">
        <v>135</v>
      </c>
      <c r="E75" s="62" t="s">
        <v>9</v>
      </c>
    </row>
    <row r="76" customHeight="1" spans="2:14">
      <c r="B76" s="89"/>
      <c r="D76" s="53" t="s">
        <v>10</v>
      </c>
      <c r="E76" s="60" t="s">
        <v>136</v>
      </c>
      <c r="G76" s="53" t="s">
        <v>137</v>
      </c>
      <c r="H76" s="60">
        <v>56</v>
      </c>
      <c r="I76" s="96" t="s">
        <v>138</v>
      </c>
      <c r="J76" s="76" t="s">
        <v>139</v>
      </c>
      <c r="K76" s="56">
        <v>1.1</v>
      </c>
      <c r="M76" s="53" t="s">
        <v>67</v>
      </c>
      <c r="N76" s="56" t="s">
        <v>140</v>
      </c>
    </row>
    <row r="77" customHeight="1" spans="2:14">
      <c r="B77" s="89"/>
      <c r="D77" s="53" t="s">
        <v>16</v>
      </c>
      <c r="E77" s="64" t="s">
        <v>141</v>
      </c>
      <c r="G77" s="53" t="s">
        <v>18</v>
      </c>
      <c r="H77" s="60">
        <v>2983</v>
      </c>
      <c r="I77" s="96"/>
      <c r="J77" s="33" t="s">
        <v>142</v>
      </c>
      <c r="K77" s="56">
        <v>1</v>
      </c>
      <c r="M77" s="53" t="s">
        <v>71</v>
      </c>
      <c r="N77" s="56" t="s">
        <v>143</v>
      </c>
    </row>
    <row r="78" customHeight="1" spans="2:11">
      <c r="B78" s="89"/>
      <c r="E78" s="66"/>
      <c r="G78" s="53" t="s">
        <v>23</v>
      </c>
      <c r="H78" s="60">
        <v>9390</v>
      </c>
      <c r="I78" s="96"/>
      <c r="J78" s="86" t="s">
        <v>144</v>
      </c>
      <c r="K78" s="56">
        <v>1</v>
      </c>
    </row>
    <row r="79" customHeight="1" spans="2:8">
      <c r="B79" s="89"/>
      <c r="E79" s="66"/>
      <c r="G79" s="53" t="s">
        <v>27</v>
      </c>
      <c r="H79" s="60">
        <v>834</v>
      </c>
    </row>
    <row r="80" customHeight="1" spans="2:5">
      <c r="B80" s="89"/>
      <c r="E80" s="67"/>
    </row>
    <row r="81" customHeight="1" spans="2:8">
      <c r="B81" s="89"/>
      <c r="G81" s="53" t="s">
        <v>34</v>
      </c>
      <c r="H81" s="68">
        <v>0</v>
      </c>
    </row>
    <row r="82" customHeight="1" spans="2:8">
      <c r="B82" s="89"/>
      <c r="G82" s="53" t="s">
        <v>36</v>
      </c>
      <c r="H82" s="68">
        <v>0</v>
      </c>
    </row>
    <row r="83" customHeight="1" spans="2:8">
      <c r="B83" s="89"/>
      <c r="G83" s="53" t="s">
        <v>38</v>
      </c>
      <c r="H83" s="68">
        <v>0</v>
      </c>
    </row>
    <row r="84" customHeight="1" spans="2:8">
      <c r="B84" s="89"/>
      <c r="G84" s="53" t="s">
        <v>40</v>
      </c>
      <c r="H84" s="68">
        <v>0</v>
      </c>
    </row>
    <row r="88" spans="2:5">
      <c r="B88" s="59" t="s">
        <v>2</v>
      </c>
      <c r="D88" s="53" t="s">
        <v>133</v>
      </c>
      <c r="E88" s="60" t="s">
        <v>145</v>
      </c>
    </row>
    <row r="89" spans="2:5">
      <c r="B89" s="90" t="s">
        <v>146</v>
      </c>
      <c r="D89" s="53" t="s">
        <v>147</v>
      </c>
      <c r="E89" s="60" t="s">
        <v>148</v>
      </c>
    </row>
    <row r="90" spans="2:14">
      <c r="B90" s="91"/>
      <c r="G90" s="53" t="s">
        <v>137</v>
      </c>
      <c r="H90" s="60">
        <v>52</v>
      </c>
      <c r="I90" s="96" t="s">
        <v>138</v>
      </c>
      <c r="J90" s="76" t="s">
        <v>139</v>
      </c>
      <c r="K90" s="56">
        <v>1.1</v>
      </c>
      <c r="M90" s="53" t="s">
        <v>149</v>
      </c>
      <c r="N90" s="56" t="s">
        <v>150</v>
      </c>
    </row>
    <row r="91" spans="2:14">
      <c r="B91" s="91"/>
      <c r="G91" s="53" t="s">
        <v>151</v>
      </c>
      <c r="H91" s="60">
        <v>15</v>
      </c>
      <c r="I91" s="96"/>
      <c r="J91" s="33" t="s">
        <v>142</v>
      </c>
      <c r="K91" s="56">
        <v>0.75</v>
      </c>
      <c r="M91" s="53" t="s">
        <v>152</v>
      </c>
      <c r="N91" s="56" t="s">
        <v>153</v>
      </c>
    </row>
    <row r="92" spans="2:14">
      <c r="B92" s="91"/>
      <c r="G92" s="53" t="s">
        <v>23</v>
      </c>
      <c r="H92" s="60">
        <v>8380</v>
      </c>
      <c r="I92" s="96"/>
      <c r="J92" s="86" t="s">
        <v>144</v>
      </c>
      <c r="K92" s="56">
        <v>0.7</v>
      </c>
      <c r="M92" s="53" t="s">
        <v>154</v>
      </c>
      <c r="N92" s="56" t="s">
        <v>155</v>
      </c>
    </row>
    <row r="93" spans="2:14">
      <c r="B93" s="91"/>
      <c r="G93" s="53" t="s">
        <v>27</v>
      </c>
      <c r="H93" s="60">
        <v>827</v>
      </c>
      <c r="M93" s="53" t="s">
        <v>156</v>
      </c>
      <c r="N93" s="56" t="s">
        <v>157</v>
      </c>
    </row>
    <row r="94" spans="2:14">
      <c r="B94" s="91"/>
      <c r="M94" s="53" t="s">
        <v>158</v>
      </c>
      <c r="N94" s="56" t="s">
        <v>159</v>
      </c>
    </row>
    <row r="95" spans="2:14">
      <c r="B95" s="91"/>
      <c r="M95" s="53" t="s">
        <v>160</v>
      </c>
      <c r="N95" s="56" t="s">
        <v>161</v>
      </c>
    </row>
    <row r="96" spans="2:14">
      <c r="B96" s="91"/>
      <c r="M96" s="53" t="s">
        <v>162</v>
      </c>
      <c r="N96" s="56" t="s">
        <v>163</v>
      </c>
    </row>
    <row r="97" spans="2:14">
      <c r="B97" s="91"/>
      <c r="M97" s="53" t="s">
        <v>164</v>
      </c>
      <c r="N97" s="56" t="s">
        <v>165</v>
      </c>
    </row>
    <row r="98" spans="2:2">
      <c r="B98" s="91"/>
    </row>
    <row r="101" spans="15:15">
      <c r="O101" s="53" t="s">
        <v>166</v>
      </c>
    </row>
    <row r="102" spans="2:15">
      <c r="B102" s="59" t="s">
        <v>2</v>
      </c>
      <c r="D102" s="53" t="s">
        <v>167</v>
      </c>
      <c r="E102" s="60" t="s">
        <v>168</v>
      </c>
      <c r="G102" s="53" t="s">
        <v>5</v>
      </c>
      <c r="H102" s="59" t="s">
        <v>59</v>
      </c>
      <c r="I102" s="84">
        <f>IF(H102="S+",4,IF(H102="S",3,IF(H102="A",2,IF(H102="B",1,0))))</f>
        <v>4</v>
      </c>
      <c r="J102" s="76" t="s">
        <v>169</v>
      </c>
      <c r="K102" s="56" t="s">
        <v>170</v>
      </c>
      <c r="L102" s="84"/>
      <c r="M102" s="76" t="s">
        <v>171</v>
      </c>
      <c r="N102" s="56" t="s">
        <v>172</v>
      </c>
      <c r="O102" s="97" t="s">
        <v>173</v>
      </c>
    </row>
    <row r="103" spans="2:15">
      <c r="B103" s="92" t="s">
        <v>174</v>
      </c>
      <c r="J103" s="76" t="s">
        <v>175</v>
      </c>
      <c r="K103" s="56" t="s">
        <v>176</v>
      </c>
      <c r="M103" s="76" t="s">
        <v>177</v>
      </c>
      <c r="N103" s="56" t="s">
        <v>178</v>
      </c>
      <c r="O103" s="97" t="s">
        <v>179</v>
      </c>
    </row>
    <row r="104" spans="2:15">
      <c r="B104" s="93"/>
      <c r="D104" s="53" t="s">
        <v>10</v>
      </c>
      <c r="E104" s="60" t="s">
        <v>63</v>
      </c>
      <c r="G104" s="53" t="s">
        <v>180</v>
      </c>
      <c r="H104" s="60">
        <v>3</v>
      </c>
      <c r="J104" s="76" t="s">
        <v>181</v>
      </c>
      <c r="K104" s="56" t="s">
        <v>182</v>
      </c>
      <c r="M104" s="76" t="s">
        <v>183</v>
      </c>
      <c r="N104" s="56" t="s">
        <v>184</v>
      </c>
      <c r="O104" s="97" t="s">
        <v>185</v>
      </c>
    </row>
    <row r="105" spans="2:15">
      <c r="B105" s="93"/>
      <c r="D105" s="53" t="s">
        <v>16</v>
      </c>
      <c r="E105" s="64" t="s">
        <v>186</v>
      </c>
      <c r="G105" s="53" t="s">
        <v>18</v>
      </c>
      <c r="H105" s="60">
        <v>1862</v>
      </c>
      <c r="J105" s="76" t="s">
        <v>187</v>
      </c>
      <c r="K105" s="56" t="s">
        <v>188</v>
      </c>
      <c r="M105" s="76" t="s">
        <v>189</v>
      </c>
      <c r="N105" s="56" t="s">
        <v>190</v>
      </c>
      <c r="O105" s="97" t="s">
        <v>191</v>
      </c>
    </row>
    <row r="106" spans="2:15">
      <c r="B106" s="93"/>
      <c r="E106" s="66"/>
      <c r="G106" s="53" t="s">
        <v>23</v>
      </c>
      <c r="H106" s="60">
        <v>9400</v>
      </c>
      <c r="J106" s="76" t="s">
        <v>192</v>
      </c>
      <c r="K106" s="56" t="s">
        <v>193</v>
      </c>
      <c r="M106" s="76" t="s">
        <v>194</v>
      </c>
      <c r="N106" s="56" t="s">
        <v>195</v>
      </c>
      <c r="O106" s="97" t="s">
        <v>196</v>
      </c>
    </row>
    <row r="107" spans="2:15">
      <c r="B107" s="93"/>
      <c r="E107" s="66"/>
      <c r="G107" s="53" t="s">
        <v>27</v>
      </c>
      <c r="H107" s="60">
        <v>837</v>
      </c>
      <c r="J107" s="76" t="s">
        <v>197</v>
      </c>
      <c r="K107" s="56" t="s">
        <v>198</v>
      </c>
      <c r="M107" s="76" t="s">
        <v>199</v>
      </c>
      <c r="N107" s="56" t="s">
        <v>200</v>
      </c>
      <c r="O107" s="97" t="s">
        <v>201</v>
      </c>
    </row>
    <row r="108" spans="2:15">
      <c r="B108" s="93"/>
      <c r="E108" s="67"/>
      <c r="J108" s="76" t="s">
        <v>202</v>
      </c>
      <c r="K108" s="56" t="s">
        <v>203</v>
      </c>
      <c r="M108" s="76" t="s">
        <v>204</v>
      </c>
      <c r="N108" s="56" t="s">
        <v>205</v>
      </c>
      <c r="O108" s="97" t="s">
        <v>206</v>
      </c>
    </row>
    <row r="109" spans="2:15">
      <c r="B109" s="93"/>
      <c r="G109" s="53" t="s">
        <v>34</v>
      </c>
      <c r="H109" s="68">
        <v>0</v>
      </c>
      <c r="J109" s="76" t="s">
        <v>207</v>
      </c>
      <c r="K109" s="56" t="s">
        <v>208</v>
      </c>
      <c r="M109" s="76" t="s">
        <v>209</v>
      </c>
      <c r="N109" s="56" t="s">
        <v>210</v>
      </c>
      <c r="O109" s="97" t="s">
        <v>211</v>
      </c>
    </row>
    <row r="110" spans="2:15">
      <c r="B110" s="93"/>
      <c r="G110" s="53" t="s">
        <v>36</v>
      </c>
      <c r="H110" s="68">
        <v>0</v>
      </c>
      <c r="J110" s="76" t="s">
        <v>212</v>
      </c>
      <c r="K110" s="56" t="s">
        <v>213</v>
      </c>
      <c r="M110" s="76" t="s">
        <v>214</v>
      </c>
      <c r="N110" s="56" t="s">
        <v>215</v>
      </c>
      <c r="O110" s="97" t="s">
        <v>216</v>
      </c>
    </row>
    <row r="111" spans="2:15">
      <c r="B111" s="93"/>
      <c r="G111" s="53" t="s">
        <v>38</v>
      </c>
      <c r="H111" s="68">
        <v>0</v>
      </c>
      <c r="J111" s="76" t="s">
        <v>217</v>
      </c>
      <c r="K111" s="56" t="s">
        <v>218</v>
      </c>
      <c r="M111" s="76" t="s">
        <v>219</v>
      </c>
      <c r="N111" s="56" t="s">
        <v>220</v>
      </c>
      <c r="O111" s="97" t="s">
        <v>221</v>
      </c>
    </row>
    <row r="112" spans="2:11">
      <c r="B112" s="93"/>
      <c r="G112" s="53" t="s">
        <v>40</v>
      </c>
      <c r="H112" s="68">
        <v>1</v>
      </c>
      <c r="J112" s="76" t="s">
        <v>222</v>
      </c>
      <c r="K112" s="56" t="s">
        <v>223</v>
      </c>
    </row>
    <row r="116" spans="2:8">
      <c r="B116" s="59" t="s">
        <v>224</v>
      </c>
      <c r="D116" s="53" t="s">
        <v>225</v>
      </c>
      <c r="E116" s="60" t="s">
        <v>226</v>
      </c>
      <c r="G116" s="53" t="s">
        <v>227</v>
      </c>
      <c r="H116" s="59" t="s">
        <v>228</v>
      </c>
    </row>
    <row r="117" spans="2:2">
      <c r="B117" s="94" t="s">
        <v>229</v>
      </c>
    </row>
    <row r="118" spans="2:8">
      <c r="B118" s="95"/>
      <c r="D118" s="53" t="s">
        <v>10</v>
      </c>
      <c r="E118" s="60" t="s">
        <v>230</v>
      </c>
      <c r="G118" s="53" t="s">
        <v>231</v>
      </c>
      <c r="H118" s="60">
        <v>78</v>
      </c>
    </row>
    <row r="119" spans="2:14">
      <c r="B119" s="95"/>
      <c r="D119" s="53" t="s">
        <v>232</v>
      </c>
      <c r="E119" s="60"/>
      <c r="G119" s="53" t="s">
        <v>233</v>
      </c>
      <c r="H119" s="60">
        <v>77</v>
      </c>
      <c r="M119" s="53" t="s">
        <v>234</v>
      </c>
      <c r="N119" s="56" t="s">
        <v>235</v>
      </c>
    </row>
    <row r="120" spans="2:14">
      <c r="B120" s="95"/>
      <c r="D120" s="53" t="s">
        <v>236</v>
      </c>
      <c r="E120" s="60" t="s">
        <v>237</v>
      </c>
      <c r="G120" s="53" t="s">
        <v>238</v>
      </c>
      <c r="H120" s="60">
        <v>24</v>
      </c>
      <c r="M120" s="53" t="s">
        <v>225</v>
      </c>
      <c r="N120" s="56" t="s">
        <v>239</v>
      </c>
    </row>
    <row r="121" spans="2:14">
      <c r="B121" s="95"/>
      <c r="G121" s="53" t="s">
        <v>240</v>
      </c>
      <c r="H121" s="60">
        <v>34037</v>
      </c>
      <c r="I121" s="62" t="s">
        <v>241</v>
      </c>
      <c r="M121" s="53" t="s">
        <v>242</v>
      </c>
      <c r="N121" s="56">
        <v>22</v>
      </c>
    </row>
    <row r="122" spans="2:14">
      <c r="B122" s="95"/>
      <c r="G122" s="53" t="s">
        <v>243</v>
      </c>
      <c r="H122" s="59" t="s">
        <v>244</v>
      </c>
      <c r="M122" s="53" t="s">
        <v>245</v>
      </c>
      <c r="N122" s="56" t="s">
        <v>246</v>
      </c>
    </row>
    <row r="123" spans="2:14">
      <c r="B123" s="95"/>
      <c r="M123" s="53" t="s">
        <v>247</v>
      </c>
      <c r="N123" s="56">
        <v>0</v>
      </c>
    </row>
    <row r="124" spans="2:14">
      <c r="B124" s="95"/>
      <c r="M124" s="53" t="s">
        <v>248</v>
      </c>
      <c r="N124" s="56" t="s">
        <v>249</v>
      </c>
    </row>
    <row r="125" spans="2:14">
      <c r="B125" s="95"/>
      <c r="M125" s="53" t="s">
        <v>250</v>
      </c>
      <c r="N125" s="56">
        <v>0</v>
      </c>
    </row>
    <row r="126" spans="2:14">
      <c r="B126" s="95"/>
      <c r="M126" s="53" t="s">
        <v>251</v>
      </c>
      <c r="N126" s="56" t="s">
        <v>252</v>
      </c>
    </row>
    <row r="127" spans="13:14">
      <c r="M127" s="53" t="s">
        <v>253</v>
      </c>
      <c r="N127" s="56">
        <v>0</v>
      </c>
    </row>
  </sheetData>
  <mergeCells count="18">
    <mergeCell ref="B5:B14"/>
    <mergeCell ref="B19:B28"/>
    <mergeCell ref="B33:B42"/>
    <mergeCell ref="B47:B56"/>
    <mergeCell ref="B63:B70"/>
    <mergeCell ref="B75:B84"/>
    <mergeCell ref="B89:B98"/>
    <mergeCell ref="B103:B112"/>
    <mergeCell ref="B117:B126"/>
    <mergeCell ref="E7:E10"/>
    <mergeCell ref="E21:E24"/>
    <mergeCell ref="E35:E38"/>
    <mergeCell ref="E49:E52"/>
    <mergeCell ref="E65:E68"/>
    <mergeCell ref="E77:E80"/>
    <mergeCell ref="E105:E108"/>
    <mergeCell ref="I76:I78"/>
    <mergeCell ref="I90:I92"/>
  </mergeCells>
  <dataValidations count="12">
    <dataValidation type="list" showInputMessage="1" showErrorMessage="1" sqref="B2">
      <formula1>"Main,资14"</formula1>
    </dataValidation>
    <dataValidation type="list" showInputMessage="1" showErrorMessage="1" sqref="K4 K18 H11:H14 H25:H28 H39:H42 H53:H56 H67:H70 H81:H83 H109:H112">
      <formula1>"1,0"</formula1>
    </dataValidation>
    <dataValidation type="list" showInputMessage="1" showErrorMessage="1" sqref="B4 B18 B32 B46 B74 B88 B102 B116 B60:B62">
      <formula1>"导出,不导出"</formula1>
    </dataValidation>
    <dataValidation type="list" showInputMessage="1" showErrorMessage="1" sqref="H4 H18 H32 H46 H60 H74 H102">
      <formula1>"S+,S,A,B"</formula1>
    </dataValidation>
    <dataValidation type="list" allowBlank="1" showInputMessage="1" showErrorMessage="1" sqref="E6 E20 E34 E48 E64 E76 E104 E118">
      <formula1>StrDictionary!$C$5:$C$94</formula1>
    </dataValidation>
    <dataValidation type="list" showInputMessage="1" showErrorMessage="1" sqref="K46">
      <formula1>"单人飞行器,双人飞行器"</formula1>
    </dataValidation>
    <dataValidation type="list" showInputMessage="1" showErrorMessage="1" sqref="H84">
      <formula1>"1,0,-2"</formula1>
    </dataValidation>
    <dataValidation type="list" showInputMessage="1" showErrorMessage="1" sqref="K32">
      <formula1>"单人坐骑,双人坐骑"</formula1>
    </dataValidation>
    <dataValidation type="list" showInputMessage="1" showErrorMessage="1" sqref="K48">
      <formula1>"翅膀,站立,平腿坐,跨坐,风驰幻影跨坐,落缨秒速跨坐,风筝,飞机坐,秋千"</formula1>
    </dataValidation>
    <dataValidation type="list" showInputMessage="1" showErrorMessage="1" sqref="H116">
      <formula1>"单人,双人"</formula1>
    </dataValidation>
    <dataValidation type="list" allowBlank="1" showInputMessage="1" showErrorMessage="1" sqref="H122">
      <formula1>"EffectPoint,CenterPoint"</formula1>
    </dataValidation>
    <dataValidation type="list" allowBlank="1" showInputMessage="1" showErrorMessage="1" sqref="K34:K35">
      <formula1>"跨坐,狮王侧坐,魔像平坐,哈雷跨坐,电驴跨坐,铁骑风暴跨坐,布加油开车,爱玛跨坐,落樱秒速跨坐,绒兔乐队站立,柯小基跨坐,复古机车跨坐,螃蟹侧坐（头朝前）,曙光摩托,秋千,货拉拉-驾驶,货拉拉-乘客"</formula1>
    </dataValidation>
  </dataValidations>
  <pageMargins left="0.7" right="0.7" top="0.75" bottom="0.75" header="0.3" footer="0.3"/>
  <pageSetup paperSize="9" orientation="portrait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Q29"/>
  <sheetViews>
    <sheetView workbookViewId="0">
      <selection activeCell="Q5" sqref="Q5"/>
    </sheetView>
  </sheetViews>
  <sheetFormatPr defaultColWidth="9" defaultRowHeight="14.25"/>
  <cols>
    <col min="14" max="14" width="20" customWidth="1"/>
    <col min="17" max="17" width="10.125" customWidth="1"/>
  </cols>
  <sheetData>
    <row r="2" ht="16.5" spans="3:14">
      <c r="C2" s="53" t="s">
        <v>254</v>
      </c>
      <c r="N2" s="53" t="s">
        <v>255</v>
      </c>
    </row>
    <row r="3" ht="16.5" spans="3:17">
      <c r="C3" s="54"/>
      <c r="D3" s="54" t="s">
        <v>256</v>
      </c>
      <c r="E3" s="54" t="s">
        <v>257</v>
      </c>
      <c r="F3" s="54" t="s">
        <v>258</v>
      </c>
      <c r="G3" s="54" t="s">
        <v>259</v>
      </c>
      <c r="H3" s="54" t="s">
        <v>260</v>
      </c>
      <c r="I3" s="54" t="s">
        <v>261</v>
      </c>
      <c r="J3" s="54" t="s">
        <v>262</v>
      </c>
      <c r="N3" s="54" t="s">
        <v>263</v>
      </c>
      <c r="O3" s="54"/>
      <c r="P3" s="54" t="s">
        <v>264</v>
      </c>
      <c r="Q3" s="54" t="s">
        <v>265</v>
      </c>
    </row>
    <row r="4" ht="16.5" spans="3:17">
      <c r="C4" s="53" t="s">
        <v>266</v>
      </c>
      <c r="D4" s="53">
        <v>4</v>
      </c>
      <c r="E4" s="53">
        <v>24562</v>
      </c>
      <c r="F4" s="53">
        <v>3</v>
      </c>
      <c r="G4" s="53">
        <v>50</v>
      </c>
      <c r="H4" s="53">
        <v>350</v>
      </c>
      <c r="I4" s="53">
        <v>1160</v>
      </c>
      <c r="J4" s="55">
        <f>I4</f>
        <v>1160</v>
      </c>
      <c r="N4">
        <v>0</v>
      </c>
      <c r="O4" t="s">
        <v>267</v>
      </c>
      <c r="P4" t="s">
        <v>268</v>
      </c>
      <c r="Q4" s="56" t="s">
        <v>52</v>
      </c>
    </row>
    <row r="5" ht="16.5" spans="3:17">
      <c r="C5" s="53" t="s">
        <v>269</v>
      </c>
      <c r="D5" s="53">
        <v>3</v>
      </c>
      <c r="E5" s="53">
        <v>24562</v>
      </c>
      <c r="F5" s="53">
        <v>2</v>
      </c>
      <c r="G5" s="53">
        <v>30</v>
      </c>
      <c r="H5" s="53">
        <v>150</v>
      </c>
      <c r="I5" s="53">
        <v>580</v>
      </c>
      <c r="J5" s="53">
        <v>510</v>
      </c>
      <c r="N5">
        <v>4</v>
      </c>
      <c r="O5" t="s">
        <v>267</v>
      </c>
      <c r="P5" t="s">
        <v>270</v>
      </c>
      <c r="Q5" s="56" t="s">
        <v>271</v>
      </c>
    </row>
    <row r="6" ht="16.5" spans="3:17">
      <c r="C6" s="53" t="s">
        <v>272</v>
      </c>
      <c r="D6" s="53">
        <v>2</v>
      </c>
      <c r="E6" s="53">
        <v>24561</v>
      </c>
      <c r="F6" s="53">
        <v>5</v>
      </c>
      <c r="G6" s="53">
        <v>15</v>
      </c>
      <c r="H6" s="53">
        <v>75</v>
      </c>
      <c r="I6" s="53">
        <v>300</v>
      </c>
      <c r="J6" s="53">
        <v>265</v>
      </c>
      <c r="N6">
        <v>24</v>
      </c>
      <c r="O6" t="s">
        <v>267</v>
      </c>
      <c r="P6" t="s">
        <v>273</v>
      </c>
      <c r="Q6" s="56" t="s">
        <v>274</v>
      </c>
    </row>
    <row r="7" ht="16.5" spans="3:17">
      <c r="C7" s="53" t="s">
        <v>275</v>
      </c>
      <c r="D7" s="53">
        <v>1</v>
      </c>
      <c r="E7" s="53">
        <v>24561</v>
      </c>
      <c r="F7" s="53">
        <v>4</v>
      </c>
      <c r="G7" s="53">
        <v>10</v>
      </c>
      <c r="H7" s="53">
        <v>50</v>
      </c>
      <c r="I7" s="53">
        <v>190</v>
      </c>
      <c r="J7" s="53">
        <v>168</v>
      </c>
      <c r="N7">
        <v>19</v>
      </c>
      <c r="O7" t="s">
        <v>267</v>
      </c>
      <c r="P7" t="s">
        <v>276</v>
      </c>
      <c r="Q7" s="56" t="s">
        <v>277</v>
      </c>
    </row>
    <row r="8" ht="16.5" spans="3:17">
      <c r="C8" s="53" t="s">
        <v>278</v>
      </c>
      <c r="D8" s="53">
        <v>4</v>
      </c>
      <c r="E8" s="53">
        <v>24562</v>
      </c>
      <c r="F8" s="53">
        <v>5</v>
      </c>
      <c r="G8" s="53">
        <v>250</v>
      </c>
      <c r="H8" s="53">
        <v>1200</v>
      </c>
      <c r="I8" s="53">
        <v>4980</v>
      </c>
      <c r="J8" s="55">
        <f>I8</f>
        <v>4980</v>
      </c>
      <c r="N8">
        <v>2</v>
      </c>
      <c r="O8" t="s">
        <v>267</v>
      </c>
      <c r="P8" t="s">
        <v>279</v>
      </c>
      <c r="Q8" s="56" t="s">
        <v>280</v>
      </c>
    </row>
    <row r="9" ht="16.5" spans="3:17">
      <c r="C9" s="53" t="s">
        <v>281</v>
      </c>
      <c r="D9" s="53">
        <v>3</v>
      </c>
      <c r="E9" s="53">
        <v>24562</v>
      </c>
      <c r="F9" s="53">
        <v>4</v>
      </c>
      <c r="G9" s="53">
        <v>100</v>
      </c>
      <c r="H9" s="53">
        <v>460</v>
      </c>
      <c r="I9" s="53">
        <v>1980</v>
      </c>
      <c r="J9" s="53">
        <v>1750</v>
      </c>
      <c r="N9">
        <v>1</v>
      </c>
      <c r="O9" t="s">
        <v>267</v>
      </c>
      <c r="P9" t="s">
        <v>282</v>
      </c>
      <c r="Q9" s="56" t="s">
        <v>283</v>
      </c>
    </row>
    <row r="10" ht="16.5" spans="3:10">
      <c r="C10" s="53" t="s">
        <v>284</v>
      </c>
      <c r="D10" s="53">
        <v>2</v>
      </c>
      <c r="E10" s="53">
        <v>24561</v>
      </c>
      <c r="F10" s="53">
        <v>10</v>
      </c>
      <c r="G10" s="53">
        <v>50</v>
      </c>
      <c r="H10" s="53">
        <v>250</v>
      </c>
      <c r="I10" s="53">
        <v>980</v>
      </c>
      <c r="J10" s="53">
        <v>860</v>
      </c>
    </row>
    <row r="11" ht="16.5" spans="3:10">
      <c r="C11" s="53" t="s">
        <v>285</v>
      </c>
      <c r="D11" s="53">
        <v>1</v>
      </c>
      <c r="E11" s="53">
        <v>24561</v>
      </c>
      <c r="F11" s="53">
        <v>8</v>
      </c>
      <c r="G11" s="53">
        <v>30</v>
      </c>
      <c r="H11" s="53">
        <v>150</v>
      </c>
      <c r="I11" s="53">
        <v>580</v>
      </c>
      <c r="J11" s="53">
        <v>510</v>
      </c>
    </row>
    <row r="12" ht="16.5" spans="3:10">
      <c r="C12" s="53" t="s">
        <v>286</v>
      </c>
      <c r="D12" s="53">
        <v>4</v>
      </c>
      <c r="E12" s="53"/>
      <c r="F12" s="53"/>
      <c r="G12" s="53">
        <v>100</v>
      </c>
      <c r="H12" s="53">
        <v>540</v>
      </c>
      <c r="I12" s="53">
        <v>2240</v>
      </c>
      <c r="J12" s="55">
        <f>I12</f>
        <v>2240</v>
      </c>
    </row>
    <row r="13" ht="16.5" spans="3:10">
      <c r="C13" s="53" t="s">
        <v>287</v>
      </c>
      <c r="D13" s="53">
        <v>3</v>
      </c>
      <c r="E13" s="53"/>
      <c r="F13" s="53"/>
      <c r="G13" s="53">
        <v>80</v>
      </c>
      <c r="H13" s="53">
        <v>480</v>
      </c>
      <c r="I13" s="53">
        <v>2080</v>
      </c>
      <c r="J13" s="53">
        <v>1830</v>
      </c>
    </row>
    <row r="14" ht="16.5" spans="3:10">
      <c r="C14" s="53" t="s">
        <v>288</v>
      </c>
      <c r="D14" s="53">
        <v>2</v>
      </c>
      <c r="E14" s="53"/>
      <c r="F14" s="53"/>
      <c r="G14" s="53">
        <v>50</v>
      </c>
      <c r="H14" s="53">
        <v>260</v>
      </c>
      <c r="I14" s="53">
        <v>1080</v>
      </c>
      <c r="J14" s="53">
        <v>950</v>
      </c>
    </row>
    <row r="15" ht="16.5" spans="3:10">
      <c r="C15" s="53" t="s">
        <v>289</v>
      </c>
      <c r="D15" s="53">
        <v>1</v>
      </c>
      <c r="E15" s="53"/>
      <c r="F15" s="53"/>
      <c r="G15" s="53">
        <v>30</v>
      </c>
      <c r="H15" s="53">
        <v>120</v>
      </c>
      <c r="I15" s="53">
        <v>680</v>
      </c>
      <c r="J15" s="53">
        <v>600</v>
      </c>
    </row>
    <row r="16" ht="16.5" spans="3:10">
      <c r="C16" s="53" t="s">
        <v>290</v>
      </c>
      <c r="D16" s="53">
        <v>4</v>
      </c>
      <c r="G16" s="53">
        <v>250</v>
      </c>
      <c r="H16" s="53">
        <v>1450</v>
      </c>
      <c r="I16" s="53">
        <v>5680</v>
      </c>
      <c r="J16" s="55">
        <f>I16</f>
        <v>5680</v>
      </c>
    </row>
    <row r="17" ht="16.5" spans="3:10">
      <c r="C17" s="53" t="s">
        <v>291</v>
      </c>
      <c r="D17" s="53">
        <v>3</v>
      </c>
      <c r="G17" s="53">
        <v>150</v>
      </c>
      <c r="H17" s="53">
        <v>980</v>
      </c>
      <c r="I17" s="53">
        <v>3680</v>
      </c>
      <c r="J17" s="53">
        <v>3250</v>
      </c>
    </row>
    <row r="18" ht="16.5" spans="3:10">
      <c r="C18" s="53" t="s">
        <v>292</v>
      </c>
      <c r="D18" s="53">
        <v>2</v>
      </c>
      <c r="G18" s="53">
        <v>100</v>
      </c>
      <c r="H18" s="53">
        <v>540</v>
      </c>
      <c r="I18" s="53">
        <v>2240</v>
      </c>
      <c r="J18" s="53">
        <v>1980</v>
      </c>
    </row>
    <row r="19" ht="16.5" spans="3:14">
      <c r="C19" s="53" t="s">
        <v>293</v>
      </c>
      <c r="D19" s="53">
        <v>1</v>
      </c>
      <c r="G19" s="53">
        <v>80</v>
      </c>
      <c r="H19" s="53">
        <v>405</v>
      </c>
      <c r="I19" s="53">
        <v>1680</v>
      </c>
      <c r="J19" s="53">
        <v>1480</v>
      </c>
      <c r="N19" s="53" t="s">
        <v>294</v>
      </c>
    </row>
    <row r="20" ht="16.5" spans="3:10">
      <c r="C20" s="53" t="s">
        <v>295</v>
      </c>
      <c r="D20" s="53">
        <v>4</v>
      </c>
      <c r="G20" s="53">
        <v>250</v>
      </c>
      <c r="H20" s="53">
        <v>460</v>
      </c>
      <c r="I20" s="53">
        <v>1980</v>
      </c>
      <c r="J20" s="55">
        <f>I20</f>
        <v>1980</v>
      </c>
    </row>
    <row r="21" ht="16.5" spans="3:15">
      <c r="C21" s="53" t="s">
        <v>296</v>
      </c>
      <c r="D21" s="53">
        <v>3</v>
      </c>
      <c r="G21" s="53">
        <v>100</v>
      </c>
      <c r="H21" s="53">
        <v>250</v>
      </c>
      <c r="I21" s="53">
        <v>980</v>
      </c>
      <c r="J21" s="55">
        <f>I21</f>
        <v>980</v>
      </c>
      <c r="L21" s="18" t="s">
        <v>297</v>
      </c>
      <c r="M21" s="53">
        <v>1</v>
      </c>
      <c r="N21" s="18" t="s">
        <v>298</v>
      </c>
      <c r="O21" s="18" t="s">
        <v>299</v>
      </c>
    </row>
    <row r="22" ht="16.5" spans="3:15">
      <c r="C22" s="53" t="s">
        <v>300</v>
      </c>
      <c r="D22" s="53">
        <v>2</v>
      </c>
      <c r="G22" s="53"/>
      <c r="H22" s="53"/>
      <c r="I22" s="53"/>
      <c r="L22" s="18" t="s">
        <v>6</v>
      </c>
      <c r="M22">
        <v>2</v>
      </c>
      <c r="N22" s="18" t="s">
        <v>301</v>
      </c>
      <c r="O22" s="18" t="s">
        <v>302</v>
      </c>
    </row>
    <row r="23" ht="16.5" spans="3:15">
      <c r="C23" s="53" t="s">
        <v>303</v>
      </c>
      <c r="D23" s="53">
        <v>1</v>
      </c>
      <c r="G23" s="53"/>
      <c r="H23" s="53"/>
      <c r="I23" s="53"/>
      <c r="L23" s="18" t="s">
        <v>84</v>
      </c>
      <c r="M23" s="53">
        <v>3</v>
      </c>
      <c r="N23" s="18" t="s">
        <v>304</v>
      </c>
      <c r="O23" s="18" t="s">
        <v>305</v>
      </c>
    </row>
    <row r="24" ht="16.5" spans="3:15">
      <c r="C24" s="53" t="s">
        <v>306</v>
      </c>
      <c r="D24" s="53">
        <v>4</v>
      </c>
      <c r="G24" s="53">
        <v>90</v>
      </c>
      <c r="H24" s="53">
        <v>430</v>
      </c>
      <c r="I24" s="53">
        <v>1740</v>
      </c>
      <c r="J24" s="55">
        <f t="shared" ref="J24:J27" si="0">I24</f>
        <v>1740</v>
      </c>
      <c r="L24" s="18" t="s">
        <v>59</v>
      </c>
      <c r="M24" s="53">
        <v>4</v>
      </c>
      <c r="N24" s="18" t="s">
        <v>307</v>
      </c>
      <c r="O24" s="18" t="s">
        <v>308</v>
      </c>
    </row>
    <row r="25" ht="16.5" spans="3:10">
      <c r="C25" s="53" t="s">
        <v>309</v>
      </c>
      <c r="D25" s="53">
        <v>3</v>
      </c>
      <c r="G25" s="53">
        <v>50</v>
      </c>
      <c r="H25" s="53">
        <v>220</v>
      </c>
      <c r="I25" s="53">
        <v>880</v>
      </c>
      <c r="J25" s="55">
        <f t="shared" si="0"/>
        <v>880</v>
      </c>
    </row>
    <row r="26" ht="16.5" spans="3:10">
      <c r="C26" s="53" t="s">
        <v>310</v>
      </c>
      <c r="D26" s="53">
        <v>2</v>
      </c>
      <c r="G26" s="53">
        <v>25</v>
      </c>
      <c r="H26" s="53">
        <v>120</v>
      </c>
      <c r="I26" s="53">
        <v>450</v>
      </c>
      <c r="J26" s="55">
        <f t="shared" si="0"/>
        <v>450</v>
      </c>
    </row>
    <row r="27" ht="16.5" spans="3:10">
      <c r="C27" s="53" t="s">
        <v>311</v>
      </c>
      <c r="D27" s="53">
        <v>1</v>
      </c>
      <c r="G27" s="53">
        <v>15</v>
      </c>
      <c r="H27" s="53">
        <v>70</v>
      </c>
      <c r="I27" s="53">
        <v>280</v>
      </c>
      <c r="J27" s="55">
        <f t="shared" si="0"/>
        <v>280</v>
      </c>
    </row>
    <row r="28" ht="16.5" spans="7:9">
      <c r="G28" s="53"/>
      <c r="H28" s="53"/>
      <c r="I28" s="53"/>
    </row>
    <row r="29" ht="16.5" spans="7:9">
      <c r="G29" s="53"/>
      <c r="H29" s="53"/>
      <c r="I29" s="53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1"/>
  <sheetViews>
    <sheetView workbookViewId="0">
      <selection activeCell="A5" sqref="A5:C76"/>
    </sheetView>
  </sheetViews>
  <sheetFormatPr defaultColWidth="9" defaultRowHeight="14.25" outlineLevelCol="3"/>
  <cols>
    <col min="2" max="2" width="17.375" customWidth="1"/>
    <col min="3" max="3" width="17.125" customWidth="1"/>
  </cols>
  <sheetData>
    <row r="1" spans="1:3">
      <c r="A1" s="1" t="s">
        <v>312</v>
      </c>
      <c r="B1" s="1" t="s">
        <v>313</v>
      </c>
      <c r="C1" s="1" t="s">
        <v>314</v>
      </c>
    </row>
    <row r="2" spans="1:3">
      <c r="A2" s="1" t="s">
        <v>315</v>
      </c>
      <c r="B2" s="1" t="s">
        <v>316</v>
      </c>
      <c r="C2" s="1" t="s">
        <v>316</v>
      </c>
    </row>
    <row r="3" spans="1:3">
      <c r="A3" s="1" t="s">
        <v>317</v>
      </c>
      <c r="B3" s="1"/>
      <c r="C3" s="1"/>
    </row>
    <row r="4" spans="1:3">
      <c r="A4" s="1" t="s">
        <v>318</v>
      </c>
      <c r="B4" s="1" t="s">
        <v>319</v>
      </c>
      <c r="C4" s="1" t="s">
        <v>320</v>
      </c>
    </row>
    <row r="5" s="2" customFormat="1" spans="1:3">
      <c r="A5" s="2">
        <v>23400</v>
      </c>
      <c r="B5" s="2" t="s">
        <v>321</v>
      </c>
      <c r="C5" s="2" t="s">
        <v>322</v>
      </c>
    </row>
    <row r="6" s="2" customFormat="1" spans="1:3">
      <c r="A6" s="2">
        <v>23401</v>
      </c>
      <c r="B6" s="2" t="s">
        <v>321</v>
      </c>
      <c r="C6" s="2" t="s">
        <v>63</v>
      </c>
    </row>
    <row r="7" s="2" customFormat="1" spans="1:3">
      <c r="A7" s="2">
        <v>23402</v>
      </c>
      <c r="B7" s="2" t="s">
        <v>321</v>
      </c>
      <c r="C7" s="2" t="s">
        <v>11</v>
      </c>
    </row>
    <row r="8" s="2" customFormat="1" spans="1:3">
      <c r="A8" s="2">
        <v>23403</v>
      </c>
      <c r="B8" s="2" t="s">
        <v>321</v>
      </c>
      <c r="C8" s="2" t="s">
        <v>230</v>
      </c>
    </row>
    <row r="9" s="2" customFormat="1" spans="1:3">
      <c r="A9" s="2">
        <v>23404</v>
      </c>
      <c r="B9" s="2" t="s">
        <v>321</v>
      </c>
      <c r="C9" s="2" t="s">
        <v>323</v>
      </c>
    </row>
    <row r="10" s="2" customFormat="1" spans="1:3">
      <c r="A10" s="2">
        <v>23405</v>
      </c>
      <c r="B10" s="2" t="s">
        <v>321</v>
      </c>
      <c r="C10" s="2" t="s">
        <v>324</v>
      </c>
    </row>
    <row r="11" s="2" customFormat="1" spans="1:3">
      <c r="A11" s="2">
        <v>23406</v>
      </c>
      <c r="B11" s="2" t="s">
        <v>321</v>
      </c>
      <c r="C11" s="2" t="s">
        <v>325</v>
      </c>
    </row>
    <row r="12" s="2" customFormat="1" spans="1:3">
      <c r="A12" s="2">
        <v>23407</v>
      </c>
      <c r="B12" s="2" t="s">
        <v>321</v>
      </c>
      <c r="C12" s="2" t="s">
        <v>326</v>
      </c>
    </row>
    <row r="13" s="2" customFormat="1" spans="1:3">
      <c r="A13" s="2">
        <v>23408</v>
      </c>
      <c r="B13" s="2" t="s">
        <v>321</v>
      </c>
      <c r="C13" s="2" t="s">
        <v>327</v>
      </c>
    </row>
    <row r="14" s="2" customFormat="1" spans="1:3">
      <c r="A14" s="2">
        <v>23409</v>
      </c>
      <c r="B14" s="2" t="s">
        <v>321</v>
      </c>
      <c r="C14" s="2" t="s">
        <v>328</v>
      </c>
    </row>
    <row r="15" s="2" customFormat="1" spans="1:3">
      <c r="A15" s="2">
        <v>23410</v>
      </c>
      <c r="B15" s="2" t="s">
        <v>321</v>
      </c>
      <c r="C15" s="2" t="s">
        <v>329</v>
      </c>
    </row>
    <row r="16" s="2" customFormat="1" spans="1:3">
      <c r="A16" s="2">
        <v>23411</v>
      </c>
      <c r="B16" s="2" t="s">
        <v>321</v>
      </c>
      <c r="C16" s="2" t="s">
        <v>330</v>
      </c>
    </row>
    <row r="17" s="2" customFormat="1" spans="1:3">
      <c r="A17" s="2">
        <v>23412</v>
      </c>
      <c r="B17" s="2" t="s">
        <v>321</v>
      </c>
      <c r="C17" s="2" t="s">
        <v>331</v>
      </c>
    </row>
    <row r="18" s="2" customFormat="1" spans="1:3">
      <c r="A18" s="2">
        <v>23413</v>
      </c>
      <c r="B18" s="2" t="s">
        <v>321</v>
      </c>
      <c r="C18" s="2" t="s">
        <v>332</v>
      </c>
    </row>
    <row r="19" s="2" customFormat="1" spans="1:3">
      <c r="A19" s="2">
        <v>23414</v>
      </c>
      <c r="B19" s="2" t="s">
        <v>321</v>
      </c>
      <c r="C19" s="2" t="s">
        <v>333</v>
      </c>
    </row>
    <row r="20" s="2" customFormat="1" spans="1:3">
      <c r="A20" s="2">
        <v>23415</v>
      </c>
      <c r="B20" s="2" t="s">
        <v>321</v>
      </c>
      <c r="C20" s="2" t="s">
        <v>334</v>
      </c>
    </row>
    <row r="21" s="2" customFormat="1" spans="1:3">
      <c r="A21" s="2">
        <v>23416</v>
      </c>
      <c r="B21" s="2" t="s">
        <v>321</v>
      </c>
      <c r="C21" s="2" t="s">
        <v>335</v>
      </c>
    </row>
    <row r="22" s="2" customFormat="1" spans="1:3">
      <c r="A22" s="2">
        <v>23417</v>
      </c>
      <c r="B22" s="2" t="s">
        <v>321</v>
      </c>
      <c r="C22" s="2" t="s">
        <v>336</v>
      </c>
    </row>
    <row r="23" s="2" customFormat="1" spans="1:3">
      <c r="A23" s="2">
        <v>23418</v>
      </c>
      <c r="B23" s="2" t="s">
        <v>321</v>
      </c>
      <c r="C23" s="2" t="s">
        <v>337</v>
      </c>
    </row>
    <row r="24" s="2" customFormat="1" spans="1:3">
      <c r="A24" s="2">
        <v>23419</v>
      </c>
      <c r="B24" s="2" t="s">
        <v>321</v>
      </c>
      <c r="C24" s="2" t="s">
        <v>338</v>
      </c>
    </row>
    <row r="25" s="2" customFormat="1" spans="1:3">
      <c r="A25" s="2">
        <v>23420</v>
      </c>
      <c r="B25" s="2" t="s">
        <v>321</v>
      </c>
      <c r="C25" s="2" t="s">
        <v>339</v>
      </c>
    </row>
    <row r="26" s="2" customFormat="1" spans="1:3">
      <c r="A26" s="2">
        <v>23421</v>
      </c>
      <c r="B26" s="2" t="s">
        <v>321</v>
      </c>
      <c r="C26" s="2" t="s">
        <v>340</v>
      </c>
    </row>
    <row r="27" s="2" customFormat="1" spans="1:3">
      <c r="A27" s="2">
        <v>23422</v>
      </c>
      <c r="B27" s="2" t="s">
        <v>321</v>
      </c>
      <c r="C27" s="2" t="s">
        <v>341</v>
      </c>
    </row>
    <row r="28" s="2" customFormat="1" spans="1:3">
      <c r="A28" s="2">
        <v>23423</v>
      </c>
      <c r="B28" s="2" t="s">
        <v>321</v>
      </c>
      <c r="C28" s="2" t="s">
        <v>342</v>
      </c>
    </row>
    <row r="29" s="2" customFormat="1" spans="1:3">
      <c r="A29" s="2">
        <v>23424</v>
      </c>
      <c r="B29" s="2" t="s">
        <v>321</v>
      </c>
      <c r="C29" s="2" t="s">
        <v>343</v>
      </c>
    </row>
    <row r="30" s="2" customFormat="1" spans="1:3">
      <c r="A30" s="2">
        <v>23425</v>
      </c>
      <c r="B30" s="2" t="s">
        <v>321</v>
      </c>
      <c r="C30" s="2" t="s">
        <v>344</v>
      </c>
    </row>
    <row r="31" s="2" customFormat="1" spans="1:3">
      <c r="A31" s="2">
        <v>23426</v>
      </c>
      <c r="B31" s="2" t="s">
        <v>321</v>
      </c>
      <c r="C31" s="2" t="s">
        <v>345</v>
      </c>
    </row>
    <row r="32" s="2" customFormat="1" spans="1:3">
      <c r="A32" s="2">
        <v>23427</v>
      </c>
      <c r="B32" s="2" t="s">
        <v>321</v>
      </c>
      <c r="C32" s="2" t="s">
        <v>346</v>
      </c>
    </row>
    <row r="33" s="2" customFormat="1" spans="1:3">
      <c r="A33" s="2">
        <v>23428</v>
      </c>
      <c r="B33" s="2" t="s">
        <v>321</v>
      </c>
      <c r="C33" s="2" t="s">
        <v>347</v>
      </c>
    </row>
    <row r="34" s="2" customFormat="1" spans="1:3">
      <c r="A34" s="2">
        <v>23429</v>
      </c>
      <c r="B34" s="2" t="s">
        <v>321</v>
      </c>
      <c r="C34" s="2" t="s">
        <v>348</v>
      </c>
    </row>
    <row r="35" s="2" customFormat="1" spans="1:3">
      <c r="A35" s="2">
        <v>23430</v>
      </c>
      <c r="B35" s="2" t="s">
        <v>321</v>
      </c>
      <c r="C35" s="2" t="s">
        <v>349</v>
      </c>
    </row>
    <row r="36" s="2" customFormat="1" spans="1:3">
      <c r="A36" s="2">
        <v>23431</v>
      </c>
      <c r="B36" s="2" t="s">
        <v>321</v>
      </c>
      <c r="C36" s="2" t="s">
        <v>350</v>
      </c>
    </row>
    <row r="37" s="2" customFormat="1" spans="1:3">
      <c r="A37" s="2">
        <v>23432</v>
      </c>
      <c r="B37" s="2" t="s">
        <v>321</v>
      </c>
      <c r="C37" s="2" t="s">
        <v>351</v>
      </c>
    </row>
    <row r="38" s="2" customFormat="1" spans="1:3">
      <c r="A38" s="2">
        <v>23433</v>
      </c>
      <c r="B38" s="2" t="s">
        <v>321</v>
      </c>
      <c r="C38" s="2" t="s">
        <v>352</v>
      </c>
    </row>
    <row r="39" s="2" customFormat="1" spans="1:3">
      <c r="A39" s="2">
        <v>23434</v>
      </c>
      <c r="B39" s="2" t="s">
        <v>321</v>
      </c>
      <c r="C39" s="2" t="s">
        <v>353</v>
      </c>
    </row>
    <row r="40" s="2" customFormat="1" spans="1:3">
      <c r="A40" s="2">
        <v>23435</v>
      </c>
      <c r="B40" s="2" t="s">
        <v>321</v>
      </c>
      <c r="C40" s="2" t="s">
        <v>354</v>
      </c>
    </row>
    <row r="41" s="2" customFormat="1" spans="1:3">
      <c r="A41" s="2">
        <v>23436</v>
      </c>
      <c r="B41" s="2" t="s">
        <v>321</v>
      </c>
      <c r="C41" s="2" t="s">
        <v>355</v>
      </c>
    </row>
    <row r="42" s="2" customFormat="1" spans="1:3">
      <c r="A42" s="2">
        <v>23437</v>
      </c>
      <c r="B42" s="2" t="s">
        <v>321</v>
      </c>
      <c r="C42" s="2" t="s">
        <v>356</v>
      </c>
    </row>
    <row r="43" s="2" customFormat="1" spans="1:3">
      <c r="A43" s="2">
        <v>23438</v>
      </c>
      <c r="B43" s="2" t="s">
        <v>321</v>
      </c>
      <c r="C43" s="2" t="s">
        <v>357</v>
      </c>
    </row>
    <row r="44" s="2" customFormat="1" spans="1:3">
      <c r="A44" s="2">
        <v>23439</v>
      </c>
      <c r="B44" s="2" t="s">
        <v>321</v>
      </c>
      <c r="C44" s="2" t="s">
        <v>358</v>
      </c>
    </row>
    <row r="45" s="2" customFormat="1" spans="1:3">
      <c r="A45" s="2">
        <v>23440</v>
      </c>
      <c r="B45" s="2" t="s">
        <v>321</v>
      </c>
      <c r="C45" s="2" t="s">
        <v>359</v>
      </c>
    </row>
    <row r="46" s="2" customFormat="1" spans="1:3">
      <c r="A46" s="2">
        <v>23441</v>
      </c>
      <c r="B46" s="2" t="s">
        <v>321</v>
      </c>
      <c r="C46" s="2" t="s">
        <v>360</v>
      </c>
    </row>
    <row r="47" s="2" customFormat="1" spans="1:3">
      <c r="A47" s="2">
        <v>23442</v>
      </c>
      <c r="B47" s="2" t="s">
        <v>321</v>
      </c>
      <c r="C47" s="2" t="s">
        <v>361</v>
      </c>
    </row>
    <row r="48" s="2" customFormat="1" spans="1:3">
      <c r="A48" s="2">
        <v>23443</v>
      </c>
      <c r="B48" s="2" t="s">
        <v>321</v>
      </c>
      <c r="C48" s="2" t="s">
        <v>362</v>
      </c>
    </row>
    <row r="49" s="2" customFormat="1" spans="1:3">
      <c r="A49" s="2">
        <v>23444</v>
      </c>
      <c r="B49" s="2" t="s">
        <v>321</v>
      </c>
      <c r="C49" s="2" t="s">
        <v>363</v>
      </c>
    </row>
    <row r="50" s="2" customFormat="1" spans="1:3">
      <c r="A50" s="2">
        <v>23445</v>
      </c>
      <c r="B50" s="2" t="s">
        <v>321</v>
      </c>
      <c r="C50" s="2" t="s">
        <v>364</v>
      </c>
    </row>
    <row r="51" s="2" customFormat="1" spans="1:3">
      <c r="A51" s="2">
        <v>23446</v>
      </c>
      <c r="B51" s="2" t="s">
        <v>321</v>
      </c>
      <c r="C51" s="2" t="s">
        <v>365</v>
      </c>
    </row>
    <row r="52" s="2" customFormat="1" spans="1:3">
      <c r="A52" s="2">
        <v>23447</v>
      </c>
      <c r="B52" s="2" t="s">
        <v>321</v>
      </c>
      <c r="C52" s="2" t="s">
        <v>117</v>
      </c>
    </row>
    <row r="53" s="2" customFormat="1" spans="1:3">
      <c r="A53" s="2">
        <v>23448</v>
      </c>
      <c r="B53" s="2" t="s">
        <v>321</v>
      </c>
      <c r="C53" s="2" t="s">
        <v>366</v>
      </c>
    </row>
    <row r="54" s="2" customFormat="1" spans="1:3">
      <c r="A54" s="2">
        <v>23449</v>
      </c>
      <c r="B54" s="2" t="s">
        <v>321</v>
      </c>
      <c r="C54" s="2" t="s">
        <v>367</v>
      </c>
    </row>
    <row r="55" s="2" customFormat="1" spans="1:3">
      <c r="A55" s="2">
        <v>23450</v>
      </c>
      <c r="B55" s="2" t="s">
        <v>321</v>
      </c>
      <c r="C55" s="2" t="s">
        <v>368</v>
      </c>
    </row>
    <row r="56" s="2" customFormat="1" spans="1:3">
      <c r="A56" s="2">
        <v>23451</v>
      </c>
      <c r="B56" s="2" t="s">
        <v>321</v>
      </c>
      <c r="C56" s="2" t="s">
        <v>369</v>
      </c>
    </row>
    <row r="57" s="2" customFormat="1" spans="1:3">
      <c r="A57" s="2">
        <v>23452</v>
      </c>
      <c r="B57" s="2" t="s">
        <v>321</v>
      </c>
      <c r="C57" s="2" t="s">
        <v>370</v>
      </c>
    </row>
    <row r="58" s="2" customFormat="1" spans="1:3">
      <c r="A58" s="2">
        <v>23453</v>
      </c>
      <c r="B58" s="2" t="s">
        <v>321</v>
      </c>
      <c r="C58" s="2" t="s">
        <v>371</v>
      </c>
    </row>
    <row r="59" s="2" customFormat="1" spans="1:3">
      <c r="A59" s="2">
        <v>23454</v>
      </c>
      <c r="B59" s="2" t="s">
        <v>321</v>
      </c>
      <c r="C59" s="2" t="s">
        <v>372</v>
      </c>
    </row>
    <row r="60" s="2" customFormat="1" spans="1:3">
      <c r="A60" s="2">
        <v>23455</v>
      </c>
      <c r="B60" s="2" t="s">
        <v>321</v>
      </c>
      <c r="C60" s="2" t="s">
        <v>373</v>
      </c>
    </row>
    <row r="61" s="2" customFormat="1" spans="1:3">
      <c r="A61" s="2">
        <v>23456</v>
      </c>
      <c r="B61" s="2" t="s">
        <v>321</v>
      </c>
      <c r="C61" s="2" t="s">
        <v>374</v>
      </c>
    </row>
    <row r="62" s="2" customFormat="1" spans="1:3">
      <c r="A62" s="2">
        <v>23457</v>
      </c>
      <c r="B62" s="2" t="s">
        <v>321</v>
      </c>
      <c r="C62" s="2" t="s">
        <v>375</v>
      </c>
    </row>
    <row r="63" s="2" customFormat="1" spans="1:3">
      <c r="A63" s="2">
        <v>23458</v>
      </c>
      <c r="B63" s="2" t="s">
        <v>321</v>
      </c>
      <c r="C63" s="2" t="s">
        <v>376</v>
      </c>
    </row>
    <row r="64" s="2" customFormat="1" spans="1:3">
      <c r="A64" s="2">
        <v>23459</v>
      </c>
      <c r="B64" s="2" t="s">
        <v>321</v>
      </c>
      <c r="C64" s="2" t="s">
        <v>377</v>
      </c>
    </row>
    <row r="65" s="2" customFormat="1" spans="1:3">
      <c r="A65" s="2">
        <v>23460</v>
      </c>
      <c r="B65" s="2" t="s">
        <v>321</v>
      </c>
      <c r="C65" s="2" t="s">
        <v>378</v>
      </c>
    </row>
    <row r="66" s="2" customFormat="1" spans="1:3">
      <c r="A66" s="2">
        <v>23461</v>
      </c>
      <c r="B66" s="2" t="s">
        <v>321</v>
      </c>
      <c r="C66" s="2" t="s">
        <v>379</v>
      </c>
    </row>
    <row r="67" s="2" customFormat="1" spans="1:3">
      <c r="A67" s="2">
        <v>23462</v>
      </c>
      <c r="B67" s="2" t="s">
        <v>321</v>
      </c>
      <c r="C67" s="2" t="s">
        <v>380</v>
      </c>
    </row>
    <row r="68" s="2" customFormat="1" spans="1:3">
      <c r="A68" s="2">
        <v>23463</v>
      </c>
      <c r="B68" s="2" t="s">
        <v>321</v>
      </c>
      <c r="C68" s="2" t="s">
        <v>381</v>
      </c>
    </row>
    <row r="69" s="2" customFormat="1" spans="1:3">
      <c r="A69" s="2">
        <v>23464</v>
      </c>
      <c r="B69" s="2" t="s">
        <v>321</v>
      </c>
      <c r="C69" s="2" t="s">
        <v>382</v>
      </c>
    </row>
    <row r="70" s="2" customFormat="1" spans="1:3">
      <c r="A70" s="2">
        <v>23465</v>
      </c>
      <c r="B70" s="2" t="s">
        <v>321</v>
      </c>
      <c r="C70" s="2" t="s">
        <v>383</v>
      </c>
    </row>
    <row r="71" s="2" customFormat="1" spans="1:3">
      <c r="A71" s="2">
        <v>23466</v>
      </c>
      <c r="B71" s="2" t="s">
        <v>321</v>
      </c>
      <c r="C71" s="2" t="s">
        <v>384</v>
      </c>
    </row>
    <row r="72" s="2" customFormat="1" spans="1:3">
      <c r="A72" s="2">
        <v>23467</v>
      </c>
      <c r="B72" s="2" t="s">
        <v>321</v>
      </c>
      <c r="C72" s="2" t="s">
        <v>385</v>
      </c>
    </row>
    <row r="73" s="2" customFormat="1" spans="1:3">
      <c r="A73" s="2">
        <v>23468</v>
      </c>
      <c r="B73" s="2" t="s">
        <v>321</v>
      </c>
      <c r="C73" s="2" t="s">
        <v>386</v>
      </c>
    </row>
    <row r="74" s="2" customFormat="1" spans="1:3">
      <c r="A74" s="2">
        <v>23469</v>
      </c>
      <c r="B74" s="2" t="s">
        <v>321</v>
      </c>
      <c r="C74" s="2" t="s">
        <v>387</v>
      </c>
    </row>
    <row r="75" s="2" customFormat="1" spans="1:3">
      <c r="A75" s="2">
        <v>23470</v>
      </c>
      <c r="B75" s="2" t="s">
        <v>321</v>
      </c>
      <c r="C75" s="2" t="s">
        <v>388</v>
      </c>
    </row>
    <row r="76" spans="1:3">
      <c r="A76" s="2">
        <v>23471</v>
      </c>
      <c r="B76" s="2" t="s">
        <v>321</v>
      </c>
      <c r="C76" s="2" t="s">
        <v>136</v>
      </c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11" spans="3:4">
      <c r="C111" s="52" t="str">
        <f>C5</f>
        <v>敬请期待</v>
      </c>
      <c r="D111" s="52">
        <f>A5</f>
        <v>23400</v>
      </c>
    </row>
    <row r="112" spans="3:4">
      <c r="C112" s="52" t="str">
        <f t="shared" ref="C112:C149" si="0">C6</f>
        <v>运营活动</v>
      </c>
      <c r="D112" s="52">
        <f t="shared" ref="D112:D143" si="1">A6</f>
        <v>23401</v>
      </c>
    </row>
    <row r="113" spans="3:4">
      <c r="C113" s="52" t="str">
        <f t="shared" si="0"/>
        <v>商城限时出售</v>
      </c>
      <c r="D113" s="52">
        <f t="shared" si="1"/>
        <v>23402</v>
      </c>
    </row>
    <row r="114" spans="3:4">
      <c r="C114" s="52" t="str">
        <f t="shared" si="0"/>
        <v>节日活动</v>
      </c>
      <c r="D114" s="52">
        <f t="shared" si="1"/>
        <v>23403</v>
      </c>
    </row>
    <row r="115" spans="3:4">
      <c r="C115" s="52" t="str">
        <f t="shared" si="0"/>
        <v>周年庆</v>
      </c>
      <c r="D115" s="52">
        <f t="shared" si="1"/>
        <v>23404</v>
      </c>
    </row>
    <row r="116" spans="3:4">
      <c r="C116" s="52" t="str">
        <f t="shared" si="0"/>
        <v>冰雪节</v>
      </c>
      <c r="D116" s="52">
        <f t="shared" si="1"/>
        <v>23405</v>
      </c>
    </row>
    <row r="117" spans="3:4">
      <c r="C117" s="52" t="str">
        <f t="shared" si="0"/>
        <v>情人节</v>
      </c>
      <c r="D117" s="52">
        <f t="shared" si="1"/>
        <v>23406</v>
      </c>
    </row>
    <row r="118" spans="3:4">
      <c r="C118" s="52" t="str">
        <f t="shared" si="0"/>
        <v>花冠节</v>
      </c>
      <c r="D118" s="52">
        <f t="shared" si="1"/>
        <v>23407</v>
      </c>
    </row>
    <row r="119" spans="3:4">
      <c r="C119" s="52" t="str">
        <f t="shared" si="0"/>
        <v>劳动节</v>
      </c>
      <c r="D119" s="52">
        <f t="shared" si="1"/>
        <v>23408</v>
      </c>
    </row>
    <row r="120" spans="3:4">
      <c r="C120" s="52" t="str">
        <f t="shared" si="0"/>
        <v>女王节</v>
      </c>
      <c r="D120" s="52">
        <f t="shared" si="1"/>
        <v>23409</v>
      </c>
    </row>
    <row r="121" spans="3:4">
      <c r="C121" s="52" t="str">
        <f t="shared" si="0"/>
        <v>万圣节</v>
      </c>
      <c r="D121" s="52">
        <f t="shared" si="1"/>
        <v>23410</v>
      </c>
    </row>
    <row r="122" spans="3:4">
      <c r="C122" s="52" t="str">
        <f t="shared" si="0"/>
        <v>七夕节</v>
      </c>
      <c r="D122" s="52">
        <f t="shared" si="1"/>
        <v>23411</v>
      </c>
    </row>
    <row r="123" spans="3:4">
      <c r="C123" s="52" t="str">
        <f t="shared" si="0"/>
        <v>端午节</v>
      </c>
      <c r="D123" s="52">
        <f t="shared" si="1"/>
        <v>23412</v>
      </c>
    </row>
    <row r="124" spans="3:4">
      <c r="C124" s="52" t="str">
        <f t="shared" si="0"/>
        <v>春节</v>
      </c>
      <c r="D124" s="52">
        <f t="shared" si="1"/>
        <v>23413</v>
      </c>
    </row>
    <row r="125" spans="3:4">
      <c r="C125" s="52" t="str">
        <f t="shared" si="0"/>
        <v>中秋节</v>
      </c>
      <c r="D125" s="52">
        <f t="shared" si="1"/>
        <v>23414</v>
      </c>
    </row>
    <row r="126" spans="3:4">
      <c r="C126" s="52" t="str">
        <f t="shared" si="0"/>
        <v>花朝节</v>
      </c>
      <c r="D126" s="52">
        <f t="shared" si="1"/>
        <v>23415</v>
      </c>
    </row>
    <row r="127" spans="3:4">
      <c r="C127" s="52" t="str">
        <f t="shared" si="0"/>
        <v>儿童节</v>
      </c>
      <c r="D127" s="52">
        <f t="shared" si="1"/>
        <v>23416</v>
      </c>
    </row>
    <row r="128" spans="3:4">
      <c r="C128" s="52" t="str">
        <f t="shared" si="0"/>
        <v>国庆节</v>
      </c>
      <c r="D128" s="52">
        <f t="shared" si="1"/>
        <v>23417</v>
      </c>
    </row>
    <row r="129" spans="3:4">
      <c r="C129" s="52" t="str">
        <f t="shared" si="0"/>
        <v>祖龙庆典</v>
      </c>
      <c r="D129" s="52">
        <f t="shared" si="1"/>
        <v>23418</v>
      </c>
    </row>
    <row r="130" spans="3:4">
      <c r="C130" s="52" t="str">
        <f t="shared" si="0"/>
        <v>魅力商店</v>
      </c>
      <c r="D130" s="52">
        <f t="shared" si="1"/>
        <v>23419</v>
      </c>
    </row>
    <row r="131" spans="3:4">
      <c r="C131" s="52" t="str">
        <f t="shared" si="0"/>
        <v>武神之器</v>
      </c>
      <c r="D131" s="52">
        <f t="shared" si="1"/>
        <v>23420</v>
      </c>
    </row>
    <row r="132" spans="3:4">
      <c r="C132" s="52" t="str">
        <f t="shared" si="0"/>
        <v>天星秘器</v>
      </c>
      <c r="D132" s="52">
        <f t="shared" si="1"/>
        <v>23421</v>
      </c>
    </row>
    <row r="133" spans="3:4">
      <c r="C133" s="52" t="str">
        <f t="shared" si="0"/>
        <v>主线任务</v>
      </c>
      <c r="D133" s="52">
        <f t="shared" si="1"/>
        <v>23422</v>
      </c>
    </row>
    <row r="134" spans="3:4">
      <c r="C134" s="52" t="str">
        <f t="shared" si="0"/>
        <v>轶事任务</v>
      </c>
      <c r="D134" s="52">
        <f t="shared" si="1"/>
        <v>23423</v>
      </c>
    </row>
    <row r="135" spans="3:4">
      <c r="C135" s="52" t="str">
        <f t="shared" si="0"/>
        <v>隐藏任务</v>
      </c>
      <c r="D135" s="52">
        <f t="shared" si="1"/>
        <v>23424</v>
      </c>
    </row>
    <row r="136" spans="3:4">
      <c r="C136" s="52" t="str">
        <f t="shared" si="0"/>
        <v>结婚</v>
      </c>
      <c r="D136" s="52">
        <f t="shared" si="1"/>
        <v>23425</v>
      </c>
    </row>
    <row r="137" spans="3:4">
      <c r="C137" s="52" t="str">
        <f t="shared" si="0"/>
        <v>结婚进阶任务</v>
      </c>
      <c r="D137" s="52">
        <f t="shared" si="1"/>
        <v>23426</v>
      </c>
    </row>
    <row r="138" spans="3:4">
      <c r="C138" s="52" t="str">
        <f t="shared" si="0"/>
        <v>结拜里程碑</v>
      </c>
      <c r="D138" s="52">
        <f t="shared" si="1"/>
        <v>23427</v>
      </c>
    </row>
    <row r="139" spans="3:4">
      <c r="C139" s="52" t="str">
        <f t="shared" si="0"/>
        <v>藏渊阁博学点数</v>
      </c>
      <c r="D139" s="52">
        <f t="shared" si="1"/>
        <v>23428</v>
      </c>
    </row>
    <row r="140" spans="3:4">
      <c r="C140" s="52" t="str">
        <f t="shared" si="0"/>
        <v>藏渊阁成就</v>
      </c>
      <c r="D140" s="52">
        <f t="shared" si="1"/>
        <v>23429</v>
      </c>
    </row>
    <row r="141" spans="3:4">
      <c r="C141" s="52" t="str">
        <f t="shared" si="0"/>
        <v>寰宇争锋</v>
      </c>
      <c r="D141" s="52">
        <f t="shared" si="1"/>
        <v>23430</v>
      </c>
    </row>
    <row r="142" spans="3:4">
      <c r="C142" s="52" t="str">
        <f t="shared" si="0"/>
        <v>落月武场挑战本</v>
      </c>
      <c r="D142" s="52">
        <f t="shared" si="1"/>
        <v>23431</v>
      </c>
    </row>
    <row r="143" spans="3:4">
      <c r="C143" s="52" t="str">
        <f t="shared" si="0"/>
        <v>幻境</v>
      </c>
      <c r="D143" s="52">
        <f t="shared" si="1"/>
        <v>23432</v>
      </c>
    </row>
    <row r="144" spans="3:4">
      <c r="C144" s="52" t="str">
        <f t="shared" si="0"/>
        <v>幻境最高两层</v>
      </c>
      <c r="D144" s="52">
        <f t="shared" ref="D144:D168" si="2">A38</f>
        <v>23433</v>
      </c>
    </row>
    <row r="145" spans="3:4">
      <c r="C145" s="52" t="str">
        <f t="shared" si="0"/>
        <v>开服豪礼</v>
      </c>
      <c r="D145" s="52">
        <f t="shared" si="2"/>
        <v>23434</v>
      </c>
    </row>
    <row r="146" spans="3:4">
      <c r="C146" s="52" t="str">
        <f t="shared" si="0"/>
        <v>七日目标</v>
      </c>
      <c r="D146" s="52">
        <f t="shared" si="2"/>
        <v>23435</v>
      </c>
    </row>
    <row r="147" spans="3:4">
      <c r="C147" s="52" t="str">
        <f t="shared" si="0"/>
        <v>开工大吉</v>
      </c>
      <c r="D147" s="52">
        <f t="shared" si="2"/>
        <v>23436</v>
      </c>
    </row>
    <row r="148" spans="3:4">
      <c r="C148" s="52" t="str">
        <f t="shared" si="0"/>
        <v>寰宇精粹兑换</v>
      </c>
      <c r="D148" s="52">
        <f t="shared" si="2"/>
        <v>23437</v>
      </c>
    </row>
    <row r="149" spans="3:4">
      <c r="C149" s="52" t="str">
        <f t="shared" si="0"/>
        <v>情义值兑换</v>
      </c>
      <c r="D149" s="52">
        <f t="shared" si="2"/>
        <v>23438</v>
      </c>
    </row>
    <row r="150" spans="3:4">
      <c r="C150" s="52" t="str">
        <f t="shared" ref="C150:C168" si="3">C44</f>
        <v>商城外观出售</v>
      </c>
      <c r="D150" s="52">
        <f t="shared" si="2"/>
        <v>23439</v>
      </c>
    </row>
    <row r="151" spans="3:4">
      <c r="C151" s="52" t="str">
        <f t="shared" si="3"/>
        <v>黑市商人</v>
      </c>
      <c r="D151" s="52">
        <f t="shared" si="2"/>
        <v>23440</v>
      </c>
    </row>
    <row r="152" spans="3:4">
      <c r="C152" s="52" t="str">
        <f t="shared" si="3"/>
        <v>首充</v>
      </c>
      <c r="D152" s="52">
        <f t="shared" si="2"/>
        <v>23441</v>
      </c>
    </row>
    <row r="153" spans="3:4">
      <c r="C153" s="52" t="str">
        <f t="shared" si="3"/>
        <v>预约活动</v>
      </c>
      <c r="D153" s="52">
        <f t="shared" si="2"/>
        <v>23442</v>
      </c>
    </row>
    <row r="154" spans="3:4">
      <c r="C154" s="52" t="str">
        <f t="shared" si="3"/>
        <v>社区活动</v>
      </c>
      <c r="D154" s="52">
        <f t="shared" si="2"/>
        <v>23443</v>
      </c>
    </row>
    <row r="155" spans="3:4">
      <c r="C155" s="52" t="str">
        <f t="shared" si="3"/>
        <v>新服预约</v>
      </c>
      <c r="D155" s="52">
        <f t="shared" si="2"/>
        <v>23444</v>
      </c>
    </row>
    <row r="156" spans="3:4">
      <c r="C156" s="52" t="str">
        <f t="shared" si="3"/>
        <v>特殊运营活动</v>
      </c>
      <c r="D156" s="52">
        <f t="shared" si="2"/>
        <v>23445</v>
      </c>
    </row>
    <row r="157" spans="3:4">
      <c r="C157" s="52" t="str">
        <f t="shared" si="3"/>
        <v>寻龙</v>
      </c>
      <c r="D157" s="52">
        <f t="shared" si="2"/>
        <v>23446</v>
      </c>
    </row>
    <row r="158" spans="3:4">
      <c r="C158" s="52" t="str">
        <f t="shared" si="3"/>
        <v>琳琅小铺</v>
      </c>
      <c r="D158" s="52">
        <f t="shared" si="2"/>
        <v>23447</v>
      </c>
    </row>
    <row r="159" spans="3:4">
      <c r="C159" s="52" t="str">
        <f t="shared" si="3"/>
        <v>限时·惠</v>
      </c>
      <c r="D159" s="52">
        <f t="shared" si="2"/>
        <v>23448</v>
      </c>
    </row>
    <row r="160" spans="3:4">
      <c r="C160" s="52" t="str">
        <f t="shared" si="3"/>
        <v>社区限时活动</v>
      </c>
      <c r="D160" s="52">
        <f t="shared" si="2"/>
        <v>23449</v>
      </c>
    </row>
    <row r="161" spans="3:4">
      <c r="C161" s="52" t="str">
        <f t="shared" si="3"/>
        <v>积分商店</v>
      </c>
      <c r="D161" s="52">
        <f t="shared" si="2"/>
        <v>23450</v>
      </c>
    </row>
    <row r="162" spans="3:4">
      <c r="C162" s="52" t="str">
        <f t="shared" si="3"/>
        <v>官网活动</v>
      </c>
      <c r="D162" s="52">
        <f t="shared" si="2"/>
        <v>23451</v>
      </c>
    </row>
    <row r="163" spans="3:4">
      <c r="C163" s="52" t="str">
        <f t="shared" si="3"/>
        <v>跨服帮派联赛</v>
      </c>
      <c r="D163" s="52">
        <f t="shared" si="2"/>
        <v>23452</v>
      </c>
    </row>
    <row r="164" spans="3:4">
      <c r="C164" s="52" t="str">
        <f t="shared" si="3"/>
        <v>大客户专属</v>
      </c>
      <c r="D164" s="52">
        <f t="shared" si="2"/>
        <v>23453</v>
      </c>
    </row>
    <row r="165" spans="3:4">
      <c r="C165" s="52" t="str">
        <f t="shared" si="3"/>
        <v>迎新钱庄</v>
      </c>
      <c r="D165" s="52">
        <f t="shared" si="2"/>
        <v>23454</v>
      </c>
    </row>
    <row r="166" spans="3:4">
      <c r="C166" s="52" t="str">
        <f t="shared" si="3"/>
        <v>通天秘宝</v>
      </c>
      <c r="D166" s="52">
        <f t="shared" si="2"/>
        <v>23455</v>
      </c>
    </row>
    <row r="167" spans="3:4">
      <c r="C167" s="52" t="str">
        <f t="shared" si="3"/>
        <v>修真荣耀榜</v>
      </c>
      <c r="D167" s="52">
        <f t="shared" si="2"/>
        <v>23456</v>
      </c>
    </row>
    <row r="168" spans="3:4">
      <c r="C168" s="52" t="str">
        <f t="shared" si="3"/>
        <v>购买吉光烁羽时装</v>
      </c>
      <c r="D168" s="52">
        <f t="shared" si="2"/>
        <v>23457</v>
      </c>
    </row>
    <row r="169" spans="3:4">
      <c r="C169" s="52" t="str">
        <f t="shared" ref="C169:C188" si="4">C63</f>
        <v>新版本限定发售</v>
      </c>
      <c r="D169" s="52">
        <f t="shared" ref="D169:D188" si="5">A63</f>
        <v>23458</v>
      </c>
    </row>
    <row r="170" spans="3:4">
      <c r="C170" s="52" t="str">
        <f t="shared" si="4"/>
        <v>地脉寻宝</v>
      </c>
      <c r="D170" s="52">
        <f t="shared" si="5"/>
        <v>23459</v>
      </c>
    </row>
    <row r="171" spans="3:4">
      <c r="C171" s="52" t="str">
        <f t="shared" si="4"/>
        <v>诸神之战</v>
      </c>
      <c r="D171" s="52">
        <f t="shared" si="5"/>
        <v>23460</v>
      </c>
    </row>
    <row r="172" spans="3:4">
      <c r="C172" s="52" t="str">
        <f t="shared" si="4"/>
        <v>摇摇乐</v>
      </c>
      <c r="D172" s="52">
        <f t="shared" si="5"/>
        <v>23461</v>
      </c>
    </row>
    <row r="173" spans="3:4">
      <c r="C173" s="52" t="str">
        <f t="shared" si="4"/>
        <v>特殊限时活动</v>
      </c>
      <c r="D173" s="52">
        <f t="shared" si="5"/>
        <v>23462</v>
      </c>
    </row>
    <row r="174" spans="3:4">
      <c r="C174" s="52" t="str">
        <f t="shared" si="4"/>
        <v>累计充值</v>
      </c>
      <c r="D174" s="52">
        <f t="shared" si="5"/>
        <v>23463</v>
      </c>
    </row>
    <row r="175" spans="3:4">
      <c r="C175" s="52" t="str">
        <f t="shared" si="4"/>
        <v>线下活动</v>
      </c>
      <c r="D175" s="52">
        <f t="shared" si="5"/>
        <v>23464</v>
      </c>
    </row>
    <row r="176" spans="3:4">
      <c r="C176" s="52" t="str">
        <f t="shared" si="4"/>
        <v>消费有礼</v>
      </c>
      <c r="D176" s="52">
        <f t="shared" si="5"/>
        <v>23465</v>
      </c>
    </row>
    <row r="177" spans="3:4">
      <c r="C177" s="52" t="str">
        <f t="shared" si="4"/>
        <v>大玩家专属</v>
      </c>
      <c r="D177" s="52">
        <f t="shared" si="5"/>
        <v>23466</v>
      </c>
    </row>
    <row r="178" spans="3:4">
      <c r="C178" s="52" t="str">
        <f t="shared" si="4"/>
        <v>限时联动</v>
      </c>
      <c r="D178" s="52">
        <f t="shared" si="5"/>
        <v>23467</v>
      </c>
    </row>
    <row r="179" spans="3:4">
      <c r="C179" s="52" t="str">
        <f t="shared" si="4"/>
        <v>诗普琳品牌合作</v>
      </c>
      <c r="D179" s="52">
        <f t="shared" si="5"/>
        <v>23468</v>
      </c>
    </row>
    <row r="180" spans="3:4">
      <c r="C180" s="52" t="str">
        <f t="shared" si="4"/>
        <v>轩辕剑联动</v>
      </c>
      <c r="D180" s="52">
        <f t="shared" si="5"/>
        <v>23469</v>
      </c>
    </row>
    <row r="181" spans="3:4">
      <c r="C181" s="52" t="str">
        <f t="shared" si="4"/>
        <v>诛仙联动</v>
      </c>
      <c r="D181" s="52">
        <f t="shared" si="5"/>
        <v>23470</v>
      </c>
    </row>
    <row r="182" spans="3:4">
      <c r="C182" s="52" t="str">
        <f t="shared" si="4"/>
        <v>踏青节</v>
      </c>
      <c r="D182" s="52">
        <f t="shared" si="5"/>
        <v>23471</v>
      </c>
    </row>
    <row r="183" spans="3:4">
      <c r="C183" s="52">
        <f t="shared" si="4"/>
        <v>0</v>
      </c>
      <c r="D183" s="52">
        <f t="shared" si="5"/>
        <v>0</v>
      </c>
    </row>
    <row r="184" spans="3:4">
      <c r="C184" s="52">
        <f t="shared" si="4"/>
        <v>0</v>
      </c>
      <c r="D184" s="52">
        <f t="shared" si="5"/>
        <v>0</v>
      </c>
    </row>
    <row r="185" spans="3:4">
      <c r="C185" s="52">
        <f t="shared" si="4"/>
        <v>0</v>
      </c>
      <c r="D185" s="52">
        <f t="shared" si="5"/>
        <v>0</v>
      </c>
    </row>
    <row r="186" spans="3:4">
      <c r="C186" s="52">
        <f t="shared" si="4"/>
        <v>0</v>
      </c>
      <c r="D186" s="52">
        <f t="shared" si="5"/>
        <v>0</v>
      </c>
    </row>
    <row r="187" spans="3:4">
      <c r="C187" s="52">
        <f t="shared" si="4"/>
        <v>0</v>
      </c>
      <c r="D187" s="52">
        <f t="shared" si="5"/>
        <v>0</v>
      </c>
    </row>
    <row r="188" spans="3:4">
      <c r="C188" s="52">
        <f t="shared" si="4"/>
        <v>0</v>
      </c>
      <c r="D188" s="52">
        <f t="shared" si="5"/>
        <v>0</v>
      </c>
    </row>
    <row r="189" spans="3:4">
      <c r="C189" s="52">
        <f t="shared" ref="C189:C205" si="6">C83</f>
        <v>0</v>
      </c>
      <c r="D189" s="52">
        <f t="shared" ref="D189:D205" si="7">A83</f>
        <v>0</v>
      </c>
    </row>
    <row r="190" spans="3:4">
      <c r="C190" s="52">
        <f t="shared" si="6"/>
        <v>0</v>
      </c>
      <c r="D190" s="52">
        <f t="shared" si="7"/>
        <v>0</v>
      </c>
    </row>
    <row r="191" spans="3:4">
      <c r="C191" s="52">
        <f t="shared" si="6"/>
        <v>0</v>
      </c>
      <c r="D191" s="52">
        <f t="shared" si="7"/>
        <v>0</v>
      </c>
    </row>
    <row r="192" spans="3:4">
      <c r="C192" s="52">
        <f t="shared" si="6"/>
        <v>0</v>
      </c>
      <c r="D192" s="52">
        <f t="shared" si="7"/>
        <v>0</v>
      </c>
    </row>
    <row r="193" spans="3:4">
      <c r="C193" s="52">
        <f t="shared" si="6"/>
        <v>0</v>
      </c>
      <c r="D193" s="52">
        <f t="shared" si="7"/>
        <v>0</v>
      </c>
    </row>
    <row r="194" spans="3:4">
      <c r="C194" s="52">
        <f t="shared" si="6"/>
        <v>0</v>
      </c>
      <c r="D194" s="52">
        <f t="shared" si="7"/>
        <v>0</v>
      </c>
    </row>
    <row r="195" spans="3:4">
      <c r="C195" s="52">
        <f t="shared" si="6"/>
        <v>0</v>
      </c>
      <c r="D195" s="52">
        <f t="shared" si="7"/>
        <v>0</v>
      </c>
    </row>
    <row r="196" spans="3:4">
      <c r="C196" s="52">
        <f t="shared" si="6"/>
        <v>0</v>
      </c>
      <c r="D196" s="52">
        <f t="shared" si="7"/>
        <v>0</v>
      </c>
    </row>
    <row r="197" spans="3:4">
      <c r="C197" s="52">
        <f t="shared" si="6"/>
        <v>0</v>
      </c>
      <c r="D197" s="52">
        <f t="shared" si="7"/>
        <v>0</v>
      </c>
    </row>
    <row r="198" spans="3:4">
      <c r="C198" s="52">
        <f t="shared" si="6"/>
        <v>0</v>
      </c>
      <c r="D198" s="52">
        <f t="shared" si="7"/>
        <v>0</v>
      </c>
    </row>
    <row r="199" spans="3:4">
      <c r="C199" s="52">
        <f t="shared" si="6"/>
        <v>0</v>
      </c>
      <c r="D199" s="52">
        <f t="shared" si="7"/>
        <v>0</v>
      </c>
    </row>
    <row r="200" spans="3:4">
      <c r="C200" s="52">
        <f t="shared" si="6"/>
        <v>0</v>
      </c>
      <c r="D200" s="52">
        <f t="shared" si="7"/>
        <v>0</v>
      </c>
    </row>
    <row r="201" spans="3:4">
      <c r="C201" s="52">
        <f t="shared" si="6"/>
        <v>0</v>
      </c>
      <c r="D201" s="52">
        <f t="shared" si="7"/>
        <v>0</v>
      </c>
    </row>
    <row r="202" spans="3:4">
      <c r="C202" s="52">
        <f t="shared" si="6"/>
        <v>0</v>
      </c>
      <c r="D202" s="52">
        <f t="shared" si="7"/>
        <v>0</v>
      </c>
    </row>
    <row r="203" spans="3:4">
      <c r="C203" s="52">
        <f t="shared" si="6"/>
        <v>0</v>
      </c>
      <c r="D203" s="52">
        <f t="shared" si="7"/>
        <v>0</v>
      </c>
    </row>
    <row r="204" spans="3:4">
      <c r="C204" s="52">
        <f t="shared" si="6"/>
        <v>0</v>
      </c>
      <c r="D204" s="52">
        <f t="shared" si="7"/>
        <v>0</v>
      </c>
    </row>
    <row r="205" spans="3:4">
      <c r="C205" s="52">
        <f t="shared" si="6"/>
        <v>0</v>
      </c>
      <c r="D205" s="52">
        <f t="shared" si="7"/>
        <v>0</v>
      </c>
    </row>
    <row r="206" spans="3:4">
      <c r="C206" s="52">
        <f t="shared" ref="C206:C213" si="8">C100</f>
        <v>0</v>
      </c>
      <c r="D206" s="52">
        <f t="shared" ref="D206:D213" si="9">A100</f>
        <v>0</v>
      </c>
    </row>
    <row r="207" spans="3:4">
      <c r="C207" s="52">
        <f t="shared" si="8"/>
        <v>0</v>
      </c>
      <c r="D207" s="52">
        <f t="shared" si="9"/>
        <v>0</v>
      </c>
    </row>
    <row r="208" spans="3:4">
      <c r="C208" s="52">
        <f t="shared" si="8"/>
        <v>0</v>
      </c>
      <c r="D208" s="52">
        <f t="shared" si="9"/>
        <v>0</v>
      </c>
    </row>
    <row r="209" spans="3:4">
      <c r="C209" s="52">
        <f t="shared" si="8"/>
        <v>0</v>
      </c>
      <c r="D209" s="52">
        <f t="shared" si="9"/>
        <v>0</v>
      </c>
    </row>
    <row r="210" spans="3:4">
      <c r="C210" s="52">
        <f t="shared" si="8"/>
        <v>0</v>
      </c>
      <c r="D210" s="52">
        <f t="shared" si="9"/>
        <v>0</v>
      </c>
    </row>
    <row r="211" spans="3:4">
      <c r="C211" s="52">
        <f t="shared" si="8"/>
        <v>0</v>
      </c>
      <c r="D211" s="52">
        <f t="shared" si="9"/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53"/>
  <sheetViews>
    <sheetView topLeftCell="A22" workbookViewId="0">
      <selection activeCell="E53" sqref="E53"/>
    </sheetView>
  </sheetViews>
  <sheetFormatPr defaultColWidth="9" defaultRowHeight="14.25"/>
  <cols>
    <col min="2" max="2" width="30.125" customWidth="1"/>
    <col min="3" max="3" width="24" customWidth="1"/>
    <col min="5" max="5" width="49.75" customWidth="1"/>
  </cols>
  <sheetData>
    <row r="1" s="1" customFormat="1" spans="1:58">
      <c r="A1" s="1" t="s">
        <v>312</v>
      </c>
      <c r="B1" s="1" t="s">
        <v>313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</row>
    <row r="2" s="1" customFormat="1" spans="1:58">
      <c r="A2" s="1" t="s">
        <v>315</v>
      </c>
      <c r="B2" s="1" t="s">
        <v>316</v>
      </c>
      <c r="C2" s="1" t="s">
        <v>316</v>
      </c>
      <c r="D2" s="1" t="s">
        <v>315</v>
      </c>
      <c r="E2" s="1" t="s">
        <v>316</v>
      </c>
      <c r="F2" s="1" t="s">
        <v>316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315</v>
      </c>
      <c r="AD2" s="1" t="s">
        <v>445</v>
      </c>
      <c r="AE2" s="1" t="s">
        <v>315</v>
      </c>
      <c r="AF2" s="1" t="s">
        <v>315</v>
      </c>
      <c r="AG2" s="1" t="s">
        <v>315</v>
      </c>
      <c r="AH2" s="1" t="s">
        <v>315</v>
      </c>
      <c r="AI2" s="1" t="s">
        <v>315</v>
      </c>
      <c r="AJ2" s="1" t="s">
        <v>315</v>
      </c>
      <c r="AK2" s="1" t="s">
        <v>315</v>
      </c>
      <c r="AL2" s="1" t="s">
        <v>315</v>
      </c>
      <c r="AM2" s="1" t="s">
        <v>315</v>
      </c>
      <c r="AN2" s="1" t="s">
        <v>315</v>
      </c>
      <c r="AO2" s="1" t="s">
        <v>315</v>
      </c>
      <c r="AP2" s="1" t="s">
        <v>315</v>
      </c>
      <c r="AQ2" s="1" t="s">
        <v>445</v>
      </c>
      <c r="AR2" s="1" t="s">
        <v>315</v>
      </c>
      <c r="AS2" s="1" t="s">
        <v>315</v>
      </c>
      <c r="AT2" s="1" t="s">
        <v>315</v>
      </c>
      <c r="AU2" s="1" t="s">
        <v>315</v>
      </c>
      <c r="AV2" s="1" t="s">
        <v>315</v>
      </c>
      <c r="AW2" s="1" t="s">
        <v>315</v>
      </c>
      <c r="AX2" s="1" t="s">
        <v>315</v>
      </c>
      <c r="AY2" s="1" t="s">
        <v>315</v>
      </c>
      <c r="AZ2" s="1" t="s">
        <v>315</v>
      </c>
      <c r="BA2" s="1" t="s">
        <v>315</v>
      </c>
      <c r="BB2" s="1" t="s">
        <v>315</v>
      </c>
      <c r="BC2" s="1" t="s">
        <v>315</v>
      </c>
      <c r="BD2" s="1" t="s">
        <v>315</v>
      </c>
      <c r="BE2" s="1" t="s">
        <v>315</v>
      </c>
      <c r="BF2" s="1" t="s">
        <v>315</v>
      </c>
    </row>
    <row r="3" s="1" customFormat="1" spans="1:57">
      <c r="A3" s="1" t="s">
        <v>446</v>
      </c>
      <c r="M3" s="1" t="s">
        <v>447</v>
      </c>
      <c r="X3" s="1" t="s">
        <v>447</v>
      </c>
      <c r="Y3" s="1" t="s">
        <v>447</v>
      </c>
      <c r="Z3" s="1" t="s">
        <v>447</v>
      </c>
      <c r="AA3" s="1" t="s">
        <v>447</v>
      </c>
      <c r="AD3" s="1" t="s">
        <v>447</v>
      </c>
      <c r="AK3" s="1" t="s">
        <v>447</v>
      </c>
      <c r="AM3" s="1" t="s">
        <v>447</v>
      </c>
      <c r="AN3" s="1" t="s">
        <v>447</v>
      </c>
      <c r="AO3" s="1" t="s">
        <v>447</v>
      </c>
      <c r="AP3" s="1" t="s">
        <v>447</v>
      </c>
      <c r="AQ3" s="1" t="s">
        <v>447</v>
      </c>
      <c r="AU3" s="1" t="s">
        <v>447</v>
      </c>
      <c r="AV3" s="1" t="s">
        <v>447</v>
      </c>
      <c r="BA3" s="1" t="s">
        <v>447</v>
      </c>
      <c r="BD3" s="1" t="s">
        <v>447</v>
      </c>
      <c r="BE3" s="1" t="s">
        <v>447</v>
      </c>
    </row>
    <row r="4" s="1" customFormat="1" spans="1:58">
      <c r="A4" s="1" t="s">
        <v>448</v>
      </c>
      <c r="B4" s="1" t="s">
        <v>449</v>
      </c>
      <c r="C4" s="1" t="s">
        <v>450</v>
      </c>
      <c r="D4" s="1" t="s">
        <v>451</v>
      </c>
      <c r="E4" s="1" t="s">
        <v>67</v>
      </c>
      <c r="F4" s="1" t="s">
        <v>452</v>
      </c>
      <c r="G4" s="1" t="s">
        <v>453</v>
      </c>
      <c r="H4" s="1" t="s">
        <v>454</v>
      </c>
      <c r="I4" s="1" t="s">
        <v>455</v>
      </c>
      <c r="J4" s="1" t="s">
        <v>456</v>
      </c>
      <c r="K4" s="1" t="s">
        <v>457</v>
      </c>
      <c r="L4" s="1" t="s">
        <v>458</v>
      </c>
      <c r="M4" s="1" t="s">
        <v>459</v>
      </c>
      <c r="N4" s="1" t="s">
        <v>460</v>
      </c>
      <c r="O4" s="1" t="s">
        <v>461</v>
      </c>
      <c r="P4" s="1" t="s">
        <v>462</v>
      </c>
      <c r="Q4" s="1" t="s">
        <v>463</v>
      </c>
      <c r="R4" s="1" t="s">
        <v>464</v>
      </c>
      <c r="S4" s="1" t="s">
        <v>465</v>
      </c>
      <c r="T4" s="1" t="s">
        <v>466</v>
      </c>
      <c r="U4" s="1" t="s">
        <v>467</v>
      </c>
      <c r="V4" s="1" t="s">
        <v>468</v>
      </c>
      <c r="W4" s="1" t="s">
        <v>469</v>
      </c>
      <c r="X4" s="1" t="s">
        <v>470</v>
      </c>
      <c r="Y4" s="1" t="s">
        <v>471</v>
      </c>
      <c r="Z4" s="1" t="s">
        <v>472</v>
      </c>
      <c r="AA4" s="1" t="s">
        <v>473</v>
      </c>
      <c r="AB4" s="1" t="s">
        <v>474</v>
      </c>
      <c r="AC4" s="1" t="s">
        <v>475</v>
      </c>
      <c r="AD4" s="1" t="s">
        <v>476</v>
      </c>
      <c r="AE4" s="1" t="s">
        <v>477</v>
      </c>
      <c r="AF4" s="1" t="s">
        <v>478</v>
      </c>
      <c r="AG4" s="1" t="s">
        <v>479</v>
      </c>
      <c r="AH4" s="1" t="s">
        <v>480</v>
      </c>
      <c r="AI4" s="1" t="s">
        <v>481</v>
      </c>
      <c r="AJ4" s="1" t="s">
        <v>482</v>
      </c>
      <c r="AK4" s="1" t="s">
        <v>483</v>
      </c>
      <c r="AL4" s="1" t="s">
        <v>484</v>
      </c>
      <c r="AM4" s="1" t="s">
        <v>485</v>
      </c>
      <c r="AN4" s="1" t="s">
        <v>486</v>
      </c>
      <c r="AO4" s="1" t="s">
        <v>487</v>
      </c>
      <c r="AP4" s="1" t="s">
        <v>488</v>
      </c>
      <c r="AQ4" s="1" t="s">
        <v>489</v>
      </c>
      <c r="AR4" s="1" t="s">
        <v>490</v>
      </c>
      <c r="AS4" s="1" t="s">
        <v>491</v>
      </c>
      <c r="AT4" s="1" t="s">
        <v>492</v>
      </c>
      <c r="AU4" s="1" t="s">
        <v>493</v>
      </c>
      <c r="AV4" s="1" t="s">
        <v>494</v>
      </c>
      <c r="AW4" s="1" t="s">
        <v>495</v>
      </c>
      <c r="AX4" s="1" t="s">
        <v>496</v>
      </c>
      <c r="AY4" s="1" t="s">
        <v>497</v>
      </c>
      <c r="AZ4" s="1" t="s">
        <v>498</v>
      </c>
      <c r="BA4" s="1" t="s">
        <v>499</v>
      </c>
      <c r="BB4" s="1" t="s">
        <v>500</v>
      </c>
      <c r="BC4" s="1" t="s">
        <v>501</v>
      </c>
      <c r="BD4" s="1" t="s">
        <v>502</v>
      </c>
      <c r="BE4" s="1" t="s">
        <v>503</v>
      </c>
      <c r="BF4" s="1" t="s">
        <v>504</v>
      </c>
    </row>
    <row r="5" spans="1:58">
      <c r="A5" s="7" t="str">
        <f>IF(配置总览!$B$4="导出",159570+配置总览!H6*8-7,"#")</f>
        <v>#</v>
      </c>
      <c r="B5" s="3" t="str">
        <f>C5&amp;"（男）"</f>
        <v>蜜语轻舞·头（7天）（男）</v>
      </c>
      <c r="C5" s="7" t="str">
        <f>配置总览!E4&amp;"（7天）"</f>
        <v>蜜语轻舞·头（7天）</v>
      </c>
      <c r="D5">
        <v>8</v>
      </c>
      <c r="E5" s="7" t="str">
        <f>"PWicon_WaiGuan/"&amp;配置总览!N6</f>
        <v>PWicon_WaiGuan/shizhuang_icon_head_miyuqingwu_nan</v>
      </c>
      <c r="F5" t="s">
        <v>505</v>
      </c>
      <c r="G5">
        <v>7</v>
      </c>
      <c r="H5">
        <v>1</v>
      </c>
      <c r="I5">
        <v>1</v>
      </c>
      <c r="J5">
        <v>1</v>
      </c>
      <c r="K5" s="7">
        <f>配置总览!I4+1</f>
        <v>3</v>
      </c>
      <c r="L5">
        <v>1</v>
      </c>
      <c r="M5">
        <v>999</v>
      </c>
      <c r="N5">
        <v>1</v>
      </c>
      <c r="O5">
        <v>1</v>
      </c>
      <c r="P5">
        <v>1</v>
      </c>
      <c r="Q5">
        <v>1</v>
      </c>
      <c r="R5">
        <v>0</v>
      </c>
      <c r="S5">
        <v>1</v>
      </c>
      <c r="T5">
        <v>-1</v>
      </c>
      <c r="U5">
        <v>-1</v>
      </c>
      <c r="V5">
        <v>0</v>
      </c>
      <c r="W5">
        <v>18541</v>
      </c>
      <c r="X5">
        <v>1</v>
      </c>
      <c r="Y5">
        <v>1</v>
      </c>
      <c r="Z5">
        <v>3</v>
      </c>
      <c r="AA5">
        <v>1</v>
      </c>
      <c r="AB5">
        <v>-1</v>
      </c>
      <c r="AC5">
        <v>77</v>
      </c>
      <c r="AD5">
        <v>0.005</v>
      </c>
      <c r="AE5">
        <v>3647</v>
      </c>
      <c r="AF5">
        <v>1761</v>
      </c>
      <c r="AG5">
        <v>0</v>
      </c>
      <c r="AH5">
        <v>1</v>
      </c>
      <c r="AI5">
        <v>0</v>
      </c>
      <c r="AJ5">
        <v>-1</v>
      </c>
      <c r="AK5">
        <v>-1</v>
      </c>
      <c r="AL5">
        <v>0</v>
      </c>
      <c r="AM5">
        <v>1</v>
      </c>
      <c r="AN5">
        <v>1</v>
      </c>
      <c r="AO5" s="8">
        <v>1</v>
      </c>
      <c r="AP5">
        <v>-1</v>
      </c>
      <c r="AQ5">
        <v>0</v>
      </c>
      <c r="AR5">
        <v>-1</v>
      </c>
      <c r="AS5">
        <v>1</v>
      </c>
      <c r="AT5">
        <v>-1</v>
      </c>
      <c r="AU5">
        <v>1</v>
      </c>
      <c r="AV5">
        <v>0</v>
      </c>
      <c r="AW5">
        <v>-1</v>
      </c>
      <c r="AX5">
        <v>-1</v>
      </c>
      <c r="AY5">
        <v>2</v>
      </c>
      <c r="AZ5">
        <v>-1</v>
      </c>
      <c r="BA5">
        <v>0</v>
      </c>
      <c r="BB5">
        <v>-1</v>
      </c>
      <c r="BC5">
        <v>1</v>
      </c>
      <c r="BD5">
        <v>1</v>
      </c>
      <c r="BE5">
        <v>0</v>
      </c>
      <c r="BF5">
        <v>0</v>
      </c>
    </row>
    <row r="6" spans="1:58">
      <c r="A6" s="3" t="str">
        <f>IFERROR(A5+1,"#")</f>
        <v>#</v>
      </c>
      <c r="B6" s="3" t="str">
        <f>C6&amp;"（男）"</f>
        <v>蜜语轻舞·头（永久）（男）</v>
      </c>
      <c r="C6" s="7" t="str">
        <f>配置总览!E4&amp;"（永久）"</f>
        <v>蜜语轻舞·头（永久）</v>
      </c>
      <c r="D6">
        <v>8</v>
      </c>
      <c r="E6" s="3" t="str">
        <f>E5</f>
        <v>PWicon_WaiGuan/shizhuang_icon_head_miyuqingwu_nan</v>
      </c>
      <c r="F6" t="s">
        <v>505</v>
      </c>
      <c r="G6">
        <v>7</v>
      </c>
      <c r="H6">
        <v>1</v>
      </c>
      <c r="I6">
        <v>1</v>
      </c>
      <c r="J6">
        <v>1</v>
      </c>
      <c r="K6" s="3">
        <f t="shared" ref="K6:K16" si="0">K5</f>
        <v>3</v>
      </c>
      <c r="L6">
        <v>1</v>
      </c>
      <c r="M6">
        <v>999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-1</v>
      </c>
      <c r="U6">
        <v>-1</v>
      </c>
      <c r="V6">
        <v>0</v>
      </c>
      <c r="W6">
        <v>18542</v>
      </c>
      <c r="X6">
        <v>1</v>
      </c>
      <c r="Y6">
        <v>1</v>
      </c>
      <c r="Z6">
        <v>3</v>
      </c>
      <c r="AA6">
        <v>1</v>
      </c>
      <c r="AB6">
        <v>-1</v>
      </c>
      <c r="AC6">
        <v>77</v>
      </c>
      <c r="AD6">
        <v>0.005</v>
      </c>
      <c r="AE6">
        <v>3647</v>
      </c>
      <c r="AF6">
        <v>1761</v>
      </c>
      <c r="AG6">
        <v>0</v>
      </c>
      <c r="AH6">
        <v>1</v>
      </c>
      <c r="AI6">
        <v>0</v>
      </c>
      <c r="AJ6">
        <v>-1</v>
      </c>
      <c r="AK6">
        <v>-1</v>
      </c>
      <c r="AL6">
        <v>0</v>
      </c>
      <c r="AM6">
        <v>1</v>
      </c>
      <c r="AN6">
        <v>1</v>
      </c>
      <c r="AO6" s="8">
        <v>1</v>
      </c>
      <c r="AP6">
        <v>-1</v>
      </c>
      <c r="AQ6">
        <v>0</v>
      </c>
      <c r="AR6">
        <v>-1</v>
      </c>
      <c r="AS6">
        <v>1</v>
      </c>
      <c r="AT6">
        <v>-1</v>
      </c>
      <c r="AU6">
        <v>1</v>
      </c>
      <c r="AV6">
        <v>0</v>
      </c>
      <c r="AW6">
        <v>-1</v>
      </c>
      <c r="AX6">
        <v>-1</v>
      </c>
      <c r="AY6">
        <v>2</v>
      </c>
      <c r="AZ6">
        <v>-1</v>
      </c>
      <c r="BA6">
        <v>0</v>
      </c>
      <c r="BB6">
        <v>-1</v>
      </c>
      <c r="BC6">
        <v>1</v>
      </c>
      <c r="BD6">
        <v>1</v>
      </c>
      <c r="BE6">
        <v>0</v>
      </c>
      <c r="BF6">
        <v>0</v>
      </c>
    </row>
    <row r="7" spans="1:58">
      <c r="A7" s="3" t="str">
        <f>IFERROR(A6+1,"#")</f>
        <v>#</v>
      </c>
      <c r="B7" s="3" t="str">
        <f>C7&amp;"（女）"</f>
        <v>蜜语轻舞·头（7天）（女）</v>
      </c>
      <c r="C7" s="7" t="str">
        <f>配置总览!E4&amp;"（7天）"</f>
        <v>蜜语轻舞·头（7天）</v>
      </c>
      <c r="D7">
        <v>8</v>
      </c>
      <c r="E7" s="7" t="str">
        <f>"PWicon_WaiGuan/"&amp;配置总览!N7</f>
        <v>PWicon_WaiGuan/shizhuang_icon_head_miyuqingwu_nv</v>
      </c>
      <c r="F7" t="s">
        <v>505</v>
      </c>
      <c r="G7">
        <v>7</v>
      </c>
      <c r="H7">
        <v>1</v>
      </c>
      <c r="I7">
        <v>1</v>
      </c>
      <c r="J7">
        <v>1</v>
      </c>
      <c r="K7" s="3">
        <f t="shared" si="0"/>
        <v>3</v>
      </c>
      <c r="L7">
        <v>1</v>
      </c>
      <c r="M7">
        <v>999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-1</v>
      </c>
      <c r="U7">
        <v>-1</v>
      </c>
      <c r="V7">
        <v>0</v>
      </c>
      <c r="W7">
        <v>18541</v>
      </c>
      <c r="X7">
        <v>1</v>
      </c>
      <c r="Y7">
        <v>1</v>
      </c>
      <c r="Z7">
        <v>3</v>
      </c>
      <c r="AA7">
        <v>1</v>
      </c>
      <c r="AB7">
        <v>-1</v>
      </c>
      <c r="AC7">
        <v>77</v>
      </c>
      <c r="AD7">
        <v>0.005</v>
      </c>
      <c r="AE7">
        <v>3647</v>
      </c>
      <c r="AF7">
        <v>1761</v>
      </c>
      <c r="AG7">
        <v>0</v>
      </c>
      <c r="AH7">
        <v>1</v>
      </c>
      <c r="AI7">
        <v>0</v>
      </c>
      <c r="AJ7">
        <v>-1</v>
      </c>
      <c r="AK7">
        <v>-1</v>
      </c>
      <c r="AL7">
        <v>0</v>
      </c>
      <c r="AM7">
        <v>1</v>
      </c>
      <c r="AN7">
        <v>1</v>
      </c>
      <c r="AO7" s="8">
        <v>1</v>
      </c>
      <c r="AP7">
        <v>-1</v>
      </c>
      <c r="AQ7">
        <v>0</v>
      </c>
      <c r="AR7">
        <v>-1</v>
      </c>
      <c r="AS7">
        <v>1</v>
      </c>
      <c r="AT7">
        <v>-1</v>
      </c>
      <c r="AU7">
        <v>1</v>
      </c>
      <c r="AV7">
        <v>0</v>
      </c>
      <c r="AW7">
        <v>-1</v>
      </c>
      <c r="AX7">
        <v>-1</v>
      </c>
      <c r="AY7">
        <v>2</v>
      </c>
      <c r="AZ7">
        <v>-1</v>
      </c>
      <c r="BA7">
        <v>0</v>
      </c>
      <c r="BB7">
        <v>-1</v>
      </c>
      <c r="BC7">
        <v>1</v>
      </c>
      <c r="BD7">
        <v>1</v>
      </c>
      <c r="BE7">
        <v>0</v>
      </c>
      <c r="BF7">
        <v>0</v>
      </c>
    </row>
    <row r="8" spans="1:58">
      <c r="A8" s="3" t="str">
        <f>IFERROR(A7+1,"#")</f>
        <v>#</v>
      </c>
      <c r="B8" s="3" t="str">
        <f t="shared" ref="B8:B12" si="1">C8&amp;"（女）"</f>
        <v>蜜语轻舞·头（永久）（女）</v>
      </c>
      <c r="C8" s="7" t="str">
        <f>配置总览!E4&amp;"（永久）"</f>
        <v>蜜语轻舞·头（永久）</v>
      </c>
      <c r="D8">
        <v>8</v>
      </c>
      <c r="E8" s="3" t="str">
        <f t="shared" ref="E8" si="2">E7</f>
        <v>PWicon_WaiGuan/shizhuang_icon_head_miyuqingwu_nv</v>
      </c>
      <c r="F8" t="s">
        <v>505</v>
      </c>
      <c r="G8">
        <v>7</v>
      </c>
      <c r="H8">
        <v>1</v>
      </c>
      <c r="I8">
        <v>1</v>
      </c>
      <c r="J8">
        <v>1</v>
      </c>
      <c r="K8" s="3">
        <f t="shared" si="0"/>
        <v>3</v>
      </c>
      <c r="L8">
        <v>1</v>
      </c>
      <c r="M8">
        <v>999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-1</v>
      </c>
      <c r="U8">
        <v>-1</v>
      </c>
      <c r="V8">
        <v>0</v>
      </c>
      <c r="W8">
        <v>18542</v>
      </c>
      <c r="X8">
        <v>1</v>
      </c>
      <c r="Y8">
        <v>1</v>
      </c>
      <c r="Z8">
        <v>3</v>
      </c>
      <c r="AA8">
        <v>1</v>
      </c>
      <c r="AB8">
        <v>-1</v>
      </c>
      <c r="AC8">
        <v>77</v>
      </c>
      <c r="AD8">
        <v>0.005</v>
      </c>
      <c r="AE8">
        <v>3647</v>
      </c>
      <c r="AF8">
        <v>1761</v>
      </c>
      <c r="AG8">
        <v>0</v>
      </c>
      <c r="AH8">
        <v>1</v>
      </c>
      <c r="AI8">
        <v>0</v>
      </c>
      <c r="AJ8">
        <v>-1</v>
      </c>
      <c r="AK8">
        <v>-1</v>
      </c>
      <c r="AL8">
        <v>0</v>
      </c>
      <c r="AM8">
        <v>1</v>
      </c>
      <c r="AN8">
        <v>1</v>
      </c>
      <c r="AO8" s="8">
        <v>1</v>
      </c>
      <c r="AP8">
        <v>-1</v>
      </c>
      <c r="AQ8">
        <v>0</v>
      </c>
      <c r="AR8">
        <v>-1</v>
      </c>
      <c r="AS8">
        <v>1</v>
      </c>
      <c r="AT8">
        <v>-1</v>
      </c>
      <c r="AU8">
        <v>1</v>
      </c>
      <c r="AV8">
        <v>0</v>
      </c>
      <c r="AW8">
        <v>-1</v>
      </c>
      <c r="AX8">
        <v>-1</v>
      </c>
      <c r="AY8">
        <v>2</v>
      </c>
      <c r="AZ8">
        <v>-1</v>
      </c>
      <c r="BA8">
        <v>0</v>
      </c>
      <c r="BB8">
        <v>-1</v>
      </c>
      <c r="BC8">
        <v>1</v>
      </c>
      <c r="BD8">
        <v>1</v>
      </c>
      <c r="BE8">
        <v>0</v>
      </c>
      <c r="BF8">
        <v>0</v>
      </c>
    </row>
    <row r="9" spans="1:58">
      <c r="A9" s="7" t="str">
        <f>IF(配置总览!$B$18="导出",159570+配置总览!H20*8-3,"#")</f>
        <v>#</v>
      </c>
      <c r="B9" s="3" t="str">
        <f>C9&amp;"（男）"</f>
        <v>蜜语轻舞（7天）（男）</v>
      </c>
      <c r="C9" s="7" t="str">
        <f>配置总览!E18&amp;"（7天）"</f>
        <v>蜜语轻舞（7天）</v>
      </c>
      <c r="D9">
        <v>8</v>
      </c>
      <c r="E9" s="7" t="str">
        <f>"PWicon_WaiGuan/"&amp;配置总览!N20</f>
        <v>PWicon_WaiGuan/shizhuang_icon_miyuqingwu_nan</v>
      </c>
      <c r="F9" t="s">
        <v>44</v>
      </c>
      <c r="G9">
        <v>7</v>
      </c>
      <c r="H9">
        <v>1</v>
      </c>
      <c r="I9">
        <v>1</v>
      </c>
      <c r="J9">
        <v>1</v>
      </c>
      <c r="K9" s="7">
        <f>配置总览!I18+1</f>
        <v>3</v>
      </c>
      <c r="L9">
        <v>1</v>
      </c>
      <c r="M9">
        <v>999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-1</v>
      </c>
      <c r="U9">
        <v>-1</v>
      </c>
      <c r="V9">
        <v>0</v>
      </c>
      <c r="W9">
        <v>16521</v>
      </c>
      <c r="X9">
        <v>1</v>
      </c>
      <c r="Y9">
        <v>1</v>
      </c>
      <c r="Z9">
        <v>3</v>
      </c>
      <c r="AA9">
        <v>1</v>
      </c>
      <c r="AB9">
        <v>-1</v>
      </c>
      <c r="AC9">
        <v>77</v>
      </c>
      <c r="AD9">
        <v>0.005</v>
      </c>
      <c r="AE9">
        <v>3647</v>
      </c>
      <c r="AF9">
        <v>1761</v>
      </c>
      <c r="AG9">
        <v>0</v>
      </c>
      <c r="AH9">
        <v>1</v>
      </c>
      <c r="AI9">
        <v>0</v>
      </c>
      <c r="AJ9">
        <v>-1</v>
      </c>
      <c r="AK9">
        <v>-1</v>
      </c>
      <c r="AL9">
        <v>0</v>
      </c>
      <c r="AM9">
        <v>1</v>
      </c>
      <c r="AN9">
        <v>1</v>
      </c>
      <c r="AO9" s="8">
        <v>1</v>
      </c>
      <c r="AP9">
        <v>-1</v>
      </c>
      <c r="AQ9">
        <v>0</v>
      </c>
      <c r="AR9">
        <v>-1</v>
      </c>
      <c r="AS9">
        <v>1</v>
      </c>
      <c r="AT9">
        <v>-1</v>
      </c>
      <c r="AU9">
        <v>1</v>
      </c>
      <c r="AV9">
        <v>0</v>
      </c>
      <c r="AW9">
        <v>-1</v>
      </c>
      <c r="AX9">
        <v>-1</v>
      </c>
      <c r="AY9">
        <v>2</v>
      </c>
      <c r="AZ9">
        <v>-1</v>
      </c>
      <c r="BA9">
        <v>0</v>
      </c>
      <c r="BB9">
        <v>-1</v>
      </c>
      <c r="BC9">
        <v>1</v>
      </c>
      <c r="BD9">
        <v>1</v>
      </c>
      <c r="BE9">
        <v>0</v>
      </c>
      <c r="BF9">
        <v>0</v>
      </c>
    </row>
    <row r="10" spans="1:58">
      <c r="A10" s="3" t="str">
        <f t="shared" ref="A10:A16" si="3">IFERROR(A9+1,"#")</f>
        <v>#</v>
      </c>
      <c r="B10" s="3" t="str">
        <f>C10&amp;"（男）"</f>
        <v>蜜语轻舞（永久）（男）</v>
      </c>
      <c r="C10" s="7" t="str">
        <f>配置总览!E18&amp;"（永久）"</f>
        <v>蜜语轻舞（永久）</v>
      </c>
      <c r="D10">
        <v>8</v>
      </c>
      <c r="E10" s="3" t="str">
        <f>E9</f>
        <v>PWicon_WaiGuan/shizhuang_icon_miyuqingwu_nan</v>
      </c>
      <c r="F10" t="s">
        <v>44</v>
      </c>
      <c r="G10">
        <v>7</v>
      </c>
      <c r="H10">
        <v>1</v>
      </c>
      <c r="I10">
        <v>1</v>
      </c>
      <c r="J10">
        <v>1</v>
      </c>
      <c r="K10" s="3">
        <f t="shared" si="0"/>
        <v>3</v>
      </c>
      <c r="L10">
        <v>1</v>
      </c>
      <c r="M10">
        <v>999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-1</v>
      </c>
      <c r="U10">
        <v>-1</v>
      </c>
      <c r="V10">
        <v>0</v>
      </c>
      <c r="W10">
        <v>16522</v>
      </c>
      <c r="X10">
        <v>1</v>
      </c>
      <c r="Y10">
        <v>1</v>
      </c>
      <c r="Z10">
        <v>3</v>
      </c>
      <c r="AA10">
        <v>1</v>
      </c>
      <c r="AB10">
        <v>-1</v>
      </c>
      <c r="AC10">
        <v>77</v>
      </c>
      <c r="AD10">
        <v>0.005</v>
      </c>
      <c r="AE10">
        <v>3647</v>
      </c>
      <c r="AF10">
        <v>1761</v>
      </c>
      <c r="AG10">
        <v>0</v>
      </c>
      <c r="AH10">
        <v>1</v>
      </c>
      <c r="AI10">
        <v>0</v>
      </c>
      <c r="AJ10">
        <v>-1</v>
      </c>
      <c r="AK10">
        <v>-1</v>
      </c>
      <c r="AL10">
        <v>0</v>
      </c>
      <c r="AM10">
        <v>1</v>
      </c>
      <c r="AN10">
        <v>1</v>
      </c>
      <c r="AO10" s="8">
        <v>1</v>
      </c>
      <c r="AP10">
        <v>-1</v>
      </c>
      <c r="AQ10">
        <v>0</v>
      </c>
      <c r="AR10">
        <v>-1</v>
      </c>
      <c r="AS10">
        <v>1</v>
      </c>
      <c r="AT10">
        <v>-1</v>
      </c>
      <c r="AU10">
        <v>1</v>
      </c>
      <c r="AV10">
        <v>0</v>
      </c>
      <c r="AW10">
        <v>-1</v>
      </c>
      <c r="AX10">
        <v>-1</v>
      </c>
      <c r="AY10">
        <v>2</v>
      </c>
      <c r="AZ10">
        <v>-1</v>
      </c>
      <c r="BA10">
        <v>0</v>
      </c>
      <c r="BB10">
        <v>-1</v>
      </c>
      <c r="BC10">
        <v>1</v>
      </c>
      <c r="BD10">
        <v>1</v>
      </c>
      <c r="BE10">
        <v>0</v>
      </c>
      <c r="BF10">
        <v>0</v>
      </c>
    </row>
    <row r="11" spans="1:58">
      <c r="A11" s="3" t="str">
        <f t="shared" si="3"/>
        <v>#</v>
      </c>
      <c r="B11" s="3" t="str">
        <f t="shared" si="1"/>
        <v>蜜语轻舞（7天）（女）</v>
      </c>
      <c r="C11" s="7" t="str">
        <f>配置总览!E18&amp;"（7天）"</f>
        <v>蜜语轻舞（7天）</v>
      </c>
      <c r="D11">
        <v>8</v>
      </c>
      <c r="E11" s="7" t="str">
        <f>"PWicon_WaiGuan/"&amp;配置总览!N21</f>
        <v>PWicon_WaiGuan/shizhuang_icon_miyuqingwu_nv</v>
      </c>
      <c r="F11" t="s">
        <v>44</v>
      </c>
      <c r="G11">
        <v>7</v>
      </c>
      <c r="H11">
        <v>1</v>
      </c>
      <c r="I11">
        <v>1</v>
      </c>
      <c r="J11">
        <v>1</v>
      </c>
      <c r="K11" s="3">
        <f t="shared" si="0"/>
        <v>3</v>
      </c>
      <c r="L11">
        <v>1</v>
      </c>
      <c r="M11">
        <v>999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-1</v>
      </c>
      <c r="U11">
        <v>-1</v>
      </c>
      <c r="V11">
        <v>0</v>
      </c>
      <c r="W11">
        <v>16521</v>
      </c>
      <c r="X11">
        <v>1</v>
      </c>
      <c r="Y11">
        <v>1</v>
      </c>
      <c r="Z11">
        <v>3</v>
      </c>
      <c r="AA11">
        <v>1</v>
      </c>
      <c r="AB11">
        <v>-1</v>
      </c>
      <c r="AC11">
        <v>77</v>
      </c>
      <c r="AD11">
        <v>0.005</v>
      </c>
      <c r="AE11">
        <v>3647</v>
      </c>
      <c r="AF11">
        <v>1761</v>
      </c>
      <c r="AG11">
        <v>0</v>
      </c>
      <c r="AH11">
        <v>1</v>
      </c>
      <c r="AI11">
        <v>0</v>
      </c>
      <c r="AJ11">
        <v>-1</v>
      </c>
      <c r="AK11">
        <v>-1</v>
      </c>
      <c r="AL11">
        <v>0</v>
      </c>
      <c r="AM11">
        <v>1</v>
      </c>
      <c r="AN11">
        <v>1</v>
      </c>
      <c r="AO11" s="8">
        <v>1</v>
      </c>
      <c r="AP11">
        <v>-1</v>
      </c>
      <c r="AQ11">
        <v>0</v>
      </c>
      <c r="AR11">
        <v>-1</v>
      </c>
      <c r="AS11">
        <v>1</v>
      </c>
      <c r="AT11">
        <v>-1</v>
      </c>
      <c r="AU11">
        <v>1</v>
      </c>
      <c r="AV11">
        <v>0</v>
      </c>
      <c r="AW11">
        <v>-1</v>
      </c>
      <c r="AX11">
        <v>-1</v>
      </c>
      <c r="AY11">
        <v>2</v>
      </c>
      <c r="AZ11">
        <v>-1</v>
      </c>
      <c r="BA11">
        <v>0</v>
      </c>
      <c r="BB11">
        <v>-1</v>
      </c>
      <c r="BC11">
        <v>1</v>
      </c>
      <c r="BD11">
        <v>1</v>
      </c>
      <c r="BE11">
        <v>0</v>
      </c>
      <c r="BF11">
        <v>0</v>
      </c>
    </row>
    <row r="12" spans="1:58">
      <c r="A12" s="3" t="str">
        <f t="shared" si="3"/>
        <v>#</v>
      </c>
      <c r="B12" s="3" t="str">
        <f t="shared" si="1"/>
        <v>蜜语轻舞（永久）（女）</v>
      </c>
      <c r="C12" s="7" t="str">
        <f>配置总览!E18&amp;"（永久）"</f>
        <v>蜜语轻舞（永久）</v>
      </c>
      <c r="D12">
        <v>8</v>
      </c>
      <c r="E12" s="3" t="str">
        <f t="shared" ref="E12:E16" si="4">E11</f>
        <v>PWicon_WaiGuan/shizhuang_icon_miyuqingwu_nv</v>
      </c>
      <c r="F12" t="s">
        <v>44</v>
      </c>
      <c r="G12">
        <v>7</v>
      </c>
      <c r="H12">
        <v>1</v>
      </c>
      <c r="I12">
        <v>1</v>
      </c>
      <c r="J12">
        <v>1</v>
      </c>
      <c r="K12" s="3">
        <f t="shared" si="0"/>
        <v>3</v>
      </c>
      <c r="L12">
        <v>1</v>
      </c>
      <c r="M12">
        <v>999</v>
      </c>
      <c r="N12">
        <v>1</v>
      </c>
      <c r="O12">
        <v>1</v>
      </c>
      <c r="P12">
        <v>1</v>
      </c>
      <c r="Q12">
        <v>1</v>
      </c>
      <c r="R12">
        <v>0</v>
      </c>
      <c r="S12">
        <v>1</v>
      </c>
      <c r="T12">
        <v>-1</v>
      </c>
      <c r="U12">
        <v>-1</v>
      </c>
      <c r="V12">
        <v>0</v>
      </c>
      <c r="W12">
        <v>16522</v>
      </c>
      <c r="X12">
        <v>1</v>
      </c>
      <c r="Y12">
        <v>1</v>
      </c>
      <c r="Z12">
        <v>3</v>
      </c>
      <c r="AA12">
        <v>1</v>
      </c>
      <c r="AB12">
        <v>-1</v>
      </c>
      <c r="AC12">
        <v>77</v>
      </c>
      <c r="AD12">
        <v>0.005</v>
      </c>
      <c r="AE12">
        <v>3647</v>
      </c>
      <c r="AF12">
        <v>1761</v>
      </c>
      <c r="AG12">
        <v>0</v>
      </c>
      <c r="AH12">
        <v>1</v>
      </c>
      <c r="AI12">
        <v>0</v>
      </c>
      <c r="AJ12">
        <v>-1</v>
      </c>
      <c r="AK12">
        <v>-1</v>
      </c>
      <c r="AL12">
        <v>0</v>
      </c>
      <c r="AM12">
        <v>1</v>
      </c>
      <c r="AN12">
        <v>1</v>
      </c>
      <c r="AO12" s="8">
        <v>1</v>
      </c>
      <c r="AP12">
        <v>-1</v>
      </c>
      <c r="AQ12">
        <v>0</v>
      </c>
      <c r="AR12">
        <v>-1</v>
      </c>
      <c r="AS12">
        <v>1</v>
      </c>
      <c r="AT12">
        <v>-1</v>
      </c>
      <c r="AU12">
        <v>1</v>
      </c>
      <c r="AV12">
        <v>0</v>
      </c>
      <c r="AW12">
        <v>-1</v>
      </c>
      <c r="AX12">
        <v>-1</v>
      </c>
      <c r="AY12">
        <v>2</v>
      </c>
      <c r="AZ12">
        <v>-1</v>
      </c>
      <c r="BA12">
        <v>0</v>
      </c>
      <c r="BB12">
        <v>-1</v>
      </c>
      <c r="BC12">
        <v>1</v>
      </c>
      <c r="BD12">
        <v>1</v>
      </c>
      <c r="BE12">
        <v>0</v>
      </c>
      <c r="BF12">
        <v>0</v>
      </c>
    </row>
    <row r="13" spans="1:58">
      <c r="A13" s="7" t="str">
        <f>IF(配置总览!$B$32="导出",162000+配置总览!H34*2-1,"#")</f>
        <v>#</v>
      </c>
      <c r="B13" s="3" t="str">
        <f>C13</f>
        <v>小狗蛇-吉祥如亿（7天）</v>
      </c>
      <c r="C13" s="7" t="str">
        <f>配置总览!E32&amp;"（7天）"</f>
        <v>小狗蛇-吉祥如亿（7天）</v>
      </c>
      <c r="D13">
        <v>8</v>
      </c>
      <c r="E13" s="7" t="str">
        <f>"PWicon_WaiGuan/"&amp;配置总览!N34</f>
        <v>PWicon_WaiGuan/icon_zuoqi_zhaocaimaoxiaogoushe</v>
      </c>
      <c r="F13" t="s">
        <v>62</v>
      </c>
      <c r="G13">
        <v>8</v>
      </c>
      <c r="H13">
        <v>1</v>
      </c>
      <c r="I13">
        <v>1</v>
      </c>
      <c r="J13">
        <v>5</v>
      </c>
      <c r="K13" s="7">
        <f>配置总览!I32+1</f>
        <v>5</v>
      </c>
      <c r="L13">
        <v>3</v>
      </c>
      <c r="M13">
        <v>999</v>
      </c>
      <c r="N13">
        <v>1</v>
      </c>
      <c r="O13">
        <v>1</v>
      </c>
      <c r="P13">
        <v>1</v>
      </c>
      <c r="Q13">
        <v>1</v>
      </c>
      <c r="R13">
        <v>0</v>
      </c>
      <c r="S13">
        <v>1</v>
      </c>
      <c r="T13">
        <v>-1</v>
      </c>
      <c r="U13">
        <v>-1</v>
      </c>
      <c r="V13">
        <v>0</v>
      </c>
      <c r="W13">
        <v>17505</v>
      </c>
      <c r="X13">
        <v>1</v>
      </c>
      <c r="Y13">
        <v>1</v>
      </c>
      <c r="Z13">
        <v>3</v>
      </c>
      <c r="AA13">
        <v>1</v>
      </c>
      <c r="AB13">
        <v>-1</v>
      </c>
      <c r="AC13">
        <v>23</v>
      </c>
      <c r="AD13">
        <v>0.005</v>
      </c>
      <c r="AE13">
        <v>3647</v>
      </c>
      <c r="AF13">
        <v>1761</v>
      </c>
      <c r="AG13">
        <v>0</v>
      </c>
      <c r="AH13">
        <v>1</v>
      </c>
      <c r="AI13">
        <v>0</v>
      </c>
      <c r="AJ13">
        <v>-1</v>
      </c>
      <c r="AK13">
        <v>-1</v>
      </c>
      <c r="AL13">
        <v>0</v>
      </c>
      <c r="AM13">
        <v>1</v>
      </c>
      <c r="AN13">
        <v>1</v>
      </c>
      <c r="AO13" s="8">
        <v>1</v>
      </c>
      <c r="AP13">
        <v>-1</v>
      </c>
      <c r="AQ13">
        <v>0</v>
      </c>
      <c r="AR13">
        <v>-1</v>
      </c>
      <c r="AS13">
        <v>1</v>
      </c>
      <c r="AT13">
        <v>-1</v>
      </c>
      <c r="AU13">
        <v>1</v>
      </c>
      <c r="AV13">
        <v>0</v>
      </c>
      <c r="AW13">
        <v>-1</v>
      </c>
      <c r="AX13">
        <v>-1</v>
      </c>
      <c r="AY13">
        <v>2</v>
      </c>
      <c r="AZ13">
        <v>-1</v>
      </c>
      <c r="BA13">
        <v>0</v>
      </c>
      <c r="BB13">
        <v>-1</v>
      </c>
      <c r="BC13">
        <v>1</v>
      </c>
      <c r="BD13">
        <v>1</v>
      </c>
      <c r="BE13">
        <v>0</v>
      </c>
      <c r="BF13">
        <v>0</v>
      </c>
    </row>
    <row r="14" spans="1:58">
      <c r="A14" s="3" t="str">
        <f t="shared" si="3"/>
        <v>#</v>
      </c>
      <c r="B14" s="3" t="str">
        <f>C14</f>
        <v>小狗蛇-吉祥如亿（永久）</v>
      </c>
      <c r="C14" s="7" t="str">
        <f>配置总览!E32&amp;"（永久）"</f>
        <v>小狗蛇-吉祥如亿（永久）</v>
      </c>
      <c r="D14">
        <v>8</v>
      </c>
      <c r="E14" s="3" t="str">
        <f t="shared" si="4"/>
        <v>PWicon_WaiGuan/icon_zuoqi_zhaocaimaoxiaogoushe</v>
      </c>
      <c r="F14" t="s">
        <v>62</v>
      </c>
      <c r="G14">
        <v>8</v>
      </c>
      <c r="H14">
        <v>1</v>
      </c>
      <c r="I14">
        <v>1</v>
      </c>
      <c r="J14">
        <v>5</v>
      </c>
      <c r="K14" s="3">
        <f t="shared" si="0"/>
        <v>5</v>
      </c>
      <c r="L14">
        <v>3</v>
      </c>
      <c r="M14">
        <v>999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-1</v>
      </c>
      <c r="U14">
        <v>-1</v>
      </c>
      <c r="V14">
        <v>0</v>
      </c>
      <c r="W14">
        <v>17506</v>
      </c>
      <c r="X14">
        <v>1</v>
      </c>
      <c r="Y14">
        <v>1</v>
      </c>
      <c r="Z14">
        <v>3</v>
      </c>
      <c r="AA14">
        <v>1</v>
      </c>
      <c r="AB14">
        <v>-1</v>
      </c>
      <c r="AC14">
        <v>23</v>
      </c>
      <c r="AD14">
        <v>0.005</v>
      </c>
      <c r="AE14">
        <v>3647</v>
      </c>
      <c r="AF14">
        <v>1761</v>
      </c>
      <c r="AG14">
        <v>0</v>
      </c>
      <c r="AH14">
        <v>1</v>
      </c>
      <c r="AI14">
        <v>0</v>
      </c>
      <c r="AJ14">
        <v>-1</v>
      </c>
      <c r="AK14">
        <v>-1</v>
      </c>
      <c r="AL14">
        <v>0</v>
      </c>
      <c r="AM14">
        <v>1</v>
      </c>
      <c r="AN14">
        <v>1</v>
      </c>
      <c r="AO14" s="8">
        <v>1</v>
      </c>
      <c r="AP14">
        <v>-1</v>
      </c>
      <c r="AQ14">
        <v>0</v>
      </c>
      <c r="AR14">
        <v>-1</v>
      </c>
      <c r="AS14">
        <v>1</v>
      </c>
      <c r="AT14">
        <v>-1</v>
      </c>
      <c r="AU14">
        <v>1</v>
      </c>
      <c r="AV14">
        <v>0</v>
      </c>
      <c r="AW14">
        <v>-1</v>
      </c>
      <c r="AX14">
        <v>-1</v>
      </c>
      <c r="AY14">
        <v>2</v>
      </c>
      <c r="AZ14">
        <v>-1</v>
      </c>
      <c r="BA14">
        <v>0</v>
      </c>
      <c r="BB14">
        <v>-1</v>
      </c>
      <c r="BC14">
        <v>1</v>
      </c>
      <c r="BD14">
        <v>1</v>
      </c>
      <c r="BE14">
        <v>0</v>
      </c>
      <c r="BF14">
        <v>0</v>
      </c>
    </row>
    <row r="15" spans="1:58">
      <c r="A15" s="7" t="str">
        <f>IF(配置总览!$B$46="导出",163001+配置总览!H48*2-1,"#")</f>
        <v>#</v>
      </c>
      <c r="B15" s="3" t="str">
        <f>C15</f>
        <v>小飞猪（7天）</v>
      </c>
      <c r="C15" s="7" t="str">
        <f>配置总览!E46&amp;"（7天）"</f>
        <v>小飞猪（7天）</v>
      </c>
      <c r="D15">
        <v>8</v>
      </c>
      <c r="E15" s="7" t="str">
        <f>"PWicon_WaiGuan/"&amp;配置总览!N48</f>
        <v>PWicon_WaiGuan/icon_feixingqi_feitianzhu</v>
      </c>
      <c r="F15" t="s">
        <v>87</v>
      </c>
      <c r="G15">
        <v>8</v>
      </c>
      <c r="H15">
        <v>2</v>
      </c>
      <c r="I15">
        <v>1</v>
      </c>
      <c r="J15">
        <v>5</v>
      </c>
      <c r="K15" s="7">
        <f>配置总览!I46+1</f>
        <v>4</v>
      </c>
      <c r="L15">
        <v>15</v>
      </c>
      <c r="M15">
        <v>999</v>
      </c>
      <c r="N15">
        <v>1</v>
      </c>
      <c r="O15">
        <v>1</v>
      </c>
      <c r="P15">
        <v>1</v>
      </c>
      <c r="Q15">
        <v>1</v>
      </c>
      <c r="R15">
        <v>0</v>
      </c>
      <c r="S15">
        <v>1</v>
      </c>
      <c r="T15">
        <v>-1</v>
      </c>
      <c r="U15">
        <v>-1</v>
      </c>
      <c r="V15">
        <v>0</v>
      </c>
      <c r="W15">
        <v>17001</v>
      </c>
      <c r="X15">
        <v>1</v>
      </c>
      <c r="Y15">
        <v>1</v>
      </c>
      <c r="Z15">
        <v>3</v>
      </c>
      <c r="AA15">
        <v>1</v>
      </c>
      <c r="AB15">
        <v>-1</v>
      </c>
      <c r="AC15">
        <v>5</v>
      </c>
      <c r="AD15">
        <v>0.005</v>
      </c>
      <c r="AE15">
        <v>3647</v>
      </c>
      <c r="AF15">
        <v>1761</v>
      </c>
      <c r="AG15">
        <v>0</v>
      </c>
      <c r="AH15">
        <v>1</v>
      </c>
      <c r="AI15">
        <v>0</v>
      </c>
      <c r="AJ15">
        <v>-1</v>
      </c>
      <c r="AK15">
        <v>-1</v>
      </c>
      <c r="AL15">
        <v>0</v>
      </c>
      <c r="AM15">
        <v>1</v>
      </c>
      <c r="AN15">
        <v>1</v>
      </c>
      <c r="AO15" s="8">
        <v>1</v>
      </c>
      <c r="AP15">
        <v>-1</v>
      </c>
      <c r="AQ15">
        <v>0</v>
      </c>
      <c r="AR15">
        <v>-1</v>
      </c>
      <c r="AS15">
        <v>1</v>
      </c>
      <c r="AT15">
        <v>-1</v>
      </c>
      <c r="AU15">
        <v>1</v>
      </c>
      <c r="AV15">
        <v>0</v>
      </c>
      <c r="AW15">
        <v>-1</v>
      </c>
      <c r="AX15">
        <v>-1</v>
      </c>
      <c r="AY15">
        <v>2</v>
      </c>
      <c r="AZ15">
        <v>-1</v>
      </c>
      <c r="BA15">
        <v>0</v>
      </c>
      <c r="BB15">
        <v>-1</v>
      </c>
      <c r="BC15">
        <v>1</v>
      </c>
      <c r="BD15">
        <v>1</v>
      </c>
      <c r="BE15">
        <v>0</v>
      </c>
      <c r="BF15">
        <v>0</v>
      </c>
    </row>
    <row r="16" spans="1:58">
      <c r="A16" s="3" t="str">
        <f t="shared" si="3"/>
        <v>#</v>
      </c>
      <c r="B16" s="3" t="str">
        <f>C16</f>
        <v>小飞猪（永久）</v>
      </c>
      <c r="C16" s="7" t="str">
        <f>配置总览!E46&amp;"（永久）"</f>
        <v>小飞猪（永久）</v>
      </c>
      <c r="D16">
        <v>8</v>
      </c>
      <c r="E16" s="3" t="str">
        <f t="shared" si="4"/>
        <v>PWicon_WaiGuan/icon_feixingqi_feitianzhu</v>
      </c>
      <c r="F16" t="s">
        <v>87</v>
      </c>
      <c r="G16">
        <v>8</v>
      </c>
      <c r="H16">
        <v>2</v>
      </c>
      <c r="I16">
        <v>1</v>
      </c>
      <c r="J16">
        <v>5</v>
      </c>
      <c r="K16" s="3">
        <f t="shared" si="0"/>
        <v>4</v>
      </c>
      <c r="L16">
        <v>15</v>
      </c>
      <c r="M16">
        <v>999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-1</v>
      </c>
      <c r="U16">
        <v>-1</v>
      </c>
      <c r="V16">
        <v>0</v>
      </c>
      <c r="W16">
        <v>17001</v>
      </c>
      <c r="X16">
        <v>1</v>
      </c>
      <c r="Y16">
        <v>1</v>
      </c>
      <c r="Z16">
        <v>3</v>
      </c>
      <c r="AA16">
        <v>1</v>
      </c>
      <c r="AB16">
        <v>-1</v>
      </c>
      <c r="AC16">
        <v>5</v>
      </c>
      <c r="AD16">
        <v>0.005</v>
      </c>
      <c r="AE16">
        <v>3647</v>
      </c>
      <c r="AF16">
        <v>1761</v>
      </c>
      <c r="AG16">
        <v>0</v>
      </c>
      <c r="AH16">
        <v>1</v>
      </c>
      <c r="AI16">
        <v>0</v>
      </c>
      <c r="AJ16">
        <v>-1</v>
      </c>
      <c r="AK16">
        <v>-1</v>
      </c>
      <c r="AL16">
        <v>0</v>
      </c>
      <c r="AM16">
        <v>1</v>
      </c>
      <c r="AN16">
        <v>1</v>
      </c>
      <c r="AO16" s="8">
        <v>1</v>
      </c>
      <c r="AP16">
        <v>-1</v>
      </c>
      <c r="AQ16">
        <v>0</v>
      </c>
      <c r="AR16">
        <v>-1</v>
      </c>
      <c r="AS16">
        <v>1</v>
      </c>
      <c r="AT16">
        <v>-1</v>
      </c>
      <c r="AU16">
        <v>1</v>
      </c>
      <c r="AV16">
        <v>0</v>
      </c>
      <c r="AW16">
        <v>-1</v>
      </c>
      <c r="AX16">
        <v>-1</v>
      </c>
      <c r="AY16">
        <v>2</v>
      </c>
      <c r="AZ16">
        <v>-1</v>
      </c>
      <c r="BA16">
        <v>0</v>
      </c>
      <c r="BB16">
        <v>-1</v>
      </c>
      <c r="BC16">
        <v>1</v>
      </c>
      <c r="BD16">
        <v>1</v>
      </c>
      <c r="BE16">
        <v>0</v>
      </c>
      <c r="BF16">
        <v>0</v>
      </c>
    </row>
    <row r="17" spans="1:58">
      <c r="A17" s="41" t="str">
        <f>IF(配置总览!$B$60="导出",163000+配置总览!H62*2-1,"#")</f>
        <v>#</v>
      </c>
      <c r="B17" s="3" t="str">
        <f t="shared" ref="B17:B22" si="5">C17</f>
        <v>仙玉台（7天）</v>
      </c>
      <c r="C17" s="41" t="str">
        <f>配置总览!E60&amp;"（7天）"</f>
        <v>仙玉台（7天）</v>
      </c>
      <c r="D17" s="37">
        <v>8</v>
      </c>
      <c r="E17" s="7" t="str">
        <f>"PWicon_WaiGuan/"&amp;配置总览!N60</f>
        <v>PWicon_WaiGuan/icon_feixingqi_baihe2</v>
      </c>
      <c r="F17" s="37" t="s">
        <v>87</v>
      </c>
      <c r="G17" s="37">
        <v>8</v>
      </c>
      <c r="H17" s="37">
        <v>2</v>
      </c>
      <c r="I17" s="37">
        <v>1</v>
      </c>
      <c r="J17" s="37">
        <v>5</v>
      </c>
      <c r="K17" s="7">
        <f>配置总览!I60+1</f>
        <v>4</v>
      </c>
      <c r="L17" s="37">
        <v>15</v>
      </c>
      <c r="M17" s="37">
        <v>999</v>
      </c>
      <c r="N17" s="37">
        <v>1</v>
      </c>
      <c r="O17" s="37">
        <v>1</v>
      </c>
      <c r="P17" s="37">
        <v>1</v>
      </c>
      <c r="Q17" s="37">
        <v>1</v>
      </c>
      <c r="R17" s="37">
        <v>0</v>
      </c>
      <c r="S17" s="37">
        <v>1</v>
      </c>
      <c r="T17" s="37">
        <v>-1</v>
      </c>
      <c r="U17" s="37">
        <v>-1</v>
      </c>
      <c r="V17" s="37">
        <v>0</v>
      </c>
      <c r="W17" s="37">
        <v>17089</v>
      </c>
      <c r="X17" s="37">
        <v>1</v>
      </c>
      <c r="Y17" s="37">
        <v>1</v>
      </c>
      <c r="Z17" s="37">
        <v>3</v>
      </c>
      <c r="AA17" s="37">
        <v>1</v>
      </c>
      <c r="AB17" s="37">
        <v>-1</v>
      </c>
      <c r="AC17" s="37">
        <v>5</v>
      </c>
      <c r="AD17" s="37">
        <v>0.005</v>
      </c>
      <c r="AE17" s="37">
        <v>3647</v>
      </c>
      <c r="AF17" s="37">
        <v>1761</v>
      </c>
      <c r="AG17" s="37">
        <v>0</v>
      </c>
      <c r="AH17" s="37">
        <v>1</v>
      </c>
      <c r="AI17" s="37">
        <v>0</v>
      </c>
      <c r="AJ17" s="37">
        <v>-1</v>
      </c>
      <c r="AK17" s="37">
        <v>-1</v>
      </c>
      <c r="AL17" s="37">
        <v>0</v>
      </c>
      <c r="AM17" s="37">
        <v>1</v>
      </c>
      <c r="AN17" s="37">
        <v>1</v>
      </c>
      <c r="AO17" s="51">
        <v>1</v>
      </c>
      <c r="AP17" s="37">
        <v>-1</v>
      </c>
      <c r="AQ17" s="37">
        <v>0</v>
      </c>
      <c r="AR17" s="37">
        <v>-1</v>
      </c>
      <c r="AS17" s="37">
        <v>1</v>
      </c>
      <c r="AT17" s="37">
        <v>-1</v>
      </c>
      <c r="AU17" s="37">
        <v>1</v>
      </c>
      <c r="AV17">
        <v>0</v>
      </c>
      <c r="AW17" s="37">
        <v>-1</v>
      </c>
      <c r="AX17" s="37">
        <v>-1</v>
      </c>
      <c r="AY17" s="37">
        <v>2</v>
      </c>
      <c r="AZ17" s="37">
        <v>-1</v>
      </c>
      <c r="BA17" s="37">
        <v>0</v>
      </c>
      <c r="BB17" s="37">
        <v>-1</v>
      </c>
      <c r="BC17" s="37">
        <v>1</v>
      </c>
      <c r="BD17" s="37">
        <v>1</v>
      </c>
      <c r="BE17" s="37">
        <v>0</v>
      </c>
      <c r="BF17" s="37">
        <v>0</v>
      </c>
    </row>
    <row r="18" spans="1:58">
      <c r="A18" s="3" t="str">
        <f>IFERROR(A17+1,"#")</f>
        <v>#</v>
      </c>
      <c r="B18" s="3" t="str">
        <f t="shared" si="5"/>
        <v>仙玉台（永久）</v>
      </c>
      <c r="C18" s="41" t="str">
        <f>配置总览!E60&amp;"（永久）"</f>
        <v>仙玉台（永久）</v>
      </c>
      <c r="D18" s="37">
        <v>8</v>
      </c>
      <c r="E18" s="3" t="str">
        <f>E17</f>
        <v>PWicon_WaiGuan/icon_feixingqi_baihe2</v>
      </c>
      <c r="F18" s="37" t="s">
        <v>87</v>
      </c>
      <c r="G18" s="37">
        <v>8</v>
      </c>
      <c r="H18" s="37">
        <v>2</v>
      </c>
      <c r="I18" s="37">
        <v>1</v>
      </c>
      <c r="J18" s="37">
        <v>5</v>
      </c>
      <c r="K18" s="3">
        <f>K17</f>
        <v>4</v>
      </c>
      <c r="L18" s="37">
        <v>15</v>
      </c>
      <c r="M18" s="37">
        <v>999</v>
      </c>
      <c r="N18" s="37">
        <v>1</v>
      </c>
      <c r="O18" s="37">
        <v>1</v>
      </c>
      <c r="P18" s="37">
        <v>1</v>
      </c>
      <c r="Q18" s="37">
        <v>1</v>
      </c>
      <c r="R18" s="37">
        <v>0</v>
      </c>
      <c r="S18" s="37">
        <v>1</v>
      </c>
      <c r="T18" s="37">
        <v>-1</v>
      </c>
      <c r="U18" s="37">
        <v>-1</v>
      </c>
      <c r="V18" s="37">
        <v>0</v>
      </c>
      <c r="W18" s="37">
        <v>17090</v>
      </c>
      <c r="X18" s="37">
        <v>1</v>
      </c>
      <c r="Y18" s="37">
        <v>1</v>
      </c>
      <c r="Z18" s="37">
        <v>3</v>
      </c>
      <c r="AA18" s="37">
        <v>1</v>
      </c>
      <c r="AB18" s="37">
        <v>-1</v>
      </c>
      <c r="AC18" s="37">
        <v>5</v>
      </c>
      <c r="AD18" s="37">
        <v>0.005</v>
      </c>
      <c r="AE18" s="37">
        <v>3647</v>
      </c>
      <c r="AF18" s="37">
        <v>1761</v>
      </c>
      <c r="AG18" s="37">
        <v>0</v>
      </c>
      <c r="AH18" s="37">
        <v>1</v>
      </c>
      <c r="AI18" s="37">
        <v>0</v>
      </c>
      <c r="AJ18" s="37">
        <v>-1</v>
      </c>
      <c r="AK18" s="37">
        <v>-1</v>
      </c>
      <c r="AL18" s="37">
        <v>0</v>
      </c>
      <c r="AM18" s="37">
        <v>1</v>
      </c>
      <c r="AN18" s="37">
        <v>1</v>
      </c>
      <c r="AO18" s="51">
        <v>1</v>
      </c>
      <c r="AP18" s="37">
        <v>-1</v>
      </c>
      <c r="AQ18" s="37">
        <v>0</v>
      </c>
      <c r="AR18" s="37">
        <v>-1</v>
      </c>
      <c r="AS18" s="37">
        <v>1</v>
      </c>
      <c r="AT18" s="37">
        <v>-1</v>
      </c>
      <c r="AU18" s="37">
        <v>1</v>
      </c>
      <c r="AV18">
        <v>0</v>
      </c>
      <c r="AW18" s="37">
        <v>-1</v>
      </c>
      <c r="AX18" s="37">
        <v>-1</v>
      </c>
      <c r="AY18" s="37">
        <v>2</v>
      </c>
      <c r="AZ18" s="37">
        <v>-1</v>
      </c>
      <c r="BA18" s="37">
        <v>0</v>
      </c>
      <c r="BB18" s="37">
        <v>-1</v>
      </c>
      <c r="BC18" s="37">
        <v>1</v>
      </c>
      <c r="BD18" s="37">
        <v>1</v>
      </c>
      <c r="BE18" s="37">
        <v>0</v>
      </c>
      <c r="BF18" s="37">
        <v>0</v>
      </c>
    </row>
    <row r="19" spans="1:58">
      <c r="A19" s="7" t="str">
        <f>IF(配置总览!$B$61="导出",163000+配置总览!H62*2-1+配置总览!A63*2,"#")</f>
        <v>#</v>
      </c>
      <c r="B19" s="3" t="str">
        <f t="shared" si="5"/>
        <v>仙合翼（7天）</v>
      </c>
      <c r="C19" s="41" t="str">
        <f>配置总览!E61&amp;"（7天）"</f>
        <v>仙合翼（7天）</v>
      </c>
      <c r="D19" s="37">
        <v>8</v>
      </c>
      <c r="E19" s="7" t="str">
        <f>"PWicon_WaiGuan/"&amp;配置总览!N61</f>
        <v>PWicon_WaiGuan/icon_feixingqi_haiyangzhixin</v>
      </c>
      <c r="F19" s="37" t="s">
        <v>87</v>
      </c>
      <c r="G19" s="37">
        <v>8</v>
      </c>
      <c r="H19" s="37">
        <v>2</v>
      </c>
      <c r="I19" s="37">
        <v>1</v>
      </c>
      <c r="J19" s="37">
        <v>5</v>
      </c>
      <c r="K19" s="3">
        <f>K18</f>
        <v>4</v>
      </c>
      <c r="L19" s="37">
        <v>15</v>
      </c>
      <c r="M19" s="37">
        <v>999</v>
      </c>
      <c r="N19" s="37">
        <v>1</v>
      </c>
      <c r="O19" s="37">
        <v>1</v>
      </c>
      <c r="P19" s="37">
        <v>1</v>
      </c>
      <c r="Q19" s="37">
        <v>1</v>
      </c>
      <c r="R19" s="37">
        <v>0</v>
      </c>
      <c r="S19" s="37">
        <v>1</v>
      </c>
      <c r="T19" s="37">
        <v>-1</v>
      </c>
      <c r="U19" s="37">
        <v>-1</v>
      </c>
      <c r="V19" s="37">
        <v>0</v>
      </c>
      <c r="W19" s="37">
        <v>17051</v>
      </c>
      <c r="X19" s="37">
        <v>1</v>
      </c>
      <c r="Y19" s="37">
        <v>1</v>
      </c>
      <c r="Z19" s="37">
        <v>3</v>
      </c>
      <c r="AA19" s="37">
        <v>1</v>
      </c>
      <c r="AB19" s="37">
        <v>-1</v>
      </c>
      <c r="AC19" s="37">
        <v>5</v>
      </c>
      <c r="AD19" s="37">
        <v>0.005</v>
      </c>
      <c r="AE19" s="37">
        <v>3647</v>
      </c>
      <c r="AF19" s="37">
        <v>1761</v>
      </c>
      <c r="AG19" s="37">
        <v>0</v>
      </c>
      <c r="AH19" s="37">
        <v>1</v>
      </c>
      <c r="AI19" s="37">
        <v>0</v>
      </c>
      <c r="AJ19" s="37">
        <v>-1</v>
      </c>
      <c r="AK19" s="37">
        <v>-1</v>
      </c>
      <c r="AL19" s="37">
        <v>0</v>
      </c>
      <c r="AM19" s="37">
        <v>1</v>
      </c>
      <c r="AN19" s="37">
        <v>1</v>
      </c>
      <c r="AO19" s="51">
        <v>1</v>
      </c>
      <c r="AP19" s="37">
        <v>-1</v>
      </c>
      <c r="AQ19" s="37">
        <v>0</v>
      </c>
      <c r="AR19" s="37">
        <v>-1</v>
      </c>
      <c r="AS19" s="37">
        <v>1</v>
      </c>
      <c r="AT19" s="37">
        <v>-1</v>
      </c>
      <c r="AU19" s="37">
        <v>1</v>
      </c>
      <c r="AV19">
        <v>0</v>
      </c>
      <c r="AW19" s="37">
        <v>-1</v>
      </c>
      <c r="AX19" s="37">
        <v>-1</v>
      </c>
      <c r="AY19" s="37">
        <v>2</v>
      </c>
      <c r="AZ19" s="37">
        <v>-1</v>
      </c>
      <c r="BA19" s="37">
        <v>0</v>
      </c>
      <c r="BB19" s="37">
        <v>-1</v>
      </c>
      <c r="BC19" s="37">
        <v>1</v>
      </c>
      <c r="BD19" s="37">
        <v>1</v>
      </c>
      <c r="BE19" s="37">
        <v>0</v>
      </c>
      <c r="BF19" s="37">
        <v>0</v>
      </c>
    </row>
    <row r="20" spans="1:58">
      <c r="A20" s="3" t="str">
        <f>IFERROR(A19+1,"#")</f>
        <v>#</v>
      </c>
      <c r="B20" s="3" t="str">
        <f t="shared" si="5"/>
        <v>仙合翼（永久）</v>
      </c>
      <c r="C20" s="41" t="str">
        <f>配置总览!E61&amp;"（永久）"</f>
        <v>仙合翼（永久）</v>
      </c>
      <c r="D20" s="37">
        <v>8</v>
      </c>
      <c r="E20" s="3" t="str">
        <f>E19</f>
        <v>PWicon_WaiGuan/icon_feixingqi_haiyangzhixin</v>
      </c>
      <c r="F20" s="37" t="s">
        <v>87</v>
      </c>
      <c r="G20" s="37">
        <v>8</v>
      </c>
      <c r="H20" s="37">
        <v>2</v>
      </c>
      <c r="I20" s="37">
        <v>1</v>
      </c>
      <c r="J20" s="37">
        <v>5</v>
      </c>
      <c r="K20" s="3">
        <f>K19</f>
        <v>4</v>
      </c>
      <c r="L20" s="37">
        <v>15</v>
      </c>
      <c r="M20" s="37">
        <v>999</v>
      </c>
      <c r="N20" s="37">
        <v>1</v>
      </c>
      <c r="O20" s="37">
        <v>1</v>
      </c>
      <c r="P20" s="37">
        <v>1</v>
      </c>
      <c r="Q20" s="37">
        <v>1</v>
      </c>
      <c r="R20" s="37">
        <v>0</v>
      </c>
      <c r="S20" s="37">
        <v>1</v>
      </c>
      <c r="T20" s="37">
        <v>-1</v>
      </c>
      <c r="U20" s="37">
        <v>-1</v>
      </c>
      <c r="V20" s="37">
        <v>0</v>
      </c>
      <c r="W20" s="37">
        <v>17052</v>
      </c>
      <c r="X20" s="37">
        <v>1</v>
      </c>
      <c r="Y20" s="37">
        <v>1</v>
      </c>
      <c r="Z20" s="37">
        <v>3</v>
      </c>
      <c r="AA20" s="37">
        <v>1</v>
      </c>
      <c r="AB20" s="37">
        <v>-1</v>
      </c>
      <c r="AC20" s="37">
        <v>5</v>
      </c>
      <c r="AD20" s="37">
        <v>0.005</v>
      </c>
      <c r="AE20" s="37">
        <v>3647</v>
      </c>
      <c r="AF20" s="37">
        <v>1761</v>
      </c>
      <c r="AG20" s="37">
        <v>0</v>
      </c>
      <c r="AH20" s="37">
        <v>1</v>
      </c>
      <c r="AI20" s="37">
        <v>0</v>
      </c>
      <c r="AJ20" s="37">
        <v>-1</v>
      </c>
      <c r="AK20" s="37">
        <v>-1</v>
      </c>
      <c r="AL20" s="37">
        <v>0</v>
      </c>
      <c r="AM20" s="37">
        <v>1</v>
      </c>
      <c r="AN20" s="37">
        <v>1</v>
      </c>
      <c r="AO20" s="51">
        <v>1</v>
      </c>
      <c r="AP20" s="37">
        <v>-1</v>
      </c>
      <c r="AQ20" s="37">
        <v>0</v>
      </c>
      <c r="AR20" s="37">
        <v>-1</v>
      </c>
      <c r="AS20" s="37">
        <v>1</v>
      </c>
      <c r="AT20" s="37">
        <v>-1</v>
      </c>
      <c r="AU20" s="37">
        <v>1</v>
      </c>
      <c r="AV20">
        <v>0</v>
      </c>
      <c r="AW20" s="37">
        <v>-1</v>
      </c>
      <c r="AX20" s="37">
        <v>-1</v>
      </c>
      <c r="AY20" s="37">
        <v>2</v>
      </c>
      <c r="AZ20" s="37">
        <v>-1</v>
      </c>
      <c r="BA20" s="37">
        <v>0</v>
      </c>
      <c r="BB20" s="37">
        <v>-1</v>
      </c>
      <c r="BC20" s="37">
        <v>1</v>
      </c>
      <c r="BD20" s="37">
        <v>1</v>
      </c>
      <c r="BE20" s="37">
        <v>0</v>
      </c>
      <c r="BF20" s="37">
        <v>0</v>
      </c>
    </row>
    <row r="21" spans="1:58">
      <c r="A21" s="7" t="str">
        <f>IF(配置总览!$B$62="导出",163000+配置总览!H62*2-1+配置总览!A64*2,"#")</f>
        <v>#</v>
      </c>
      <c r="B21" s="3" t="str">
        <f t="shared" si="5"/>
        <v>白玉仙（7天）</v>
      </c>
      <c r="C21" s="41" t="str">
        <f>配置总览!E62&amp;"（7天）"</f>
        <v>白玉仙（7天）</v>
      </c>
      <c r="D21" s="37">
        <v>8</v>
      </c>
      <c r="E21" s="7" t="str">
        <f>"PWicon_WaiGuan/"&amp;配置总览!N62</f>
        <v>PWicon_WaiGuan/icon_feixingqi_baihe1</v>
      </c>
      <c r="F21" s="37" t="s">
        <v>87</v>
      </c>
      <c r="G21" s="37">
        <v>8</v>
      </c>
      <c r="H21" s="37">
        <v>2</v>
      </c>
      <c r="I21" s="37">
        <v>1</v>
      </c>
      <c r="J21" s="37">
        <v>5</v>
      </c>
      <c r="K21" s="3">
        <f>K20</f>
        <v>4</v>
      </c>
      <c r="L21" s="37">
        <v>15</v>
      </c>
      <c r="M21" s="37">
        <v>999</v>
      </c>
      <c r="N21" s="37">
        <v>1</v>
      </c>
      <c r="O21" s="37">
        <v>1</v>
      </c>
      <c r="P21" s="37">
        <v>1</v>
      </c>
      <c r="Q21" s="37">
        <v>1</v>
      </c>
      <c r="R21" s="37">
        <v>0</v>
      </c>
      <c r="S21" s="37">
        <v>1</v>
      </c>
      <c r="T21" s="37">
        <v>-1</v>
      </c>
      <c r="U21" s="37">
        <v>-1</v>
      </c>
      <c r="V21" s="37">
        <v>0</v>
      </c>
      <c r="W21" s="37">
        <v>17093</v>
      </c>
      <c r="X21" s="37">
        <v>1</v>
      </c>
      <c r="Y21" s="37">
        <v>1</v>
      </c>
      <c r="Z21" s="37">
        <v>3</v>
      </c>
      <c r="AA21" s="37">
        <v>1</v>
      </c>
      <c r="AB21" s="37">
        <v>-1</v>
      </c>
      <c r="AC21" s="37">
        <v>5</v>
      </c>
      <c r="AD21" s="37">
        <v>0.005</v>
      </c>
      <c r="AE21" s="37">
        <v>3647</v>
      </c>
      <c r="AF21" s="37">
        <v>1761</v>
      </c>
      <c r="AG21" s="37">
        <v>0</v>
      </c>
      <c r="AH21" s="37">
        <v>1</v>
      </c>
      <c r="AI21" s="37">
        <v>0</v>
      </c>
      <c r="AJ21" s="37">
        <v>-1</v>
      </c>
      <c r="AK21" s="37">
        <v>-1</v>
      </c>
      <c r="AL21" s="37">
        <v>0</v>
      </c>
      <c r="AM21" s="37">
        <v>1</v>
      </c>
      <c r="AN21" s="37">
        <v>1</v>
      </c>
      <c r="AO21" s="51">
        <v>1</v>
      </c>
      <c r="AP21" s="37">
        <v>-1</v>
      </c>
      <c r="AQ21" s="37">
        <v>0</v>
      </c>
      <c r="AR21" s="37">
        <v>-1</v>
      </c>
      <c r="AS21" s="37">
        <v>1</v>
      </c>
      <c r="AT21" s="37">
        <v>-1</v>
      </c>
      <c r="AU21" s="37">
        <v>1</v>
      </c>
      <c r="AV21">
        <v>0</v>
      </c>
      <c r="AW21" s="37">
        <v>-1</v>
      </c>
      <c r="AX21" s="37">
        <v>-1</v>
      </c>
      <c r="AY21" s="37">
        <v>2</v>
      </c>
      <c r="AZ21" s="37">
        <v>-1</v>
      </c>
      <c r="BA21" s="37">
        <v>0</v>
      </c>
      <c r="BB21" s="37">
        <v>-1</v>
      </c>
      <c r="BC21" s="37">
        <v>1</v>
      </c>
      <c r="BD21" s="37">
        <v>1</v>
      </c>
      <c r="BE21" s="37">
        <v>0</v>
      </c>
      <c r="BF21" s="37">
        <v>0</v>
      </c>
    </row>
    <row r="22" spans="1:58">
      <c r="A22" s="3" t="str">
        <f t="shared" ref="A22:A32" si="6">IFERROR(A21+1,"#")</f>
        <v>#</v>
      </c>
      <c r="B22" s="3" t="str">
        <f t="shared" si="5"/>
        <v>白玉仙（永久）</v>
      </c>
      <c r="C22" s="41" t="str">
        <f>配置总览!E62&amp;"（永久）"</f>
        <v>白玉仙（永久）</v>
      </c>
      <c r="D22" s="37">
        <v>8</v>
      </c>
      <c r="E22" s="3" t="str">
        <f t="shared" ref="E22:E26" si="7">E21</f>
        <v>PWicon_WaiGuan/icon_feixingqi_baihe1</v>
      </c>
      <c r="F22" s="37" t="s">
        <v>87</v>
      </c>
      <c r="G22" s="37">
        <v>8</v>
      </c>
      <c r="H22" s="37">
        <v>2</v>
      </c>
      <c r="I22" s="37">
        <v>1</v>
      </c>
      <c r="J22" s="37">
        <v>5</v>
      </c>
      <c r="K22" s="3">
        <f>K21</f>
        <v>4</v>
      </c>
      <c r="L22" s="37">
        <v>15</v>
      </c>
      <c r="M22" s="37">
        <v>999</v>
      </c>
      <c r="N22" s="37">
        <v>1</v>
      </c>
      <c r="O22" s="37">
        <v>1</v>
      </c>
      <c r="P22" s="37">
        <v>1</v>
      </c>
      <c r="Q22" s="37">
        <v>1</v>
      </c>
      <c r="R22" s="37">
        <v>0</v>
      </c>
      <c r="S22" s="37">
        <v>1</v>
      </c>
      <c r="T22" s="37">
        <v>-1</v>
      </c>
      <c r="U22" s="37">
        <v>-1</v>
      </c>
      <c r="V22" s="37">
        <v>0</v>
      </c>
      <c r="W22" s="37">
        <v>17094</v>
      </c>
      <c r="X22" s="37">
        <v>1</v>
      </c>
      <c r="Y22" s="37">
        <v>1</v>
      </c>
      <c r="Z22" s="37">
        <v>3</v>
      </c>
      <c r="AA22" s="37">
        <v>1</v>
      </c>
      <c r="AB22" s="37">
        <v>-1</v>
      </c>
      <c r="AC22" s="37">
        <v>5</v>
      </c>
      <c r="AD22" s="37">
        <v>0.005</v>
      </c>
      <c r="AE22" s="37">
        <v>3647</v>
      </c>
      <c r="AF22" s="37">
        <v>1761</v>
      </c>
      <c r="AG22" s="37">
        <v>0</v>
      </c>
      <c r="AH22" s="37">
        <v>1</v>
      </c>
      <c r="AI22" s="37">
        <v>0</v>
      </c>
      <c r="AJ22" s="37">
        <v>-1</v>
      </c>
      <c r="AK22" s="37">
        <v>-1</v>
      </c>
      <c r="AL22" s="37">
        <v>0</v>
      </c>
      <c r="AM22" s="37">
        <v>1</v>
      </c>
      <c r="AN22" s="37">
        <v>1</v>
      </c>
      <c r="AO22" s="51">
        <v>1</v>
      </c>
      <c r="AP22" s="37">
        <v>-1</v>
      </c>
      <c r="AQ22" s="37">
        <v>0</v>
      </c>
      <c r="AR22" s="37">
        <v>-1</v>
      </c>
      <c r="AS22" s="37">
        <v>1</v>
      </c>
      <c r="AT22" s="37">
        <v>-1</v>
      </c>
      <c r="AU22" s="37">
        <v>1</v>
      </c>
      <c r="AV22">
        <v>0</v>
      </c>
      <c r="AW22" s="37">
        <v>-1</v>
      </c>
      <c r="AX22" s="37">
        <v>-1</v>
      </c>
      <c r="AY22" s="37">
        <v>2</v>
      </c>
      <c r="AZ22" s="37">
        <v>-1</v>
      </c>
      <c r="BA22" s="37">
        <v>0</v>
      </c>
      <c r="BB22" s="37">
        <v>-1</v>
      </c>
      <c r="BC22" s="37">
        <v>1</v>
      </c>
      <c r="BD22" s="37">
        <v>1</v>
      </c>
      <c r="BE22" s="37">
        <v>0</v>
      </c>
      <c r="BF22" s="37">
        <v>0</v>
      </c>
    </row>
    <row r="23" spans="1:58">
      <c r="A23" s="7" t="str">
        <f>IF(配置总览!$B$74="导出",164000+配置总览!H76*2-1,"#")</f>
        <v>#</v>
      </c>
      <c r="B23" s="3" t="str">
        <f t="shared" ref="B23:B32" si="8">C23</f>
        <v>野趣风尚（7天）</v>
      </c>
      <c r="C23" s="7" t="str">
        <f>配置总览!E74&amp;"（7天）"</f>
        <v>野趣风尚（7天）</v>
      </c>
      <c r="D23">
        <v>8</v>
      </c>
      <c r="E23" s="7" t="str">
        <f>"PWicon_WaiGuan/"&amp;配置总览!N76</f>
        <v>PWicon_WaiGuan/icon_beishi_yequfengshang</v>
      </c>
      <c r="F23" t="s">
        <v>135</v>
      </c>
      <c r="G23">
        <v>7</v>
      </c>
      <c r="H23">
        <v>1</v>
      </c>
      <c r="I23">
        <v>1</v>
      </c>
      <c r="J23">
        <v>1</v>
      </c>
      <c r="K23" s="7">
        <f>配置总览!I74+1</f>
        <v>3</v>
      </c>
      <c r="L23">
        <v>1</v>
      </c>
      <c r="M23">
        <v>999</v>
      </c>
      <c r="N23">
        <v>1</v>
      </c>
      <c r="O23">
        <v>1</v>
      </c>
      <c r="P23">
        <v>1</v>
      </c>
      <c r="Q23">
        <v>1</v>
      </c>
      <c r="R23">
        <v>0</v>
      </c>
      <c r="S23">
        <v>1</v>
      </c>
      <c r="T23">
        <v>-1</v>
      </c>
      <c r="U23">
        <v>-1</v>
      </c>
      <c r="V23">
        <v>0</v>
      </c>
      <c r="W23">
        <v>16522</v>
      </c>
      <c r="X23">
        <v>1</v>
      </c>
      <c r="Y23">
        <v>1</v>
      </c>
      <c r="Z23">
        <v>3</v>
      </c>
      <c r="AA23">
        <v>1</v>
      </c>
      <c r="AB23">
        <v>-1</v>
      </c>
      <c r="AC23">
        <v>77</v>
      </c>
      <c r="AD23">
        <v>0.005</v>
      </c>
      <c r="AE23">
        <v>3647</v>
      </c>
      <c r="AF23">
        <v>1761</v>
      </c>
      <c r="AG23">
        <v>0</v>
      </c>
      <c r="AH23">
        <v>1</v>
      </c>
      <c r="AI23">
        <v>0</v>
      </c>
      <c r="AJ23">
        <v>-1</v>
      </c>
      <c r="AK23">
        <v>-1</v>
      </c>
      <c r="AL23">
        <v>0</v>
      </c>
      <c r="AM23">
        <v>1</v>
      </c>
      <c r="AN23">
        <v>1</v>
      </c>
      <c r="AO23" s="8">
        <v>1</v>
      </c>
      <c r="AP23">
        <v>-1</v>
      </c>
      <c r="AQ23">
        <v>0</v>
      </c>
      <c r="AR23">
        <v>-1</v>
      </c>
      <c r="AS23">
        <v>1</v>
      </c>
      <c r="AT23">
        <v>-1</v>
      </c>
      <c r="AU23">
        <v>1</v>
      </c>
      <c r="AV23">
        <v>0</v>
      </c>
      <c r="AW23">
        <v>-1</v>
      </c>
      <c r="AX23">
        <v>-1</v>
      </c>
      <c r="AY23">
        <v>2</v>
      </c>
      <c r="AZ23">
        <v>-1</v>
      </c>
      <c r="BA23">
        <v>0</v>
      </c>
      <c r="BB23">
        <v>-1</v>
      </c>
      <c r="BC23">
        <v>1</v>
      </c>
      <c r="BD23">
        <v>1</v>
      </c>
      <c r="BE23">
        <v>0</v>
      </c>
      <c r="BF23">
        <v>0</v>
      </c>
    </row>
    <row r="24" spans="1:58">
      <c r="A24" s="3" t="str">
        <f t="shared" si="6"/>
        <v>#</v>
      </c>
      <c r="B24" s="3" t="str">
        <f t="shared" si="8"/>
        <v>野趣风尚（永久）</v>
      </c>
      <c r="C24" s="7" t="str">
        <f>配置总览!$E$74&amp;"（永久）"</f>
        <v>野趣风尚（永久）</v>
      </c>
      <c r="D24">
        <v>8</v>
      </c>
      <c r="E24" s="3" t="str">
        <f t="shared" si="7"/>
        <v>PWicon_WaiGuan/icon_beishi_yequfengshang</v>
      </c>
      <c r="F24" t="s">
        <v>135</v>
      </c>
      <c r="G24">
        <v>7</v>
      </c>
      <c r="H24">
        <v>1</v>
      </c>
      <c r="I24">
        <v>1</v>
      </c>
      <c r="J24">
        <v>1</v>
      </c>
      <c r="K24" s="3">
        <f>K23</f>
        <v>3</v>
      </c>
      <c r="L24">
        <v>1</v>
      </c>
      <c r="M24">
        <v>999</v>
      </c>
      <c r="N24">
        <v>1</v>
      </c>
      <c r="O24">
        <v>1</v>
      </c>
      <c r="P24">
        <v>1</v>
      </c>
      <c r="Q24">
        <v>1</v>
      </c>
      <c r="R24">
        <v>0</v>
      </c>
      <c r="S24">
        <v>1</v>
      </c>
      <c r="T24">
        <v>-1</v>
      </c>
      <c r="U24">
        <v>-1</v>
      </c>
      <c r="V24">
        <v>0</v>
      </c>
      <c r="W24">
        <v>16522</v>
      </c>
      <c r="X24">
        <v>1</v>
      </c>
      <c r="Y24">
        <v>1</v>
      </c>
      <c r="Z24">
        <v>3</v>
      </c>
      <c r="AA24">
        <v>1</v>
      </c>
      <c r="AB24">
        <v>-1</v>
      </c>
      <c r="AC24">
        <v>77</v>
      </c>
      <c r="AD24">
        <v>0.005</v>
      </c>
      <c r="AE24">
        <v>3647</v>
      </c>
      <c r="AF24">
        <v>1761</v>
      </c>
      <c r="AG24">
        <v>0</v>
      </c>
      <c r="AH24">
        <v>1</v>
      </c>
      <c r="AI24">
        <v>0</v>
      </c>
      <c r="AJ24">
        <v>-1</v>
      </c>
      <c r="AK24">
        <v>-1</v>
      </c>
      <c r="AL24">
        <v>0</v>
      </c>
      <c r="AM24">
        <v>1</v>
      </c>
      <c r="AN24">
        <v>1</v>
      </c>
      <c r="AO24" s="8">
        <v>1</v>
      </c>
      <c r="AP24">
        <v>-1</v>
      </c>
      <c r="AQ24">
        <v>0</v>
      </c>
      <c r="AR24">
        <v>-1</v>
      </c>
      <c r="AS24">
        <v>1</v>
      </c>
      <c r="AT24">
        <v>-1</v>
      </c>
      <c r="AU24">
        <v>1</v>
      </c>
      <c r="AV24">
        <v>0</v>
      </c>
      <c r="AW24">
        <v>-1</v>
      </c>
      <c r="AX24">
        <v>-1</v>
      </c>
      <c r="AY24">
        <v>2</v>
      </c>
      <c r="AZ24">
        <v>-1</v>
      </c>
      <c r="BA24">
        <v>0</v>
      </c>
      <c r="BB24">
        <v>-1</v>
      </c>
      <c r="BC24">
        <v>1</v>
      </c>
      <c r="BD24">
        <v>1</v>
      </c>
      <c r="BE24">
        <v>0</v>
      </c>
      <c r="BF24">
        <v>0</v>
      </c>
    </row>
    <row r="25" s="2" customFormat="1" spans="1:58">
      <c r="A25" s="7" t="str">
        <f>IF(配置总览!$B$88="导出",164000+配置总览!H90*2-1,"#")</f>
        <v>#</v>
      </c>
      <c r="B25" s="3" t="str">
        <f t="shared" si="8"/>
        <v>星扇·宿（7天）</v>
      </c>
      <c r="C25" s="7" t="str">
        <f>配置总览!E88&amp;"·宿（7天）"</f>
        <v>星扇·宿（7天）</v>
      </c>
      <c r="D25" s="2">
        <v>8</v>
      </c>
      <c r="E25" s="7" t="str">
        <f>"PWicon_WaiGuan/"&amp;配置总览!N90</f>
        <v>PWicon_WaiGuan/icon_tianyuanxingshan_su</v>
      </c>
      <c r="F25" s="2" t="s">
        <v>135</v>
      </c>
      <c r="G25" s="2">
        <v>7</v>
      </c>
      <c r="H25" s="2">
        <v>1</v>
      </c>
      <c r="I25" s="2">
        <v>1</v>
      </c>
      <c r="J25" s="2">
        <v>1</v>
      </c>
      <c r="K25" s="2">
        <v>2</v>
      </c>
      <c r="L25" s="2">
        <v>1</v>
      </c>
      <c r="M25" s="2">
        <v>999</v>
      </c>
      <c r="N25" s="2">
        <v>1</v>
      </c>
      <c r="O25" s="2">
        <v>1</v>
      </c>
      <c r="P25" s="2">
        <v>1</v>
      </c>
      <c r="Q25" s="2">
        <v>1</v>
      </c>
      <c r="R25" s="2">
        <v>0</v>
      </c>
      <c r="S25" s="2">
        <v>1</v>
      </c>
      <c r="T25" s="2">
        <v>-1</v>
      </c>
      <c r="U25" s="2">
        <v>-1</v>
      </c>
      <c r="V25" s="2">
        <v>0</v>
      </c>
      <c r="W25" s="2">
        <v>16522</v>
      </c>
      <c r="X25" s="2">
        <v>1</v>
      </c>
      <c r="Y25" s="2">
        <v>1</v>
      </c>
      <c r="Z25" s="2">
        <v>3</v>
      </c>
      <c r="AA25" s="2">
        <v>1</v>
      </c>
      <c r="AB25" s="2">
        <v>-1</v>
      </c>
      <c r="AC25" s="2">
        <v>77</v>
      </c>
      <c r="AD25" s="2">
        <v>0.005</v>
      </c>
      <c r="AE25" s="2">
        <v>3647</v>
      </c>
      <c r="AF25" s="2">
        <v>1761</v>
      </c>
      <c r="AG25" s="2">
        <v>0</v>
      </c>
      <c r="AH25" s="2">
        <v>1</v>
      </c>
      <c r="AI25" s="2">
        <v>0</v>
      </c>
      <c r="AJ25" s="2">
        <v>-1</v>
      </c>
      <c r="AK25" s="2">
        <v>-1</v>
      </c>
      <c r="AL25" s="2">
        <v>0</v>
      </c>
      <c r="AM25" s="2">
        <v>1</v>
      </c>
      <c r="AN25" s="2">
        <v>1</v>
      </c>
      <c r="AO25" s="2">
        <v>0</v>
      </c>
      <c r="AP25" s="2">
        <v>-1</v>
      </c>
      <c r="AQ25" s="2">
        <v>0</v>
      </c>
      <c r="AR25" s="2">
        <v>-1</v>
      </c>
      <c r="AS25" s="2">
        <v>1</v>
      </c>
      <c r="AT25" s="2">
        <v>-1</v>
      </c>
      <c r="AU25" s="2">
        <v>1</v>
      </c>
      <c r="AV25" s="2">
        <v>0</v>
      </c>
      <c r="AW25" s="2">
        <v>-1</v>
      </c>
      <c r="AX25" s="2">
        <v>-1</v>
      </c>
      <c r="AY25" s="2">
        <v>2</v>
      </c>
      <c r="AZ25" s="2">
        <v>-1</v>
      </c>
      <c r="BA25" s="2">
        <v>0</v>
      </c>
      <c r="BB25" s="2">
        <v>-1</v>
      </c>
      <c r="BC25" s="2">
        <v>1</v>
      </c>
      <c r="BD25" s="2">
        <v>1</v>
      </c>
      <c r="BE25" s="2">
        <v>0</v>
      </c>
      <c r="BF25" s="2">
        <v>0</v>
      </c>
    </row>
    <row r="26" s="2" customFormat="1" spans="1:58">
      <c r="A26" s="3" t="str">
        <f t="shared" si="6"/>
        <v>#</v>
      </c>
      <c r="B26" s="3" t="str">
        <f t="shared" si="8"/>
        <v>星扇·宿（永久）</v>
      </c>
      <c r="C26" s="7" t="str">
        <f>配置总览!E88&amp;"·宿（永久）"</f>
        <v>星扇·宿（永久）</v>
      </c>
      <c r="D26" s="2">
        <v>8</v>
      </c>
      <c r="E26" s="3" t="str">
        <f t="shared" si="7"/>
        <v>PWicon_WaiGuan/icon_tianyuanxingshan_su</v>
      </c>
      <c r="F26" s="2" t="s">
        <v>135</v>
      </c>
      <c r="G26" s="2">
        <v>7</v>
      </c>
      <c r="H26" s="2">
        <v>1</v>
      </c>
      <c r="I26" s="2">
        <v>1</v>
      </c>
      <c r="J26" s="2">
        <v>1</v>
      </c>
      <c r="K26" s="2">
        <v>2</v>
      </c>
      <c r="L26" s="2">
        <v>1</v>
      </c>
      <c r="M26" s="2">
        <v>999</v>
      </c>
      <c r="N26" s="2">
        <v>1</v>
      </c>
      <c r="O26" s="2">
        <v>1</v>
      </c>
      <c r="P26" s="2">
        <v>1</v>
      </c>
      <c r="Q26" s="2">
        <v>1</v>
      </c>
      <c r="R26" s="2">
        <v>0</v>
      </c>
      <c r="S26" s="2">
        <v>1</v>
      </c>
      <c r="T26" s="2">
        <v>-1</v>
      </c>
      <c r="U26" s="2">
        <v>-1</v>
      </c>
      <c r="V26" s="2">
        <v>0</v>
      </c>
      <c r="W26" s="2">
        <v>16522</v>
      </c>
      <c r="X26" s="2">
        <v>1</v>
      </c>
      <c r="Y26" s="2">
        <v>1</v>
      </c>
      <c r="Z26" s="2">
        <v>3</v>
      </c>
      <c r="AA26" s="2">
        <v>1</v>
      </c>
      <c r="AB26" s="2">
        <v>-1</v>
      </c>
      <c r="AC26" s="2">
        <v>77</v>
      </c>
      <c r="AD26" s="2">
        <v>0.005</v>
      </c>
      <c r="AE26" s="2">
        <v>3647</v>
      </c>
      <c r="AF26" s="2">
        <v>1761</v>
      </c>
      <c r="AG26" s="2">
        <v>0</v>
      </c>
      <c r="AH26" s="2">
        <v>1</v>
      </c>
      <c r="AI26" s="2">
        <v>0</v>
      </c>
      <c r="AJ26" s="2">
        <v>-1</v>
      </c>
      <c r="AK26" s="2">
        <v>-1</v>
      </c>
      <c r="AL26" s="2">
        <v>0</v>
      </c>
      <c r="AM26" s="2">
        <v>1</v>
      </c>
      <c r="AN26" s="2">
        <v>1</v>
      </c>
      <c r="AO26" s="2">
        <v>0</v>
      </c>
      <c r="AP26" s="2">
        <v>-1</v>
      </c>
      <c r="AQ26" s="2">
        <v>0</v>
      </c>
      <c r="AR26" s="2">
        <v>-1</v>
      </c>
      <c r="AS26" s="2">
        <v>1</v>
      </c>
      <c r="AT26" s="2">
        <v>-1</v>
      </c>
      <c r="AU26" s="2">
        <v>1</v>
      </c>
      <c r="AV26" s="2">
        <v>0</v>
      </c>
      <c r="AW26" s="2">
        <v>-1</v>
      </c>
      <c r="AX26" s="2">
        <v>-1</v>
      </c>
      <c r="AY26" s="2">
        <v>2</v>
      </c>
      <c r="AZ26" s="2">
        <v>-1</v>
      </c>
      <c r="BA26" s="2">
        <v>0</v>
      </c>
      <c r="BB26" s="2">
        <v>-1</v>
      </c>
      <c r="BC26" s="2">
        <v>1</v>
      </c>
      <c r="BD26" s="2">
        <v>1</v>
      </c>
      <c r="BE26" s="2">
        <v>0</v>
      </c>
      <c r="BF26" s="2">
        <v>0</v>
      </c>
    </row>
    <row r="27" s="2" customFormat="1" spans="1:58">
      <c r="A27" s="3" t="str">
        <f t="shared" si="6"/>
        <v>#</v>
      </c>
      <c r="B27" s="3" t="str">
        <f t="shared" si="8"/>
        <v>星扇·星象（7天）</v>
      </c>
      <c r="C27" s="7" t="str">
        <f>配置总览!E88&amp;"·星象（7天）"</f>
        <v>星扇·星象（7天）</v>
      </c>
      <c r="D27" s="2">
        <v>8</v>
      </c>
      <c r="E27" s="7" t="str">
        <f>"PWicon_WaiGuan/"&amp;配置总览!N91</f>
        <v>PWicon_WaiGuan/icon_tianyuanxingshan_xingxiang</v>
      </c>
      <c r="F27" s="2" t="s">
        <v>135</v>
      </c>
      <c r="G27" s="2">
        <v>7</v>
      </c>
      <c r="H27" s="2">
        <v>1</v>
      </c>
      <c r="I27" s="2">
        <v>1</v>
      </c>
      <c r="J27" s="2">
        <v>1</v>
      </c>
      <c r="K27" s="2">
        <v>3</v>
      </c>
      <c r="L27" s="2">
        <v>1</v>
      </c>
      <c r="M27" s="2">
        <v>999</v>
      </c>
      <c r="N27" s="2">
        <v>1</v>
      </c>
      <c r="O27" s="2">
        <v>1</v>
      </c>
      <c r="P27" s="2">
        <v>1</v>
      </c>
      <c r="Q27" s="2">
        <v>1</v>
      </c>
      <c r="R27" s="2">
        <v>0</v>
      </c>
      <c r="S27" s="2">
        <v>1</v>
      </c>
      <c r="T27" s="2">
        <v>-1</v>
      </c>
      <c r="U27" s="2">
        <v>-1</v>
      </c>
      <c r="V27" s="2">
        <v>0</v>
      </c>
      <c r="W27" s="2">
        <v>16522</v>
      </c>
      <c r="X27" s="2">
        <v>1</v>
      </c>
      <c r="Y27" s="2">
        <v>1</v>
      </c>
      <c r="Z27" s="2">
        <v>3</v>
      </c>
      <c r="AA27" s="2">
        <v>1</v>
      </c>
      <c r="AB27" s="2">
        <v>-1</v>
      </c>
      <c r="AC27" s="2">
        <v>77</v>
      </c>
      <c r="AD27" s="2">
        <v>0.005</v>
      </c>
      <c r="AE27" s="2">
        <v>3647</v>
      </c>
      <c r="AF27" s="2">
        <v>1761</v>
      </c>
      <c r="AG27" s="2">
        <v>0</v>
      </c>
      <c r="AH27" s="2">
        <v>1</v>
      </c>
      <c r="AI27" s="2">
        <v>0</v>
      </c>
      <c r="AJ27" s="2">
        <v>-1</v>
      </c>
      <c r="AK27" s="2">
        <v>-1</v>
      </c>
      <c r="AL27" s="2">
        <v>0</v>
      </c>
      <c r="AM27" s="2">
        <v>1</v>
      </c>
      <c r="AN27" s="2">
        <v>1</v>
      </c>
      <c r="AO27" s="2">
        <v>0</v>
      </c>
      <c r="AP27" s="2">
        <v>-1</v>
      </c>
      <c r="AQ27" s="2">
        <v>0</v>
      </c>
      <c r="AR27" s="2">
        <v>-1</v>
      </c>
      <c r="AS27" s="2">
        <v>1</v>
      </c>
      <c r="AT27" s="2">
        <v>-1</v>
      </c>
      <c r="AU27" s="2">
        <v>1</v>
      </c>
      <c r="AV27" s="2">
        <v>0</v>
      </c>
      <c r="AW27" s="2">
        <v>-1</v>
      </c>
      <c r="AX27" s="2">
        <v>-1</v>
      </c>
      <c r="AY27" s="2">
        <v>2</v>
      </c>
      <c r="AZ27" s="2">
        <v>-1</v>
      </c>
      <c r="BA27" s="2">
        <v>0</v>
      </c>
      <c r="BB27" s="2">
        <v>-1</v>
      </c>
      <c r="BC27" s="2">
        <v>1</v>
      </c>
      <c r="BD27" s="2">
        <v>1</v>
      </c>
      <c r="BE27" s="2">
        <v>0</v>
      </c>
      <c r="BF27" s="2">
        <v>0</v>
      </c>
    </row>
    <row r="28" s="2" customFormat="1" spans="1:58">
      <c r="A28" s="3" t="str">
        <f t="shared" si="6"/>
        <v>#</v>
      </c>
      <c r="B28" s="3" t="str">
        <f t="shared" si="8"/>
        <v>星扇·星象（永久）</v>
      </c>
      <c r="C28" s="7" t="str">
        <f>配置总览!E88&amp;"·星象（永久）"</f>
        <v>星扇·星象（永久）</v>
      </c>
      <c r="D28" s="2">
        <v>8</v>
      </c>
      <c r="E28" s="3" t="str">
        <f t="shared" ref="E28:E32" si="9">E27</f>
        <v>PWicon_WaiGuan/icon_tianyuanxingshan_xingxiang</v>
      </c>
      <c r="F28" s="2" t="s">
        <v>135</v>
      </c>
      <c r="G28" s="2">
        <v>7</v>
      </c>
      <c r="H28" s="2">
        <v>1</v>
      </c>
      <c r="I28" s="2">
        <v>1</v>
      </c>
      <c r="J28" s="2">
        <v>1</v>
      </c>
      <c r="K28" s="2">
        <v>3</v>
      </c>
      <c r="L28" s="2">
        <v>1</v>
      </c>
      <c r="M28" s="2">
        <v>999</v>
      </c>
      <c r="N28" s="2">
        <v>1</v>
      </c>
      <c r="O28" s="2">
        <v>1</v>
      </c>
      <c r="P28" s="2">
        <v>1</v>
      </c>
      <c r="Q28" s="2">
        <v>1</v>
      </c>
      <c r="R28" s="2">
        <v>0</v>
      </c>
      <c r="S28" s="2">
        <v>1</v>
      </c>
      <c r="T28" s="2">
        <v>-1</v>
      </c>
      <c r="U28" s="2">
        <v>-1</v>
      </c>
      <c r="V28" s="2">
        <v>0</v>
      </c>
      <c r="W28" s="2">
        <v>16522</v>
      </c>
      <c r="X28" s="2">
        <v>1</v>
      </c>
      <c r="Y28" s="2">
        <v>1</v>
      </c>
      <c r="Z28" s="2">
        <v>3</v>
      </c>
      <c r="AA28" s="2">
        <v>1</v>
      </c>
      <c r="AB28" s="2">
        <v>-1</v>
      </c>
      <c r="AC28" s="2">
        <v>77</v>
      </c>
      <c r="AD28" s="2">
        <v>0.005</v>
      </c>
      <c r="AE28" s="2">
        <v>3647</v>
      </c>
      <c r="AF28" s="2">
        <v>1761</v>
      </c>
      <c r="AG28" s="2">
        <v>0</v>
      </c>
      <c r="AH28" s="2">
        <v>1</v>
      </c>
      <c r="AI28" s="2">
        <v>0</v>
      </c>
      <c r="AJ28" s="2">
        <v>-1</v>
      </c>
      <c r="AK28" s="2">
        <v>-1</v>
      </c>
      <c r="AL28" s="2">
        <v>0</v>
      </c>
      <c r="AM28" s="2">
        <v>1</v>
      </c>
      <c r="AN28" s="2">
        <v>1</v>
      </c>
      <c r="AO28" s="2">
        <v>0</v>
      </c>
      <c r="AP28" s="2">
        <v>-1</v>
      </c>
      <c r="AQ28" s="2">
        <v>0</v>
      </c>
      <c r="AR28" s="2">
        <v>-1</v>
      </c>
      <c r="AS28" s="2">
        <v>1</v>
      </c>
      <c r="AT28" s="2">
        <v>-1</v>
      </c>
      <c r="AU28" s="2">
        <v>1</v>
      </c>
      <c r="AV28" s="2">
        <v>0</v>
      </c>
      <c r="AW28" s="2">
        <v>-1</v>
      </c>
      <c r="AX28" s="2">
        <v>-1</v>
      </c>
      <c r="AY28" s="2">
        <v>2</v>
      </c>
      <c r="AZ28" s="2">
        <v>-1</v>
      </c>
      <c r="BA28" s="2">
        <v>0</v>
      </c>
      <c r="BB28" s="2">
        <v>-1</v>
      </c>
      <c r="BC28" s="2">
        <v>1</v>
      </c>
      <c r="BD28" s="2">
        <v>1</v>
      </c>
      <c r="BE28" s="2">
        <v>0</v>
      </c>
      <c r="BF28" s="2">
        <v>0</v>
      </c>
    </row>
    <row r="29" s="2" customFormat="1" spans="1:58">
      <c r="A29" s="3" t="str">
        <f t="shared" si="6"/>
        <v>#</v>
      </c>
      <c r="B29" s="3" t="str">
        <f t="shared" si="8"/>
        <v>星扇·天垣（7天）</v>
      </c>
      <c r="C29" s="7" t="str">
        <f>配置总览!E88&amp;"·天垣（7天）"</f>
        <v>星扇·天垣（7天）</v>
      </c>
      <c r="D29" s="2">
        <v>8</v>
      </c>
      <c r="E29" s="7" t="str">
        <f>"PWicon_WaiGuan/"&amp;配置总览!N92</f>
        <v>PWicon_WaiGuan/icon_tianyuanxingshan_tianyuan</v>
      </c>
      <c r="F29" s="2" t="s">
        <v>135</v>
      </c>
      <c r="G29" s="2">
        <v>7</v>
      </c>
      <c r="H29" s="2">
        <v>1</v>
      </c>
      <c r="I29" s="2">
        <v>1</v>
      </c>
      <c r="J29" s="2">
        <v>1</v>
      </c>
      <c r="K29" s="2">
        <v>4</v>
      </c>
      <c r="L29" s="2">
        <v>1</v>
      </c>
      <c r="M29" s="2">
        <v>999</v>
      </c>
      <c r="N29" s="2">
        <v>1</v>
      </c>
      <c r="O29" s="2">
        <v>1</v>
      </c>
      <c r="P29" s="2">
        <v>1</v>
      </c>
      <c r="Q29" s="2">
        <v>1</v>
      </c>
      <c r="R29" s="2">
        <v>0</v>
      </c>
      <c r="S29" s="2">
        <v>1</v>
      </c>
      <c r="T29" s="2">
        <v>-1</v>
      </c>
      <c r="U29" s="2">
        <v>-1</v>
      </c>
      <c r="V29" s="2">
        <v>0</v>
      </c>
      <c r="W29" s="2">
        <v>16522</v>
      </c>
      <c r="X29" s="2">
        <v>1</v>
      </c>
      <c r="Y29" s="2">
        <v>1</v>
      </c>
      <c r="Z29" s="2">
        <v>3</v>
      </c>
      <c r="AA29" s="2">
        <v>1</v>
      </c>
      <c r="AB29" s="2">
        <v>-1</v>
      </c>
      <c r="AC29" s="2">
        <v>77</v>
      </c>
      <c r="AD29" s="2">
        <v>0.005</v>
      </c>
      <c r="AE29" s="2">
        <v>3647</v>
      </c>
      <c r="AF29" s="2">
        <v>1761</v>
      </c>
      <c r="AG29" s="2">
        <v>0</v>
      </c>
      <c r="AH29" s="2">
        <v>1</v>
      </c>
      <c r="AI29" s="2">
        <v>0</v>
      </c>
      <c r="AJ29" s="2">
        <v>-1</v>
      </c>
      <c r="AK29" s="2">
        <v>-1</v>
      </c>
      <c r="AL29" s="2">
        <v>0</v>
      </c>
      <c r="AM29" s="2">
        <v>1</v>
      </c>
      <c r="AN29" s="2">
        <v>1</v>
      </c>
      <c r="AO29" s="2">
        <v>0</v>
      </c>
      <c r="AP29" s="2">
        <v>-1</v>
      </c>
      <c r="AQ29" s="2">
        <v>0</v>
      </c>
      <c r="AR29" s="2">
        <v>-1</v>
      </c>
      <c r="AS29" s="2">
        <v>1</v>
      </c>
      <c r="AT29" s="2">
        <v>-1</v>
      </c>
      <c r="AU29" s="2">
        <v>1</v>
      </c>
      <c r="AV29" s="2">
        <v>0</v>
      </c>
      <c r="AW29" s="2">
        <v>-1</v>
      </c>
      <c r="AX29" s="2">
        <v>-1</v>
      </c>
      <c r="AY29" s="2">
        <v>2</v>
      </c>
      <c r="AZ29" s="2">
        <v>-1</v>
      </c>
      <c r="BA29" s="2">
        <v>0</v>
      </c>
      <c r="BB29" s="2">
        <v>-1</v>
      </c>
      <c r="BC29" s="2">
        <v>1</v>
      </c>
      <c r="BD29" s="2">
        <v>1</v>
      </c>
      <c r="BE29" s="2">
        <v>0</v>
      </c>
      <c r="BF29" s="2">
        <v>0</v>
      </c>
    </row>
    <row r="30" s="2" customFormat="1" spans="1:58">
      <c r="A30" s="3" t="str">
        <f t="shared" si="6"/>
        <v>#</v>
      </c>
      <c r="B30" s="3" t="str">
        <f t="shared" si="8"/>
        <v>星扇·天垣（永久）</v>
      </c>
      <c r="C30" s="7" t="str">
        <f>配置总览!E88&amp;"·天垣（永久）"</f>
        <v>星扇·天垣（永久）</v>
      </c>
      <c r="D30" s="2">
        <v>8</v>
      </c>
      <c r="E30" s="3" t="str">
        <f t="shared" si="9"/>
        <v>PWicon_WaiGuan/icon_tianyuanxingshan_tianyuan</v>
      </c>
      <c r="F30" s="2" t="s">
        <v>135</v>
      </c>
      <c r="G30" s="2">
        <v>7</v>
      </c>
      <c r="H30" s="2">
        <v>1</v>
      </c>
      <c r="I30" s="2">
        <v>1</v>
      </c>
      <c r="J30" s="2">
        <v>1</v>
      </c>
      <c r="K30" s="2">
        <v>4</v>
      </c>
      <c r="L30" s="2">
        <v>1</v>
      </c>
      <c r="M30" s="2">
        <v>999</v>
      </c>
      <c r="N30" s="2">
        <v>1</v>
      </c>
      <c r="O30" s="2">
        <v>1</v>
      </c>
      <c r="P30" s="2">
        <v>1</v>
      </c>
      <c r="Q30" s="2">
        <v>1</v>
      </c>
      <c r="R30" s="2">
        <v>0</v>
      </c>
      <c r="S30" s="2">
        <v>1</v>
      </c>
      <c r="T30" s="2">
        <v>-1</v>
      </c>
      <c r="U30" s="2">
        <v>-1</v>
      </c>
      <c r="V30" s="2">
        <v>0</v>
      </c>
      <c r="W30" s="2">
        <v>16522</v>
      </c>
      <c r="X30" s="2">
        <v>1</v>
      </c>
      <c r="Y30" s="2">
        <v>1</v>
      </c>
      <c r="Z30" s="2">
        <v>3</v>
      </c>
      <c r="AA30" s="2">
        <v>1</v>
      </c>
      <c r="AB30" s="2">
        <v>-1</v>
      </c>
      <c r="AC30" s="2">
        <v>77</v>
      </c>
      <c r="AD30" s="2">
        <v>0.005</v>
      </c>
      <c r="AE30" s="2">
        <v>3647</v>
      </c>
      <c r="AF30" s="2">
        <v>1761</v>
      </c>
      <c r="AG30" s="2">
        <v>0</v>
      </c>
      <c r="AH30" s="2">
        <v>1</v>
      </c>
      <c r="AI30" s="2">
        <v>0</v>
      </c>
      <c r="AJ30" s="2">
        <v>-1</v>
      </c>
      <c r="AK30" s="2">
        <v>-1</v>
      </c>
      <c r="AL30" s="2">
        <v>0</v>
      </c>
      <c r="AM30" s="2">
        <v>1</v>
      </c>
      <c r="AN30" s="2">
        <v>1</v>
      </c>
      <c r="AO30" s="2">
        <v>0</v>
      </c>
      <c r="AP30" s="2">
        <v>-1</v>
      </c>
      <c r="AQ30" s="2">
        <v>0</v>
      </c>
      <c r="AR30" s="2">
        <v>-1</v>
      </c>
      <c r="AS30" s="2">
        <v>1</v>
      </c>
      <c r="AT30" s="2">
        <v>-1</v>
      </c>
      <c r="AU30" s="2">
        <v>1</v>
      </c>
      <c r="AV30" s="2">
        <v>0</v>
      </c>
      <c r="AW30" s="2">
        <v>-1</v>
      </c>
      <c r="AX30" s="2">
        <v>-1</v>
      </c>
      <c r="AY30" s="2">
        <v>2</v>
      </c>
      <c r="AZ30" s="2">
        <v>-1</v>
      </c>
      <c r="BA30" s="2">
        <v>0</v>
      </c>
      <c r="BB30" s="2">
        <v>-1</v>
      </c>
      <c r="BC30" s="2">
        <v>1</v>
      </c>
      <c r="BD30" s="2">
        <v>1</v>
      </c>
      <c r="BE30" s="2">
        <v>0</v>
      </c>
      <c r="BF30" s="2">
        <v>0</v>
      </c>
    </row>
    <row r="31" s="2" customFormat="1" spans="1:58">
      <c r="A31" s="3" t="str">
        <f t="shared" si="6"/>
        <v>#</v>
      </c>
      <c r="B31" s="3" t="str">
        <f t="shared" si="8"/>
        <v>星扇·天星引（7天）</v>
      </c>
      <c r="C31" s="7" t="str">
        <f>配置总览!E88&amp;"·天星引（7天）"</f>
        <v>星扇·天星引（7天）</v>
      </c>
      <c r="D31" s="2">
        <v>8</v>
      </c>
      <c r="E31" s="7" t="str">
        <f>"PWicon_WaiGuan/"&amp;配置总览!N93</f>
        <v>PWicon_WaiGuan/icon_tianyuanxingshan_tianxingyin</v>
      </c>
      <c r="F31" s="2" t="s">
        <v>135</v>
      </c>
      <c r="G31" s="2">
        <v>7</v>
      </c>
      <c r="H31" s="2">
        <v>1</v>
      </c>
      <c r="I31" s="2">
        <v>1</v>
      </c>
      <c r="J31" s="2">
        <v>1</v>
      </c>
      <c r="K31" s="2">
        <v>5</v>
      </c>
      <c r="L31" s="2">
        <v>1</v>
      </c>
      <c r="M31" s="2">
        <v>999</v>
      </c>
      <c r="N31" s="2">
        <v>1</v>
      </c>
      <c r="O31" s="2">
        <v>1</v>
      </c>
      <c r="P31" s="2">
        <v>1</v>
      </c>
      <c r="Q31" s="2">
        <v>1</v>
      </c>
      <c r="R31" s="2">
        <v>0</v>
      </c>
      <c r="S31" s="2">
        <v>1</v>
      </c>
      <c r="T31" s="2">
        <v>-1</v>
      </c>
      <c r="U31" s="2">
        <v>-1</v>
      </c>
      <c r="V31" s="2">
        <v>0</v>
      </c>
      <c r="W31" s="2">
        <v>16522</v>
      </c>
      <c r="X31" s="2">
        <v>1</v>
      </c>
      <c r="Y31" s="2">
        <v>1</v>
      </c>
      <c r="Z31" s="2">
        <v>3</v>
      </c>
      <c r="AA31" s="2">
        <v>1</v>
      </c>
      <c r="AB31" s="2">
        <v>-1</v>
      </c>
      <c r="AC31" s="2">
        <v>77</v>
      </c>
      <c r="AD31" s="2">
        <v>0.005</v>
      </c>
      <c r="AE31" s="2">
        <v>3647</v>
      </c>
      <c r="AF31" s="2">
        <v>1761</v>
      </c>
      <c r="AG31" s="2">
        <v>0</v>
      </c>
      <c r="AH31" s="2">
        <v>1</v>
      </c>
      <c r="AI31" s="2">
        <v>0</v>
      </c>
      <c r="AJ31" s="2">
        <v>-1</v>
      </c>
      <c r="AK31" s="2">
        <v>-1</v>
      </c>
      <c r="AL31" s="2">
        <v>0</v>
      </c>
      <c r="AM31" s="2">
        <v>1</v>
      </c>
      <c r="AN31" s="2">
        <v>1</v>
      </c>
      <c r="AO31" s="2">
        <v>0</v>
      </c>
      <c r="AP31" s="2">
        <v>-1</v>
      </c>
      <c r="AQ31" s="2">
        <v>0</v>
      </c>
      <c r="AR31" s="2">
        <v>-1</v>
      </c>
      <c r="AS31" s="2">
        <v>1</v>
      </c>
      <c r="AT31" s="2">
        <v>-1</v>
      </c>
      <c r="AU31" s="2">
        <v>1</v>
      </c>
      <c r="AV31" s="2">
        <v>0</v>
      </c>
      <c r="AW31" s="2">
        <v>-1</v>
      </c>
      <c r="AX31" s="2">
        <v>-1</v>
      </c>
      <c r="AY31" s="2">
        <v>2</v>
      </c>
      <c r="AZ31" s="2">
        <v>-1</v>
      </c>
      <c r="BA31" s="2">
        <v>0</v>
      </c>
      <c r="BB31" s="2">
        <v>-1</v>
      </c>
      <c r="BC31" s="2">
        <v>1</v>
      </c>
      <c r="BD31" s="2">
        <v>1</v>
      </c>
      <c r="BE31" s="2">
        <v>0</v>
      </c>
      <c r="BF31" s="2">
        <v>0</v>
      </c>
    </row>
    <row r="32" s="2" customFormat="1" spans="1:58">
      <c r="A32" s="3" t="str">
        <f t="shared" si="6"/>
        <v>#</v>
      </c>
      <c r="B32" s="3" t="str">
        <f t="shared" si="8"/>
        <v>星扇·天星引（永久）</v>
      </c>
      <c r="C32" s="7" t="str">
        <f>配置总览!E88&amp;"·天星引（永久）"</f>
        <v>星扇·天星引（永久）</v>
      </c>
      <c r="D32" s="2">
        <v>8</v>
      </c>
      <c r="E32" s="3" t="str">
        <f t="shared" si="9"/>
        <v>PWicon_WaiGuan/icon_tianyuanxingshan_tianxingyin</v>
      </c>
      <c r="F32" s="2" t="s">
        <v>135</v>
      </c>
      <c r="G32" s="2">
        <v>7</v>
      </c>
      <c r="H32" s="2">
        <v>1</v>
      </c>
      <c r="I32" s="2">
        <v>1</v>
      </c>
      <c r="J32" s="2">
        <v>1</v>
      </c>
      <c r="K32" s="2">
        <v>5</v>
      </c>
      <c r="L32" s="2">
        <v>1</v>
      </c>
      <c r="M32" s="2">
        <v>999</v>
      </c>
      <c r="N32" s="2">
        <v>1</v>
      </c>
      <c r="O32" s="2">
        <v>1</v>
      </c>
      <c r="P32" s="2">
        <v>1</v>
      </c>
      <c r="Q32" s="2">
        <v>1</v>
      </c>
      <c r="R32" s="2">
        <v>0</v>
      </c>
      <c r="S32" s="2">
        <v>1</v>
      </c>
      <c r="T32" s="2">
        <v>-1</v>
      </c>
      <c r="U32" s="2">
        <v>-1</v>
      </c>
      <c r="V32" s="2">
        <v>0</v>
      </c>
      <c r="W32" s="2">
        <v>16522</v>
      </c>
      <c r="X32" s="2">
        <v>1</v>
      </c>
      <c r="Y32" s="2">
        <v>1</v>
      </c>
      <c r="Z32" s="2">
        <v>3</v>
      </c>
      <c r="AA32" s="2">
        <v>1</v>
      </c>
      <c r="AB32" s="2">
        <v>-1</v>
      </c>
      <c r="AC32" s="2">
        <v>77</v>
      </c>
      <c r="AD32" s="2">
        <v>0.005</v>
      </c>
      <c r="AE32" s="2">
        <v>3647</v>
      </c>
      <c r="AF32" s="2">
        <v>1761</v>
      </c>
      <c r="AG32" s="2">
        <v>0</v>
      </c>
      <c r="AH32" s="2">
        <v>1</v>
      </c>
      <c r="AI32" s="2">
        <v>0</v>
      </c>
      <c r="AJ32" s="2">
        <v>-1</v>
      </c>
      <c r="AK32" s="2">
        <v>-1</v>
      </c>
      <c r="AL32" s="2">
        <v>0</v>
      </c>
      <c r="AM32" s="2">
        <v>1</v>
      </c>
      <c r="AN32" s="2">
        <v>1</v>
      </c>
      <c r="AO32" s="2">
        <v>0</v>
      </c>
      <c r="AP32" s="2">
        <v>-1</v>
      </c>
      <c r="AQ32" s="2">
        <v>0</v>
      </c>
      <c r="AR32" s="2">
        <v>-1</v>
      </c>
      <c r="AS32" s="2">
        <v>1</v>
      </c>
      <c r="AT32" s="2">
        <v>-1</v>
      </c>
      <c r="AU32" s="2">
        <v>1</v>
      </c>
      <c r="AV32" s="2">
        <v>0</v>
      </c>
      <c r="AW32" s="2">
        <v>-1</v>
      </c>
      <c r="AX32" s="2">
        <v>-1</v>
      </c>
      <c r="AY32" s="2">
        <v>2</v>
      </c>
      <c r="AZ32" s="2">
        <v>-1</v>
      </c>
      <c r="BA32" s="2">
        <v>0</v>
      </c>
      <c r="BB32" s="2">
        <v>-1</v>
      </c>
      <c r="BC32" s="2">
        <v>1</v>
      </c>
      <c r="BD32" s="2">
        <v>1</v>
      </c>
      <c r="BE32" s="2">
        <v>0</v>
      </c>
      <c r="BF32" s="2">
        <v>0</v>
      </c>
    </row>
    <row r="33" spans="1:58">
      <c r="A33" s="7" t="str">
        <f>IF(配置总览!$B$102="导出",164500+配置总览!H104*40-39,"#")</f>
        <v>#</v>
      </c>
      <c r="B33" s="7" t="str">
        <f>"妖兽-"&amp;C33</f>
        <v>妖兽-无相·花颂锤（7天）</v>
      </c>
      <c r="C33" s="7" t="str">
        <f>配置总览!$E$102&amp;"锤（7天）"</f>
        <v>无相·花颂锤（7天）</v>
      </c>
      <c r="D33">
        <v>8</v>
      </c>
      <c r="E33" s="7" t="str">
        <f>"PWicon_WaiGuan/"&amp;配置总览!N102</f>
        <v>PWicon_WaiGuan/icon_weapon_wuxianghuasong_chui</v>
      </c>
      <c r="F33" t="s">
        <v>506</v>
      </c>
      <c r="G33">
        <v>7</v>
      </c>
      <c r="H33">
        <v>1</v>
      </c>
      <c r="I33">
        <v>1</v>
      </c>
      <c r="J33">
        <v>1</v>
      </c>
      <c r="K33" s="7">
        <f>配置总览!I102+1</f>
        <v>5</v>
      </c>
      <c r="L33">
        <v>1</v>
      </c>
      <c r="M33">
        <v>999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-1</v>
      </c>
      <c r="U33">
        <v>-1</v>
      </c>
      <c r="V33">
        <v>0</v>
      </c>
      <c r="W33">
        <v>19533</v>
      </c>
      <c r="X33">
        <v>1</v>
      </c>
      <c r="Y33">
        <v>1</v>
      </c>
      <c r="Z33">
        <v>3</v>
      </c>
      <c r="AA33">
        <v>1</v>
      </c>
      <c r="AB33">
        <v>-1</v>
      </c>
      <c r="AC33">
        <v>57</v>
      </c>
      <c r="AD33">
        <v>0.005</v>
      </c>
      <c r="AE33">
        <v>3647</v>
      </c>
      <c r="AF33">
        <v>1761</v>
      </c>
      <c r="AG33">
        <v>0</v>
      </c>
      <c r="AH33">
        <v>1</v>
      </c>
      <c r="AI33">
        <v>0</v>
      </c>
      <c r="AJ33">
        <v>-1</v>
      </c>
      <c r="AK33">
        <v>-1</v>
      </c>
      <c r="AL33">
        <v>0</v>
      </c>
      <c r="AM33">
        <v>1</v>
      </c>
      <c r="AN33">
        <v>1</v>
      </c>
      <c r="AO33" s="8">
        <v>0</v>
      </c>
      <c r="AP33">
        <v>-1</v>
      </c>
      <c r="AQ33">
        <v>0</v>
      </c>
      <c r="AR33">
        <v>-1</v>
      </c>
      <c r="AS33">
        <v>1</v>
      </c>
      <c r="AT33">
        <v>-1</v>
      </c>
      <c r="AU33">
        <v>1</v>
      </c>
      <c r="AV33">
        <v>0</v>
      </c>
      <c r="AW33">
        <v>-1</v>
      </c>
      <c r="AX33">
        <v>-1</v>
      </c>
      <c r="AY33">
        <v>2</v>
      </c>
      <c r="AZ33">
        <v>-1</v>
      </c>
      <c r="BA33">
        <v>0</v>
      </c>
      <c r="BB33">
        <v>-1</v>
      </c>
      <c r="BC33">
        <v>1</v>
      </c>
      <c r="BD33">
        <v>1</v>
      </c>
      <c r="BE33">
        <v>0</v>
      </c>
      <c r="BF33">
        <v>0</v>
      </c>
    </row>
    <row r="34" spans="1:58">
      <c r="A34" s="3" t="str">
        <f t="shared" ref="A34:A52" si="10">IFERROR(A33+1,"#")</f>
        <v>#</v>
      </c>
      <c r="B34" s="7" t="str">
        <f t="shared" ref="B34" si="11">"妖兽-"&amp;C34</f>
        <v>妖兽-无相·花颂锤（永久）</v>
      </c>
      <c r="C34" s="7" t="str">
        <f>配置总览!$E$102&amp;"锤（永久）"</f>
        <v>无相·花颂锤（永久）</v>
      </c>
      <c r="D34">
        <v>8</v>
      </c>
      <c r="E34" s="3" t="str">
        <f t="shared" ref="E34:E50" si="12">E33</f>
        <v>PWicon_WaiGuan/icon_weapon_wuxianghuasong_chui</v>
      </c>
      <c r="F34" t="s">
        <v>506</v>
      </c>
      <c r="G34">
        <v>7</v>
      </c>
      <c r="H34">
        <v>1</v>
      </c>
      <c r="I34">
        <v>1</v>
      </c>
      <c r="J34">
        <v>1</v>
      </c>
      <c r="K34" s="3">
        <f t="shared" ref="K34:K52" si="13">K33</f>
        <v>5</v>
      </c>
      <c r="L34">
        <v>1</v>
      </c>
      <c r="M34">
        <v>999</v>
      </c>
      <c r="N34">
        <v>1</v>
      </c>
      <c r="O34">
        <v>1</v>
      </c>
      <c r="P34">
        <v>1</v>
      </c>
      <c r="Q34">
        <v>1</v>
      </c>
      <c r="R34">
        <v>0</v>
      </c>
      <c r="S34">
        <v>1</v>
      </c>
      <c r="T34">
        <v>-1</v>
      </c>
      <c r="U34">
        <v>-1</v>
      </c>
      <c r="V34">
        <v>0</v>
      </c>
      <c r="W34">
        <v>19534</v>
      </c>
      <c r="X34">
        <v>1</v>
      </c>
      <c r="Y34">
        <v>1</v>
      </c>
      <c r="Z34">
        <v>3</v>
      </c>
      <c r="AA34">
        <v>1</v>
      </c>
      <c r="AB34">
        <v>-1</v>
      </c>
      <c r="AC34">
        <v>57</v>
      </c>
      <c r="AD34">
        <v>0.005</v>
      </c>
      <c r="AE34">
        <v>3647</v>
      </c>
      <c r="AF34">
        <v>1761</v>
      </c>
      <c r="AG34">
        <v>0</v>
      </c>
      <c r="AH34">
        <v>1</v>
      </c>
      <c r="AI34">
        <v>0</v>
      </c>
      <c r="AJ34">
        <v>-1</v>
      </c>
      <c r="AK34">
        <v>-1</v>
      </c>
      <c r="AL34">
        <v>0</v>
      </c>
      <c r="AM34">
        <v>1</v>
      </c>
      <c r="AN34">
        <v>1</v>
      </c>
      <c r="AO34" s="8">
        <v>0</v>
      </c>
      <c r="AP34">
        <v>-1</v>
      </c>
      <c r="AQ34">
        <v>0</v>
      </c>
      <c r="AR34">
        <v>-1</v>
      </c>
      <c r="AS34">
        <v>1</v>
      </c>
      <c r="AT34">
        <v>-1</v>
      </c>
      <c r="AU34">
        <v>1</v>
      </c>
      <c r="AV34">
        <v>0</v>
      </c>
      <c r="AW34">
        <v>-1</v>
      </c>
      <c r="AX34">
        <v>-1</v>
      </c>
      <c r="AY34">
        <v>2</v>
      </c>
      <c r="AZ34">
        <v>-1</v>
      </c>
      <c r="BA34">
        <v>0</v>
      </c>
      <c r="BB34">
        <v>-1</v>
      </c>
      <c r="BC34">
        <v>1</v>
      </c>
      <c r="BD34">
        <v>1</v>
      </c>
      <c r="BE34">
        <v>0</v>
      </c>
      <c r="BF34">
        <v>0</v>
      </c>
    </row>
    <row r="35" spans="1:58">
      <c r="A35" s="3" t="str">
        <f t="shared" si="10"/>
        <v>#</v>
      </c>
      <c r="B35" s="7" t="str">
        <f>"羽芒-"&amp;C35</f>
        <v>羽芒-无相·花颂弓（7天）</v>
      </c>
      <c r="C35" s="7" t="str">
        <f>配置总览!$E$102&amp;"弓（7天）"</f>
        <v>无相·花颂弓（7天）</v>
      </c>
      <c r="D35">
        <v>8</v>
      </c>
      <c r="E35" s="7" t="str">
        <f>"PWicon_WaiGuan/"&amp;配置总览!N103</f>
        <v>PWicon_WaiGuan/icon_weapon_wuxianghuasong_gong</v>
      </c>
      <c r="F35" t="s">
        <v>506</v>
      </c>
      <c r="G35">
        <v>7</v>
      </c>
      <c r="H35">
        <v>1</v>
      </c>
      <c r="I35">
        <v>1</v>
      </c>
      <c r="J35">
        <v>1</v>
      </c>
      <c r="K35" s="3">
        <f t="shared" si="13"/>
        <v>5</v>
      </c>
      <c r="L35">
        <v>1</v>
      </c>
      <c r="M35">
        <v>999</v>
      </c>
      <c r="N35">
        <v>1</v>
      </c>
      <c r="O35">
        <v>1</v>
      </c>
      <c r="P35">
        <v>1</v>
      </c>
      <c r="Q35">
        <v>1</v>
      </c>
      <c r="R35">
        <v>0</v>
      </c>
      <c r="S35">
        <v>1</v>
      </c>
      <c r="T35">
        <v>-1</v>
      </c>
      <c r="U35">
        <v>-1</v>
      </c>
      <c r="V35">
        <v>0</v>
      </c>
      <c r="W35">
        <v>19535</v>
      </c>
      <c r="X35">
        <v>1</v>
      </c>
      <c r="Y35">
        <v>1</v>
      </c>
      <c r="Z35">
        <v>3</v>
      </c>
      <c r="AA35">
        <v>1</v>
      </c>
      <c r="AB35">
        <v>-1</v>
      </c>
      <c r="AC35">
        <v>57</v>
      </c>
      <c r="AD35">
        <v>0.005</v>
      </c>
      <c r="AE35">
        <v>3647</v>
      </c>
      <c r="AF35">
        <v>1761</v>
      </c>
      <c r="AG35">
        <v>0</v>
      </c>
      <c r="AH35">
        <v>1</v>
      </c>
      <c r="AI35">
        <v>0</v>
      </c>
      <c r="AJ35">
        <v>-1</v>
      </c>
      <c r="AK35">
        <v>-1</v>
      </c>
      <c r="AL35">
        <v>0</v>
      </c>
      <c r="AM35">
        <v>1</v>
      </c>
      <c r="AN35">
        <v>1</v>
      </c>
      <c r="AO35" s="8">
        <v>0</v>
      </c>
      <c r="AP35">
        <v>-1</v>
      </c>
      <c r="AQ35">
        <v>0</v>
      </c>
      <c r="AR35">
        <v>-1</v>
      </c>
      <c r="AS35">
        <v>1</v>
      </c>
      <c r="AT35">
        <v>-1</v>
      </c>
      <c r="AU35">
        <v>1</v>
      </c>
      <c r="AV35">
        <v>0</v>
      </c>
      <c r="AW35">
        <v>-1</v>
      </c>
      <c r="AX35">
        <v>-1</v>
      </c>
      <c r="AY35">
        <v>2</v>
      </c>
      <c r="AZ35">
        <v>-1</v>
      </c>
      <c r="BA35">
        <v>0</v>
      </c>
      <c r="BB35">
        <v>-1</v>
      </c>
      <c r="BC35">
        <v>1</v>
      </c>
      <c r="BD35">
        <v>1</v>
      </c>
      <c r="BE35">
        <v>0</v>
      </c>
      <c r="BF35">
        <v>0</v>
      </c>
    </row>
    <row r="36" spans="1:58">
      <c r="A36" s="3" t="str">
        <f t="shared" si="10"/>
        <v>#</v>
      </c>
      <c r="B36" s="7" t="str">
        <f t="shared" ref="B36" si="14">"羽芒-"&amp;C36</f>
        <v>羽芒-无相·花颂弓（永久）</v>
      </c>
      <c r="C36" s="7" t="str">
        <f>配置总览!$E$102&amp;"弓（永久）"</f>
        <v>无相·花颂弓（永久）</v>
      </c>
      <c r="D36">
        <v>8</v>
      </c>
      <c r="E36" s="3" t="str">
        <f t="shared" si="12"/>
        <v>PWicon_WaiGuan/icon_weapon_wuxianghuasong_gong</v>
      </c>
      <c r="F36" t="s">
        <v>506</v>
      </c>
      <c r="G36">
        <v>7</v>
      </c>
      <c r="H36">
        <v>1</v>
      </c>
      <c r="I36">
        <v>1</v>
      </c>
      <c r="J36">
        <v>1</v>
      </c>
      <c r="K36" s="3">
        <f t="shared" si="13"/>
        <v>5</v>
      </c>
      <c r="L36">
        <v>1</v>
      </c>
      <c r="M36">
        <v>999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-1</v>
      </c>
      <c r="U36">
        <v>-1</v>
      </c>
      <c r="V36">
        <v>0</v>
      </c>
      <c r="W36">
        <v>19536</v>
      </c>
      <c r="X36">
        <v>1</v>
      </c>
      <c r="Y36">
        <v>1</v>
      </c>
      <c r="Z36">
        <v>3</v>
      </c>
      <c r="AA36">
        <v>1</v>
      </c>
      <c r="AB36">
        <v>-1</v>
      </c>
      <c r="AC36">
        <v>57</v>
      </c>
      <c r="AD36">
        <v>0.005</v>
      </c>
      <c r="AE36">
        <v>3647</v>
      </c>
      <c r="AF36">
        <v>1761</v>
      </c>
      <c r="AG36">
        <v>0</v>
      </c>
      <c r="AH36">
        <v>1</v>
      </c>
      <c r="AI36">
        <v>0</v>
      </c>
      <c r="AJ36">
        <v>-1</v>
      </c>
      <c r="AK36">
        <v>-1</v>
      </c>
      <c r="AL36">
        <v>0</v>
      </c>
      <c r="AM36">
        <v>1</v>
      </c>
      <c r="AN36">
        <v>1</v>
      </c>
      <c r="AO36" s="8">
        <v>0</v>
      </c>
      <c r="AP36">
        <v>-1</v>
      </c>
      <c r="AQ36">
        <v>0</v>
      </c>
      <c r="AR36">
        <v>-1</v>
      </c>
      <c r="AS36">
        <v>1</v>
      </c>
      <c r="AT36">
        <v>-1</v>
      </c>
      <c r="AU36">
        <v>1</v>
      </c>
      <c r="AV36">
        <v>0</v>
      </c>
      <c r="AW36">
        <v>-1</v>
      </c>
      <c r="AX36">
        <v>-1</v>
      </c>
      <c r="AY36">
        <v>2</v>
      </c>
      <c r="AZ36">
        <v>-1</v>
      </c>
      <c r="BA36">
        <v>0</v>
      </c>
      <c r="BB36">
        <v>-1</v>
      </c>
      <c r="BC36">
        <v>1</v>
      </c>
      <c r="BD36">
        <v>1</v>
      </c>
      <c r="BE36">
        <v>0</v>
      </c>
      <c r="BF36">
        <v>0</v>
      </c>
    </row>
    <row r="37" spans="1:58">
      <c r="A37" s="3" t="str">
        <f t="shared" si="10"/>
        <v>#</v>
      </c>
      <c r="B37" s="7" t="str">
        <f>"法师-"&amp;C37</f>
        <v>法师-无相·花颂剑（7天）</v>
      </c>
      <c r="C37" s="7" t="str">
        <f>配置总览!$E$102&amp;"剑（7天）"</f>
        <v>无相·花颂剑（7天）</v>
      </c>
      <c r="D37">
        <v>8</v>
      </c>
      <c r="E37" s="7" t="str">
        <f>"PWicon_WaiGuan/"&amp;配置总览!N104</f>
        <v>PWicon_WaiGuan/icon_weapon_wuxianghuasong_jian</v>
      </c>
      <c r="F37" t="s">
        <v>506</v>
      </c>
      <c r="G37">
        <v>7</v>
      </c>
      <c r="H37">
        <v>1</v>
      </c>
      <c r="I37">
        <v>1</v>
      </c>
      <c r="J37">
        <v>1</v>
      </c>
      <c r="K37" s="3">
        <f t="shared" si="13"/>
        <v>5</v>
      </c>
      <c r="L37">
        <v>1</v>
      </c>
      <c r="M37">
        <v>999</v>
      </c>
      <c r="N37">
        <v>1</v>
      </c>
      <c r="O37">
        <v>1</v>
      </c>
      <c r="P37">
        <v>1</v>
      </c>
      <c r="Q37">
        <v>1</v>
      </c>
      <c r="R37">
        <v>0</v>
      </c>
      <c r="S37">
        <v>1</v>
      </c>
      <c r="T37">
        <v>-1</v>
      </c>
      <c r="U37">
        <v>-1</v>
      </c>
      <c r="V37">
        <v>0</v>
      </c>
      <c r="W37">
        <v>19537</v>
      </c>
      <c r="X37">
        <v>1</v>
      </c>
      <c r="Y37">
        <v>1</v>
      </c>
      <c r="Z37">
        <v>3</v>
      </c>
      <c r="AA37">
        <v>1</v>
      </c>
      <c r="AB37">
        <v>-1</v>
      </c>
      <c r="AC37">
        <v>57</v>
      </c>
      <c r="AD37">
        <v>0.005</v>
      </c>
      <c r="AE37">
        <v>3647</v>
      </c>
      <c r="AF37">
        <v>1761</v>
      </c>
      <c r="AG37">
        <v>0</v>
      </c>
      <c r="AH37">
        <v>1</v>
      </c>
      <c r="AI37">
        <v>0</v>
      </c>
      <c r="AJ37">
        <v>-1</v>
      </c>
      <c r="AK37">
        <v>-1</v>
      </c>
      <c r="AL37">
        <v>0</v>
      </c>
      <c r="AM37">
        <v>1</v>
      </c>
      <c r="AN37">
        <v>1</v>
      </c>
      <c r="AO37" s="8">
        <v>0</v>
      </c>
      <c r="AP37">
        <v>-1</v>
      </c>
      <c r="AQ37">
        <v>0</v>
      </c>
      <c r="AR37">
        <v>-1</v>
      </c>
      <c r="AS37">
        <v>1</v>
      </c>
      <c r="AT37">
        <v>-1</v>
      </c>
      <c r="AU37">
        <v>1</v>
      </c>
      <c r="AV37">
        <v>0</v>
      </c>
      <c r="AW37">
        <v>-1</v>
      </c>
      <c r="AX37">
        <v>-1</v>
      </c>
      <c r="AY37">
        <v>2</v>
      </c>
      <c r="AZ37">
        <v>-1</v>
      </c>
      <c r="BA37">
        <v>0</v>
      </c>
      <c r="BB37">
        <v>-1</v>
      </c>
      <c r="BC37">
        <v>1</v>
      </c>
      <c r="BD37">
        <v>1</v>
      </c>
      <c r="BE37">
        <v>0</v>
      </c>
      <c r="BF37">
        <v>0</v>
      </c>
    </row>
    <row r="38" spans="1:58">
      <c r="A38" s="3" t="str">
        <f t="shared" si="10"/>
        <v>#</v>
      </c>
      <c r="B38" s="7" t="str">
        <f t="shared" ref="B38" si="15">"法师-"&amp;C38</f>
        <v>法师-无相·花颂剑（永久）</v>
      </c>
      <c r="C38" s="7" t="str">
        <f>配置总览!$E$102&amp;"剑（永久）"</f>
        <v>无相·花颂剑（永久）</v>
      </c>
      <c r="D38">
        <v>8</v>
      </c>
      <c r="E38" s="3" t="str">
        <f t="shared" si="12"/>
        <v>PWicon_WaiGuan/icon_weapon_wuxianghuasong_jian</v>
      </c>
      <c r="F38" t="s">
        <v>506</v>
      </c>
      <c r="G38">
        <v>7</v>
      </c>
      <c r="H38">
        <v>1</v>
      </c>
      <c r="I38">
        <v>1</v>
      </c>
      <c r="J38">
        <v>1</v>
      </c>
      <c r="K38" s="3">
        <f t="shared" si="13"/>
        <v>5</v>
      </c>
      <c r="L38">
        <v>1</v>
      </c>
      <c r="M38">
        <v>999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-1</v>
      </c>
      <c r="U38">
        <v>-1</v>
      </c>
      <c r="V38">
        <v>0</v>
      </c>
      <c r="W38">
        <v>19538</v>
      </c>
      <c r="X38">
        <v>1</v>
      </c>
      <c r="Y38">
        <v>1</v>
      </c>
      <c r="Z38">
        <v>3</v>
      </c>
      <c r="AA38">
        <v>1</v>
      </c>
      <c r="AB38">
        <v>-1</v>
      </c>
      <c r="AC38">
        <v>57</v>
      </c>
      <c r="AD38">
        <v>0.005</v>
      </c>
      <c r="AE38">
        <v>3647</v>
      </c>
      <c r="AF38">
        <v>1761</v>
      </c>
      <c r="AG38">
        <v>0</v>
      </c>
      <c r="AH38">
        <v>1</v>
      </c>
      <c r="AI38">
        <v>0</v>
      </c>
      <c r="AJ38">
        <v>-1</v>
      </c>
      <c r="AK38">
        <v>-1</v>
      </c>
      <c r="AL38">
        <v>0</v>
      </c>
      <c r="AM38">
        <v>1</v>
      </c>
      <c r="AN38">
        <v>1</v>
      </c>
      <c r="AO38" s="8">
        <v>0</v>
      </c>
      <c r="AP38">
        <v>-1</v>
      </c>
      <c r="AQ38">
        <v>0</v>
      </c>
      <c r="AR38">
        <v>-1</v>
      </c>
      <c r="AS38">
        <v>1</v>
      </c>
      <c r="AT38">
        <v>-1</v>
      </c>
      <c r="AU38">
        <v>1</v>
      </c>
      <c r="AV38">
        <v>0</v>
      </c>
      <c r="AW38">
        <v>-1</v>
      </c>
      <c r="AX38">
        <v>-1</v>
      </c>
      <c r="AY38">
        <v>2</v>
      </c>
      <c r="AZ38">
        <v>-1</v>
      </c>
      <c r="BA38">
        <v>0</v>
      </c>
      <c r="BB38">
        <v>-1</v>
      </c>
      <c r="BC38">
        <v>1</v>
      </c>
      <c r="BD38">
        <v>1</v>
      </c>
      <c r="BE38">
        <v>0</v>
      </c>
      <c r="BF38">
        <v>0</v>
      </c>
    </row>
    <row r="39" spans="1:58">
      <c r="A39" s="3" t="str">
        <f t="shared" si="10"/>
        <v>#</v>
      </c>
      <c r="B39" s="7" t="str">
        <f>"羽灵-"&amp;C39</f>
        <v>羽灵-无相·花颂环（7天）</v>
      </c>
      <c r="C39" s="7" t="str">
        <f>配置总览!$E$102&amp;"环（7天）"</f>
        <v>无相·花颂环（7天）</v>
      </c>
      <c r="D39">
        <v>8</v>
      </c>
      <c r="E39" s="7" t="str">
        <f>"PWicon_WaiGuan/"&amp;配置总览!N105</f>
        <v>PWicon_WaiGuan/icon_weapon_wuxianghuasong_huan</v>
      </c>
      <c r="F39" t="s">
        <v>506</v>
      </c>
      <c r="G39">
        <v>7</v>
      </c>
      <c r="H39">
        <v>1</v>
      </c>
      <c r="I39">
        <v>1</v>
      </c>
      <c r="J39">
        <v>1</v>
      </c>
      <c r="K39" s="3">
        <f t="shared" si="13"/>
        <v>5</v>
      </c>
      <c r="L39">
        <v>1</v>
      </c>
      <c r="M39">
        <v>999</v>
      </c>
      <c r="N39">
        <v>1</v>
      </c>
      <c r="O39">
        <v>1</v>
      </c>
      <c r="P39">
        <v>1</v>
      </c>
      <c r="Q39">
        <v>1</v>
      </c>
      <c r="R39">
        <v>0</v>
      </c>
      <c r="S39">
        <v>1</v>
      </c>
      <c r="T39">
        <v>-1</v>
      </c>
      <c r="U39">
        <v>-1</v>
      </c>
      <c r="V39">
        <v>0</v>
      </c>
      <c r="W39">
        <v>19539</v>
      </c>
      <c r="X39">
        <v>1</v>
      </c>
      <c r="Y39">
        <v>1</v>
      </c>
      <c r="Z39">
        <v>3</v>
      </c>
      <c r="AA39">
        <v>1</v>
      </c>
      <c r="AB39">
        <v>-1</v>
      </c>
      <c r="AC39">
        <v>57</v>
      </c>
      <c r="AD39">
        <v>0.005</v>
      </c>
      <c r="AE39">
        <v>3647</v>
      </c>
      <c r="AF39">
        <v>1761</v>
      </c>
      <c r="AG39">
        <v>0</v>
      </c>
      <c r="AH39">
        <v>1</v>
      </c>
      <c r="AI39">
        <v>0</v>
      </c>
      <c r="AJ39">
        <v>-1</v>
      </c>
      <c r="AK39">
        <v>-1</v>
      </c>
      <c r="AL39">
        <v>0</v>
      </c>
      <c r="AM39">
        <v>1</v>
      </c>
      <c r="AN39">
        <v>1</v>
      </c>
      <c r="AO39" s="8">
        <v>0</v>
      </c>
      <c r="AP39">
        <v>-1</v>
      </c>
      <c r="AQ39">
        <v>0</v>
      </c>
      <c r="AR39">
        <v>-1</v>
      </c>
      <c r="AS39">
        <v>1</v>
      </c>
      <c r="AT39">
        <v>-1</v>
      </c>
      <c r="AU39">
        <v>1</v>
      </c>
      <c r="AV39">
        <v>0</v>
      </c>
      <c r="AW39">
        <v>-1</v>
      </c>
      <c r="AX39">
        <v>-1</v>
      </c>
      <c r="AY39">
        <v>2</v>
      </c>
      <c r="AZ39">
        <v>-1</v>
      </c>
      <c r="BA39">
        <v>0</v>
      </c>
      <c r="BB39">
        <v>-1</v>
      </c>
      <c r="BC39">
        <v>1</v>
      </c>
      <c r="BD39">
        <v>1</v>
      </c>
      <c r="BE39">
        <v>0</v>
      </c>
      <c r="BF39">
        <v>0</v>
      </c>
    </row>
    <row r="40" spans="1:58">
      <c r="A40" s="3" t="str">
        <f t="shared" si="10"/>
        <v>#</v>
      </c>
      <c r="B40" s="7" t="str">
        <f t="shared" ref="B40" si="16">"羽灵-"&amp;C40</f>
        <v>羽灵-无相·花颂环（永久）</v>
      </c>
      <c r="C40" s="7" t="str">
        <f>配置总览!$E$102&amp;"环（永久）"</f>
        <v>无相·花颂环（永久）</v>
      </c>
      <c r="D40">
        <v>8</v>
      </c>
      <c r="E40" s="3" t="str">
        <f t="shared" si="12"/>
        <v>PWicon_WaiGuan/icon_weapon_wuxianghuasong_huan</v>
      </c>
      <c r="F40" t="s">
        <v>506</v>
      </c>
      <c r="G40">
        <v>7</v>
      </c>
      <c r="H40">
        <v>1</v>
      </c>
      <c r="I40">
        <v>1</v>
      </c>
      <c r="J40">
        <v>1</v>
      </c>
      <c r="K40" s="3">
        <f t="shared" si="13"/>
        <v>5</v>
      </c>
      <c r="L40">
        <v>1</v>
      </c>
      <c r="M40">
        <v>999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-1</v>
      </c>
      <c r="U40">
        <v>-1</v>
      </c>
      <c r="V40">
        <v>0</v>
      </c>
      <c r="W40">
        <v>19540</v>
      </c>
      <c r="X40">
        <v>1</v>
      </c>
      <c r="Y40">
        <v>1</v>
      </c>
      <c r="Z40">
        <v>3</v>
      </c>
      <c r="AA40">
        <v>1</v>
      </c>
      <c r="AB40">
        <v>-1</v>
      </c>
      <c r="AC40">
        <v>57</v>
      </c>
      <c r="AD40">
        <v>0.005</v>
      </c>
      <c r="AE40">
        <v>3647</v>
      </c>
      <c r="AF40">
        <v>1761</v>
      </c>
      <c r="AG40">
        <v>0</v>
      </c>
      <c r="AH40">
        <v>1</v>
      </c>
      <c r="AI40">
        <v>0</v>
      </c>
      <c r="AJ40">
        <v>-1</v>
      </c>
      <c r="AK40">
        <v>-1</v>
      </c>
      <c r="AL40">
        <v>0</v>
      </c>
      <c r="AM40">
        <v>1</v>
      </c>
      <c r="AN40">
        <v>1</v>
      </c>
      <c r="AO40" s="8">
        <v>0</v>
      </c>
      <c r="AP40">
        <v>-1</v>
      </c>
      <c r="AQ40">
        <v>0</v>
      </c>
      <c r="AR40">
        <v>-1</v>
      </c>
      <c r="AS40">
        <v>1</v>
      </c>
      <c r="AT40">
        <v>-1</v>
      </c>
      <c r="AU40">
        <v>1</v>
      </c>
      <c r="AV40">
        <v>0</v>
      </c>
      <c r="AW40">
        <v>-1</v>
      </c>
      <c r="AX40">
        <v>-1</v>
      </c>
      <c r="AY40">
        <v>2</v>
      </c>
      <c r="AZ40">
        <v>-1</v>
      </c>
      <c r="BA40">
        <v>0</v>
      </c>
      <c r="BB40">
        <v>-1</v>
      </c>
      <c r="BC40">
        <v>1</v>
      </c>
      <c r="BD40">
        <v>1</v>
      </c>
      <c r="BE40">
        <v>0</v>
      </c>
      <c r="BF40">
        <v>0</v>
      </c>
    </row>
    <row r="41" spans="1:58">
      <c r="A41" s="3" t="str">
        <f t="shared" si="10"/>
        <v>#</v>
      </c>
      <c r="B41" s="7" t="str">
        <f>"妖精-"&amp;C41</f>
        <v>妖精-无相·花颂杖（7天）</v>
      </c>
      <c r="C41" s="7" t="str">
        <f>配置总览!$E$102&amp;"杖（7天）"</f>
        <v>无相·花颂杖（7天）</v>
      </c>
      <c r="D41">
        <v>8</v>
      </c>
      <c r="E41" s="7" t="str">
        <f>"PWicon_WaiGuan/"&amp;配置总览!N106</f>
        <v>PWicon_WaiGuan/icon_weapon_wuxianghuasong_zhang</v>
      </c>
      <c r="F41" t="s">
        <v>506</v>
      </c>
      <c r="G41">
        <v>7</v>
      </c>
      <c r="H41">
        <v>1</v>
      </c>
      <c r="I41">
        <v>1</v>
      </c>
      <c r="J41">
        <v>1</v>
      </c>
      <c r="K41" s="3">
        <f t="shared" si="13"/>
        <v>5</v>
      </c>
      <c r="L41">
        <v>1</v>
      </c>
      <c r="M41">
        <v>999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-1</v>
      </c>
      <c r="U41">
        <v>-1</v>
      </c>
      <c r="V41">
        <v>0</v>
      </c>
      <c r="W41">
        <v>19543</v>
      </c>
      <c r="X41">
        <v>1</v>
      </c>
      <c r="Y41">
        <v>1</v>
      </c>
      <c r="Z41">
        <v>3</v>
      </c>
      <c r="AA41">
        <v>1</v>
      </c>
      <c r="AB41">
        <v>-1</v>
      </c>
      <c r="AC41">
        <v>57</v>
      </c>
      <c r="AD41">
        <v>0.005</v>
      </c>
      <c r="AE41">
        <v>3647</v>
      </c>
      <c r="AF41">
        <v>1761</v>
      </c>
      <c r="AG41">
        <v>0</v>
      </c>
      <c r="AH41">
        <v>1</v>
      </c>
      <c r="AI41">
        <v>0</v>
      </c>
      <c r="AJ41">
        <v>-1</v>
      </c>
      <c r="AK41">
        <v>-1</v>
      </c>
      <c r="AL41">
        <v>0</v>
      </c>
      <c r="AM41">
        <v>1</v>
      </c>
      <c r="AN41">
        <v>1</v>
      </c>
      <c r="AO41" s="8">
        <v>0</v>
      </c>
      <c r="AP41">
        <v>-1</v>
      </c>
      <c r="AQ41">
        <v>0</v>
      </c>
      <c r="AR41">
        <v>-1</v>
      </c>
      <c r="AS41">
        <v>1</v>
      </c>
      <c r="AT41">
        <v>-1</v>
      </c>
      <c r="AU41">
        <v>1</v>
      </c>
      <c r="AV41">
        <v>0</v>
      </c>
      <c r="AW41">
        <v>-1</v>
      </c>
      <c r="AX41">
        <v>-1</v>
      </c>
      <c r="AY41">
        <v>2</v>
      </c>
      <c r="AZ41">
        <v>-1</v>
      </c>
      <c r="BA41">
        <v>0</v>
      </c>
      <c r="BB41">
        <v>-1</v>
      </c>
      <c r="BC41">
        <v>1</v>
      </c>
      <c r="BD41">
        <v>1</v>
      </c>
      <c r="BE41">
        <v>0</v>
      </c>
      <c r="BF41">
        <v>0</v>
      </c>
    </row>
    <row r="42" spans="1:58">
      <c r="A42" s="3" t="str">
        <f t="shared" si="10"/>
        <v>#</v>
      </c>
      <c r="B42" s="7" t="str">
        <f t="shared" ref="B42" si="17">"妖精-"&amp;C42</f>
        <v>妖精-无相·花颂杖（永久）</v>
      </c>
      <c r="C42" s="7" t="str">
        <f>配置总览!$E$102&amp;"杖（永久）"</f>
        <v>无相·花颂杖（永久）</v>
      </c>
      <c r="D42">
        <v>8</v>
      </c>
      <c r="E42" s="3" t="str">
        <f t="shared" si="12"/>
        <v>PWicon_WaiGuan/icon_weapon_wuxianghuasong_zhang</v>
      </c>
      <c r="F42" t="s">
        <v>506</v>
      </c>
      <c r="G42">
        <v>7</v>
      </c>
      <c r="H42">
        <v>1</v>
      </c>
      <c r="I42">
        <v>1</v>
      </c>
      <c r="J42">
        <v>1</v>
      </c>
      <c r="K42" s="3">
        <f t="shared" si="13"/>
        <v>5</v>
      </c>
      <c r="L42">
        <v>1</v>
      </c>
      <c r="M42">
        <v>999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-1</v>
      </c>
      <c r="U42">
        <v>-1</v>
      </c>
      <c r="V42">
        <v>0</v>
      </c>
      <c r="W42">
        <v>19544</v>
      </c>
      <c r="X42">
        <v>1</v>
      </c>
      <c r="Y42">
        <v>1</v>
      </c>
      <c r="Z42">
        <v>3</v>
      </c>
      <c r="AA42">
        <v>1</v>
      </c>
      <c r="AB42">
        <v>-1</v>
      </c>
      <c r="AC42">
        <v>57</v>
      </c>
      <c r="AD42">
        <v>0.005</v>
      </c>
      <c r="AE42">
        <v>3647</v>
      </c>
      <c r="AF42">
        <v>1761</v>
      </c>
      <c r="AG42">
        <v>0</v>
      </c>
      <c r="AH42">
        <v>1</v>
      </c>
      <c r="AI42">
        <v>0</v>
      </c>
      <c r="AJ42">
        <v>-1</v>
      </c>
      <c r="AK42">
        <v>-1</v>
      </c>
      <c r="AL42">
        <v>0</v>
      </c>
      <c r="AM42">
        <v>1</v>
      </c>
      <c r="AN42">
        <v>1</v>
      </c>
      <c r="AO42" s="8">
        <v>0</v>
      </c>
      <c r="AP42">
        <v>-1</v>
      </c>
      <c r="AQ42">
        <v>0</v>
      </c>
      <c r="AR42">
        <v>-1</v>
      </c>
      <c r="AS42">
        <v>1</v>
      </c>
      <c r="AT42">
        <v>-1</v>
      </c>
      <c r="AU42">
        <v>1</v>
      </c>
      <c r="AV42">
        <v>0</v>
      </c>
      <c r="AW42">
        <v>-1</v>
      </c>
      <c r="AX42">
        <v>-1</v>
      </c>
      <c r="AY42">
        <v>2</v>
      </c>
      <c r="AZ42">
        <v>-1</v>
      </c>
      <c r="BA42">
        <v>0</v>
      </c>
      <c r="BB42">
        <v>-1</v>
      </c>
      <c r="BC42">
        <v>1</v>
      </c>
      <c r="BD42">
        <v>1</v>
      </c>
      <c r="BE42">
        <v>0</v>
      </c>
      <c r="BF42">
        <v>0</v>
      </c>
    </row>
    <row r="43" spans="1:58">
      <c r="A43" s="3" t="str">
        <f t="shared" si="10"/>
        <v>#</v>
      </c>
      <c r="B43" s="7" t="str">
        <f>"武侠-"&amp;C43</f>
        <v>武侠-无相·花颂兵（7天）</v>
      </c>
      <c r="C43" s="7" t="str">
        <f>配置总览!$E$102&amp;"兵（7天）"</f>
        <v>无相·花颂兵（7天）</v>
      </c>
      <c r="D43">
        <v>8</v>
      </c>
      <c r="E43" s="7" t="str">
        <f>"PWicon_WaiGuan/"&amp;配置总览!N107</f>
        <v>PWicon_WaiGuan/icon_weapon_wuxianghuasong_fu</v>
      </c>
      <c r="F43" t="s">
        <v>506</v>
      </c>
      <c r="G43">
        <v>7</v>
      </c>
      <c r="H43">
        <v>1</v>
      </c>
      <c r="I43">
        <v>1</v>
      </c>
      <c r="J43">
        <v>1</v>
      </c>
      <c r="K43" s="3">
        <f t="shared" si="13"/>
        <v>5</v>
      </c>
      <c r="L43">
        <v>1</v>
      </c>
      <c r="M43">
        <v>999</v>
      </c>
      <c r="N43">
        <v>1</v>
      </c>
      <c r="O43">
        <v>1</v>
      </c>
      <c r="P43">
        <v>1</v>
      </c>
      <c r="Q43">
        <v>1</v>
      </c>
      <c r="R43">
        <v>0</v>
      </c>
      <c r="S43">
        <v>1</v>
      </c>
      <c r="T43">
        <v>-1</v>
      </c>
      <c r="U43">
        <v>-1</v>
      </c>
      <c r="V43">
        <v>0</v>
      </c>
      <c r="W43">
        <v>19545</v>
      </c>
      <c r="X43">
        <v>1</v>
      </c>
      <c r="Y43">
        <v>1</v>
      </c>
      <c r="Z43">
        <v>3</v>
      </c>
      <c r="AA43">
        <v>1</v>
      </c>
      <c r="AB43">
        <v>-1</v>
      </c>
      <c r="AC43">
        <v>57</v>
      </c>
      <c r="AD43">
        <v>0.005</v>
      </c>
      <c r="AE43">
        <v>3647</v>
      </c>
      <c r="AF43">
        <v>1761</v>
      </c>
      <c r="AG43">
        <v>0</v>
      </c>
      <c r="AH43">
        <v>1</v>
      </c>
      <c r="AI43">
        <v>0</v>
      </c>
      <c r="AJ43">
        <v>-1</v>
      </c>
      <c r="AK43">
        <v>-1</v>
      </c>
      <c r="AL43">
        <v>0</v>
      </c>
      <c r="AM43">
        <v>1</v>
      </c>
      <c r="AN43">
        <v>1</v>
      </c>
      <c r="AO43" s="8">
        <v>0</v>
      </c>
      <c r="AP43">
        <v>-1</v>
      </c>
      <c r="AQ43">
        <v>0</v>
      </c>
      <c r="AR43">
        <v>-1</v>
      </c>
      <c r="AS43">
        <v>1</v>
      </c>
      <c r="AT43">
        <v>-1</v>
      </c>
      <c r="AU43">
        <v>1</v>
      </c>
      <c r="AV43">
        <v>0</v>
      </c>
      <c r="AW43">
        <v>-1</v>
      </c>
      <c r="AX43">
        <v>-1</v>
      </c>
      <c r="AY43">
        <v>2</v>
      </c>
      <c r="AZ43">
        <v>-1</v>
      </c>
      <c r="BA43">
        <v>0</v>
      </c>
      <c r="BB43">
        <v>-1</v>
      </c>
      <c r="BC43">
        <v>1</v>
      </c>
      <c r="BD43">
        <v>1</v>
      </c>
      <c r="BE43">
        <v>0</v>
      </c>
      <c r="BF43">
        <v>0</v>
      </c>
    </row>
    <row r="44" spans="1:58">
      <c r="A44" s="3" t="str">
        <f t="shared" si="10"/>
        <v>#</v>
      </c>
      <c r="B44" s="7" t="str">
        <f t="shared" ref="B44" si="18">"武侠-"&amp;C44</f>
        <v>武侠-无相·花颂兵（永久）</v>
      </c>
      <c r="C44" s="7" t="str">
        <f>配置总览!$E$102&amp;"兵（永久）"</f>
        <v>无相·花颂兵（永久）</v>
      </c>
      <c r="D44">
        <v>8</v>
      </c>
      <c r="E44" s="3" t="str">
        <f t="shared" si="12"/>
        <v>PWicon_WaiGuan/icon_weapon_wuxianghuasong_fu</v>
      </c>
      <c r="F44" t="s">
        <v>506</v>
      </c>
      <c r="G44">
        <v>7</v>
      </c>
      <c r="H44">
        <v>1</v>
      </c>
      <c r="I44">
        <v>1</v>
      </c>
      <c r="J44">
        <v>1</v>
      </c>
      <c r="K44" s="3">
        <f t="shared" si="13"/>
        <v>5</v>
      </c>
      <c r="L44">
        <v>1</v>
      </c>
      <c r="M44">
        <v>999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-1</v>
      </c>
      <c r="U44">
        <v>-1</v>
      </c>
      <c r="V44">
        <v>0</v>
      </c>
      <c r="W44">
        <v>19546</v>
      </c>
      <c r="X44">
        <v>1</v>
      </c>
      <c r="Y44">
        <v>1</v>
      </c>
      <c r="Z44">
        <v>3</v>
      </c>
      <c r="AA44">
        <v>1</v>
      </c>
      <c r="AB44">
        <v>-1</v>
      </c>
      <c r="AC44">
        <v>57</v>
      </c>
      <c r="AD44">
        <v>0.005</v>
      </c>
      <c r="AE44">
        <v>3647</v>
      </c>
      <c r="AF44">
        <v>1761</v>
      </c>
      <c r="AG44">
        <v>0</v>
      </c>
      <c r="AH44">
        <v>1</v>
      </c>
      <c r="AI44">
        <v>0</v>
      </c>
      <c r="AJ44">
        <v>-1</v>
      </c>
      <c r="AK44">
        <v>-1</v>
      </c>
      <c r="AL44">
        <v>0</v>
      </c>
      <c r="AM44">
        <v>1</v>
      </c>
      <c r="AN44">
        <v>1</v>
      </c>
      <c r="AO44" s="8">
        <v>0</v>
      </c>
      <c r="AP44">
        <v>-1</v>
      </c>
      <c r="AQ44">
        <v>0</v>
      </c>
      <c r="AR44">
        <v>-1</v>
      </c>
      <c r="AS44">
        <v>1</v>
      </c>
      <c r="AT44">
        <v>-1</v>
      </c>
      <c r="AU44">
        <v>1</v>
      </c>
      <c r="AV44">
        <v>0</v>
      </c>
      <c r="AW44">
        <v>-1</v>
      </c>
      <c r="AX44">
        <v>-1</v>
      </c>
      <c r="AY44">
        <v>2</v>
      </c>
      <c r="AZ44">
        <v>-1</v>
      </c>
      <c r="BA44">
        <v>0</v>
      </c>
      <c r="BB44">
        <v>-1</v>
      </c>
      <c r="BC44">
        <v>1</v>
      </c>
      <c r="BD44">
        <v>1</v>
      </c>
      <c r="BE44">
        <v>0</v>
      </c>
      <c r="BF44">
        <v>0</v>
      </c>
    </row>
    <row r="45" spans="1:58">
      <c r="A45" s="3" t="str">
        <f t="shared" si="10"/>
        <v>#</v>
      </c>
      <c r="B45" s="7" t="str">
        <f>"妖刃-"&amp;C45</f>
        <v>妖刃-无相·花颂刃（7天）</v>
      </c>
      <c r="C45" s="7" t="str">
        <f>配置总览!$E$102&amp;"刃（7天）"</f>
        <v>无相·花颂刃（7天）</v>
      </c>
      <c r="D45">
        <v>8</v>
      </c>
      <c r="E45" s="7" t="str">
        <f>"PWicon_WaiGuan/"&amp;配置总览!N108</f>
        <v>PWicon_WaiGuan/icon_weapon_wuxianghuasong_ren</v>
      </c>
      <c r="F45" t="s">
        <v>506</v>
      </c>
      <c r="G45">
        <v>7</v>
      </c>
      <c r="H45">
        <v>1</v>
      </c>
      <c r="I45">
        <v>1</v>
      </c>
      <c r="J45">
        <v>1</v>
      </c>
      <c r="K45" s="3">
        <f t="shared" si="13"/>
        <v>5</v>
      </c>
      <c r="L45">
        <v>1</v>
      </c>
      <c r="M45">
        <v>999</v>
      </c>
      <c r="N45">
        <v>1</v>
      </c>
      <c r="O45">
        <v>1</v>
      </c>
      <c r="P45">
        <v>1</v>
      </c>
      <c r="Q45">
        <v>1</v>
      </c>
      <c r="R45">
        <v>0</v>
      </c>
      <c r="S45">
        <v>1</v>
      </c>
      <c r="T45">
        <v>-1</v>
      </c>
      <c r="U45">
        <v>-1</v>
      </c>
      <c r="V45">
        <v>0</v>
      </c>
      <c r="W45">
        <v>19545</v>
      </c>
      <c r="X45">
        <v>1</v>
      </c>
      <c r="Y45">
        <v>1</v>
      </c>
      <c r="Z45">
        <v>3</v>
      </c>
      <c r="AA45">
        <v>1</v>
      </c>
      <c r="AB45">
        <v>-1</v>
      </c>
      <c r="AC45">
        <v>57</v>
      </c>
      <c r="AD45">
        <v>0.005</v>
      </c>
      <c r="AE45">
        <v>3647</v>
      </c>
      <c r="AF45">
        <v>1761</v>
      </c>
      <c r="AG45">
        <v>0</v>
      </c>
      <c r="AH45">
        <v>1</v>
      </c>
      <c r="AI45">
        <v>0</v>
      </c>
      <c r="AJ45">
        <v>-1</v>
      </c>
      <c r="AK45">
        <v>-1</v>
      </c>
      <c r="AL45">
        <v>0</v>
      </c>
      <c r="AM45">
        <v>1</v>
      </c>
      <c r="AN45">
        <v>1</v>
      </c>
      <c r="AO45" s="8">
        <v>0</v>
      </c>
      <c r="AP45">
        <v>-1</v>
      </c>
      <c r="AQ45">
        <v>0</v>
      </c>
      <c r="AR45">
        <v>-1</v>
      </c>
      <c r="AS45">
        <v>1</v>
      </c>
      <c r="AT45">
        <v>-1</v>
      </c>
      <c r="AU45">
        <v>1</v>
      </c>
      <c r="AV45">
        <v>0</v>
      </c>
      <c r="AW45">
        <v>-1</v>
      </c>
      <c r="AX45">
        <v>-1</v>
      </c>
      <c r="AY45">
        <v>2</v>
      </c>
      <c r="AZ45">
        <v>-1</v>
      </c>
      <c r="BA45">
        <v>0</v>
      </c>
      <c r="BB45">
        <v>-1</v>
      </c>
      <c r="BC45">
        <v>1</v>
      </c>
      <c r="BD45">
        <v>1</v>
      </c>
      <c r="BE45">
        <v>0</v>
      </c>
      <c r="BF45">
        <v>0</v>
      </c>
    </row>
    <row r="46" spans="1:58">
      <c r="A46" s="3" t="str">
        <f t="shared" si="10"/>
        <v>#</v>
      </c>
      <c r="B46" s="7" t="str">
        <f t="shared" ref="B46" si="19">"妖刃-"&amp;C46</f>
        <v>妖刃-无相·花颂刃（永久）</v>
      </c>
      <c r="C46" s="7" t="str">
        <f>配置总览!$E$102&amp;"刃（永久）"</f>
        <v>无相·花颂刃（永久）</v>
      </c>
      <c r="D46">
        <v>8</v>
      </c>
      <c r="E46" s="3" t="str">
        <f t="shared" si="12"/>
        <v>PWicon_WaiGuan/icon_weapon_wuxianghuasong_ren</v>
      </c>
      <c r="F46" t="s">
        <v>506</v>
      </c>
      <c r="G46">
        <v>7</v>
      </c>
      <c r="H46">
        <v>1</v>
      </c>
      <c r="I46">
        <v>1</v>
      </c>
      <c r="J46">
        <v>1</v>
      </c>
      <c r="K46" s="3">
        <f t="shared" si="13"/>
        <v>5</v>
      </c>
      <c r="L46">
        <v>1</v>
      </c>
      <c r="M46">
        <v>999</v>
      </c>
      <c r="N46">
        <v>1</v>
      </c>
      <c r="O46">
        <v>1</v>
      </c>
      <c r="P46">
        <v>1</v>
      </c>
      <c r="Q46">
        <v>1</v>
      </c>
      <c r="R46">
        <v>0</v>
      </c>
      <c r="S46">
        <v>1</v>
      </c>
      <c r="T46">
        <v>-1</v>
      </c>
      <c r="U46">
        <v>-1</v>
      </c>
      <c r="V46">
        <v>0</v>
      </c>
      <c r="W46">
        <v>19546</v>
      </c>
      <c r="X46">
        <v>1</v>
      </c>
      <c r="Y46">
        <v>1</v>
      </c>
      <c r="Z46">
        <v>3</v>
      </c>
      <c r="AA46">
        <v>1</v>
      </c>
      <c r="AB46">
        <v>-1</v>
      </c>
      <c r="AC46">
        <v>57</v>
      </c>
      <c r="AD46">
        <v>0.005</v>
      </c>
      <c r="AE46">
        <v>3647</v>
      </c>
      <c r="AF46">
        <v>1761</v>
      </c>
      <c r="AG46">
        <v>0</v>
      </c>
      <c r="AH46">
        <v>1</v>
      </c>
      <c r="AI46">
        <v>0</v>
      </c>
      <c r="AJ46">
        <v>-1</v>
      </c>
      <c r="AK46">
        <v>-1</v>
      </c>
      <c r="AL46">
        <v>0</v>
      </c>
      <c r="AM46">
        <v>1</v>
      </c>
      <c r="AN46">
        <v>1</v>
      </c>
      <c r="AO46" s="8">
        <v>0</v>
      </c>
      <c r="AP46">
        <v>-1</v>
      </c>
      <c r="AQ46">
        <v>0</v>
      </c>
      <c r="AR46">
        <v>-1</v>
      </c>
      <c r="AS46">
        <v>1</v>
      </c>
      <c r="AT46">
        <v>-1</v>
      </c>
      <c r="AU46">
        <v>1</v>
      </c>
      <c r="AV46">
        <v>0</v>
      </c>
      <c r="AW46">
        <v>-1</v>
      </c>
      <c r="AX46">
        <v>-1</v>
      </c>
      <c r="AY46">
        <v>2</v>
      </c>
      <c r="AZ46">
        <v>-1</v>
      </c>
      <c r="BA46">
        <v>0</v>
      </c>
      <c r="BB46">
        <v>-1</v>
      </c>
      <c r="BC46">
        <v>1</v>
      </c>
      <c r="BD46">
        <v>1</v>
      </c>
      <c r="BE46">
        <v>0</v>
      </c>
      <c r="BF46">
        <v>0</v>
      </c>
    </row>
    <row r="47" spans="1:58">
      <c r="A47" s="3" t="str">
        <f t="shared" si="10"/>
        <v>#</v>
      </c>
      <c r="B47" s="7" t="str">
        <f>"羽岚-"&amp;C47</f>
        <v>羽岚-无相·花颂书（7天）</v>
      </c>
      <c r="C47" s="7" t="str">
        <f>配置总览!$E$102&amp;"书（7天）"</f>
        <v>无相·花颂书（7天）</v>
      </c>
      <c r="D47">
        <v>8</v>
      </c>
      <c r="E47" s="7" t="str">
        <f>"PWicon_WaiGuan/"&amp;配置总览!N109</f>
        <v>PWicon_WaiGuan/icon_weapon_wuxianghuasong_shu</v>
      </c>
      <c r="F47" t="s">
        <v>506</v>
      </c>
      <c r="G47">
        <v>7</v>
      </c>
      <c r="H47">
        <v>1</v>
      </c>
      <c r="I47">
        <v>1</v>
      </c>
      <c r="J47">
        <v>1</v>
      </c>
      <c r="K47" s="3">
        <f t="shared" si="13"/>
        <v>5</v>
      </c>
      <c r="L47">
        <v>1</v>
      </c>
      <c r="M47">
        <v>999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-1</v>
      </c>
      <c r="U47">
        <v>-1</v>
      </c>
      <c r="V47">
        <v>0</v>
      </c>
      <c r="W47">
        <v>19545</v>
      </c>
      <c r="X47">
        <v>1</v>
      </c>
      <c r="Y47">
        <v>1</v>
      </c>
      <c r="Z47">
        <v>3</v>
      </c>
      <c r="AA47">
        <v>1</v>
      </c>
      <c r="AB47">
        <v>-1</v>
      </c>
      <c r="AC47">
        <v>57</v>
      </c>
      <c r="AD47">
        <v>0.005</v>
      </c>
      <c r="AE47">
        <v>3647</v>
      </c>
      <c r="AF47">
        <v>1761</v>
      </c>
      <c r="AG47">
        <v>0</v>
      </c>
      <c r="AH47">
        <v>1</v>
      </c>
      <c r="AI47">
        <v>0</v>
      </c>
      <c r="AJ47">
        <v>-1</v>
      </c>
      <c r="AK47">
        <v>-1</v>
      </c>
      <c r="AL47">
        <v>0</v>
      </c>
      <c r="AM47">
        <v>1</v>
      </c>
      <c r="AN47">
        <v>1</v>
      </c>
      <c r="AO47" s="8">
        <v>0</v>
      </c>
      <c r="AP47">
        <v>-1</v>
      </c>
      <c r="AQ47">
        <v>0</v>
      </c>
      <c r="AR47">
        <v>-1</v>
      </c>
      <c r="AS47">
        <v>1</v>
      </c>
      <c r="AT47">
        <v>-1</v>
      </c>
      <c r="AU47">
        <v>1</v>
      </c>
      <c r="AV47">
        <v>0</v>
      </c>
      <c r="AW47">
        <v>-1</v>
      </c>
      <c r="AX47">
        <v>-1</v>
      </c>
      <c r="AY47">
        <v>2</v>
      </c>
      <c r="AZ47">
        <v>-1</v>
      </c>
      <c r="BA47">
        <v>0</v>
      </c>
      <c r="BB47">
        <v>-1</v>
      </c>
      <c r="BC47">
        <v>1</v>
      </c>
      <c r="BD47">
        <v>1</v>
      </c>
      <c r="BE47">
        <v>0</v>
      </c>
      <c r="BF47">
        <v>0</v>
      </c>
    </row>
    <row r="48" spans="1:58">
      <c r="A48" s="3" t="str">
        <f t="shared" si="10"/>
        <v>#</v>
      </c>
      <c r="B48" s="7" t="str">
        <f t="shared" ref="B48" si="20">"羽岚-"&amp;C48</f>
        <v>羽岚-无相·花颂书（永久）</v>
      </c>
      <c r="C48" s="7" t="str">
        <f>配置总览!$E$102&amp;"书（永久）"</f>
        <v>无相·花颂书（永久）</v>
      </c>
      <c r="D48">
        <v>8</v>
      </c>
      <c r="E48" s="3" t="str">
        <f t="shared" si="12"/>
        <v>PWicon_WaiGuan/icon_weapon_wuxianghuasong_shu</v>
      </c>
      <c r="F48" t="s">
        <v>506</v>
      </c>
      <c r="G48">
        <v>7</v>
      </c>
      <c r="H48">
        <v>1</v>
      </c>
      <c r="I48">
        <v>1</v>
      </c>
      <c r="J48">
        <v>1</v>
      </c>
      <c r="K48" s="3">
        <f t="shared" si="13"/>
        <v>5</v>
      </c>
      <c r="L48">
        <v>1</v>
      </c>
      <c r="M48">
        <v>999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-1</v>
      </c>
      <c r="U48">
        <v>-1</v>
      </c>
      <c r="V48">
        <v>0</v>
      </c>
      <c r="W48">
        <v>19546</v>
      </c>
      <c r="X48">
        <v>1</v>
      </c>
      <c r="Y48">
        <v>1</v>
      </c>
      <c r="Z48">
        <v>3</v>
      </c>
      <c r="AA48">
        <v>1</v>
      </c>
      <c r="AB48">
        <v>-1</v>
      </c>
      <c r="AC48">
        <v>57</v>
      </c>
      <c r="AD48">
        <v>0.005</v>
      </c>
      <c r="AE48">
        <v>3647</v>
      </c>
      <c r="AF48">
        <v>1761</v>
      </c>
      <c r="AG48">
        <v>0</v>
      </c>
      <c r="AH48">
        <v>1</v>
      </c>
      <c r="AI48">
        <v>0</v>
      </c>
      <c r="AJ48">
        <v>-1</v>
      </c>
      <c r="AK48">
        <v>-1</v>
      </c>
      <c r="AL48">
        <v>0</v>
      </c>
      <c r="AM48">
        <v>1</v>
      </c>
      <c r="AN48">
        <v>1</v>
      </c>
      <c r="AO48" s="8">
        <v>0</v>
      </c>
      <c r="AP48">
        <v>-1</v>
      </c>
      <c r="AQ48">
        <v>0</v>
      </c>
      <c r="AR48">
        <v>-1</v>
      </c>
      <c r="AS48">
        <v>1</v>
      </c>
      <c r="AT48">
        <v>-1</v>
      </c>
      <c r="AU48">
        <v>1</v>
      </c>
      <c r="AV48">
        <v>0</v>
      </c>
      <c r="AW48">
        <v>-1</v>
      </c>
      <c r="AX48">
        <v>-1</v>
      </c>
      <c r="AY48">
        <v>2</v>
      </c>
      <c r="AZ48">
        <v>-1</v>
      </c>
      <c r="BA48">
        <v>0</v>
      </c>
      <c r="BB48">
        <v>-1</v>
      </c>
      <c r="BC48">
        <v>1</v>
      </c>
      <c r="BD48">
        <v>1</v>
      </c>
      <c r="BE48">
        <v>0</v>
      </c>
      <c r="BF48">
        <v>0</v>
      </c>
    </row>
    <row r="49" spans="1:58">
      <c r="A49" s="3" t="str">
        <f t="shared" si="10"/>
        <v>#</v>
      </c>
      <c r="B49" s="7" t="str">
        <f>"刀刹-"&amp;C49</f>
        <v>刀刹-无相·花颂刀（7天）</v>
      </c>
      <c r="C49" s="7" t="str">
        <f>配置总览!$E$102&amp;"刀（7天）"</f>
        <v>无相·花颂刀（7天）</v>
      </c>
      <c r="D49">
        <v>8</v>
      </c>
      <c r="E49" s="7" t="str">
        <f>"PWicon_WaiGuan/"&amp;配置总览!N110</f>
        <v>PWicon_WaiGuan/icon_weapon_wuxianghuasong_dao</v>
      </c>
      <c r="F49" t="s">
        <v>506</v>
      </c>
      <c r="G49">
        <v>7</v>
      </c>
      <c r="H49">
        <v>1</v>
      </c>
      <c r="I49">
        <v>1</v>
      </c>
      <c r="J49">
        <v>1</v>
      </c>
      <c r="K49" s="3">
        <f t="shared" si="13"/>
        <v>5</v>
      </c>
      <c r="L49">
        <v>1</v>
      </c>
      <c r="M49">
        <v>999</v>
      </c>
      <c r="N49">
        <v>1</v>
      </c>
      <c r="O49">
        <v>1</v>
      </c>
      <c r="P49">
        <v>1</v>
      </c>
      <c r="Q49">
        <v>1</v>
      </c>
      <c r="R49">
        <v>0</v>
      </c>
      <c r="S49">
        <v>1</v>
      </c>
      <c r="T49">
        <v>-1</v>
      </c>
      <c r="U49">
        <v>-1</v>
      </c>
      <c r="V49">
        <v>0</v>
      </c>
      <c r="W49">
        <v>19545</v>
      </c>
      <c r="X49">
        <v>1</v>
      </c>
      <c r="Y49">
        <v>1</v>
      </c>
      <c r="Z49">
        <v>3</v>
      </c>
      <c r="AA49">
        <v>1</v>
      </c>
      <c r="AB49">
        <v>-1</v>
      </c>
      <c r="AC49">
        <v>57</v>
      </c>
      <c r="AD49">
        <v>0.005</v>
      </c>
      <c r="AE49">
        <v>3647</v>
      </c>
      <c r="AF49">
        <v>1761</v>
      </c>
      <c r="AG49">
        <v>0</v>
      </c>
      <c r="AH49">
        <v>1</v>
      </c>
      <c r="AI49">
        <v>0</v>
      </c>
      <c r="AJ49">
        <v>-1</v>
      </c>
      <c r="AK49">
        <v>-1</v>
      </c>
      <c r="AL49">
        <v>0</v>
      </c>
      <c r="AM49">
        <v>1</v>
      </c>
      <c r="AN49">
        <v>1</v>
      </c>
      <c r="AO49" s="8">
        <v>0</v>
      </c>
      <c r="AP49">
        <v>-1</v>
      </c>
      <c r="AQ49">
        <v>0</v>
      </c>
      <c r="AR49">
        <v>-1</v>
      </c>
      <c r="AS49">
        <v>1</v>
      </c>
      <c r="AT49">
        <v>-1</v>
      </c>
      <c r="AU49">
        <v>1</v>
      </c>
      <c r="AV49">
        <v>0</v>
      </c>
      <c r="AW49">
        <v>-1</v>
      </c>
      <c r="AX49">
        <v>-1</v>
      </c>
      <c r="AY49">
        <v>2</v>
      </c>
      <c r="AZ49">
        <v>-1</v>
      </c>
      <c r="BA49">
        <v>0</v>
      </c>
      <c r="BB49">
        <v>-1</v>
      </c>
      <c r="BC49">
        <v>1</v>
      </c>
      <c r="BD49">
        <v>1</v>
      </c>
      <c r="BE49">
        <v>0</v>
      </c>
      <c r="BF49">
        <v>0</v>
      </c>
    </row>
    <row r="50" spans="1:58">
      <c r="A50" s="3" t="str">
        <f t="shared" si="10"/>
        <v>#</v>
      </c>
      <c r="B50" s="7" t="str">
        <f>"刀刹-"&amp;C50</f>
        <v>刀刹-无相·花颂刀（永久）</v>
      </c>
      <c r="C50" s="7" t="str">
        <f>配置总览!$E$102&amp;"刀（永久）"</f>
        <v>无相·花颂刀（永久）</v>
      </c>
      <c r="D50">
        <v>8</v>
      </c>
      <c r="E50" s="3" t="str">
        <f t="shared" si="12"/>
        <v>PWicon_WaiGuan/icon_weapon_wuxianghuasong_dao</v>
      </c>
      <c r="F50" t="s">
        <v>506</v>
      </c>
      <c r="G50">
        <v>7</v>
      </c>
      <c r="H50">
        <v>1</v>
      </c>
      <c r="I50">
        <v>1</v>
      </c>
      <c r="J50">
        <v>1</v>
      </c>
      <c r="K50" s="3">
        <f t="shared" si="13"/>
        <v>5</v>
      </c>
      <c r="L50">
        <v>1</v>
      </c>
      <c r="M50">
        <v>999</v>
      </c>
      <c r="N50">
        <v>1</v>
      </c>
      <c r="O50">
        <v>1</v>
      </c>
      <c r="P50">
        <v>1</v>
      </c>
      <c r="Q50">
        <v>1</v>
      </c>
      <c r="R50">
        <v>0</v>
      </c>
      <c r="S50">
        <v>1</v>
      </c>
      <c r="T50">
        <v>-1</v>
      </c>
      <c r="U50">
        <v>-1</v>
      </c>
      <c r="V50">
        <v>0</v>
      </c>
      <c r="W50">
        <v>19546</v>
      </c>
      <c r="X50">
        <v>1</v>
      </c>
      <c r="Y50">
        <v>1</v>
      </c>
      <c r="Z50">
        <v>3</v>
      </c>
      <c r="AA50">
        <v>1</v>
      </c>
      <c r="AB50">
        <v>-1</v>
      </c>
      <c r="AC50">
        <v>57</v>
      </c>
      <c r="AD50">
        <v>0.005</v>
      </c>
      <c r="AE50">
        <v>3647</v>
      </c>
      <c r="AF50">
        <v>1761</v>
      </c>
      <c r="AG50">
        <v>0</v>
      </c>
      <c r="AH50">
        <v>1</v>
      </c>
      <c r="AI50">
        <v>0</v>
      </c>
      <c r="AJ50">
        <v>-1</v>
      </c>
      <c r="AK50">
        <v>-1</v>
      </c>
      <c r="AL50">
        <v>0</v>
      </c>
      <c r="AM50">
        <v>1</v>
      </c>
      <c r="AN50">
        <v>1</v>
      </c>
      <c r="AO50" s="8">
        <v>0</v>
      </c>
      <c r="AP50">
        <v>-1</v>
      </c>
      <c r="AQ50">
        <v>0</v>
      </c>
      <c r="AR50">
        <v>-1</v>
      </c>
      <c r="AS50">
        <v>1</v>
      </c>
      <c r="AT50">
        <v>-1</v>
      </c>
      <c r="AU50">
        <v>1</v>
      </c>
      <c r="AV50">
        <v>0</v>
      </c>
      <c r="AW50">
        <v>-1</v>
      </c>
      <c r="AX50">
        <v>-1</v>
      </c>
      <c r="AY50">
        <v>2</v>
      </c>
      <c r="AZ50">
        <v>-1</v>
      </c>
      <c r="BA50">
        <v>0</v>
      </c>
      <c r="BB50">
        <v>-1</v>
      </c>
      <c r="BC50">
        <v>1</v>
      </c>
      <c r="BD50">
        <v>1</v>
      </c>
      <c r="BE50">
        <v>0</v>
      </c>
      <c r="BF50">
        <v>0</v>
      </c>
    </row>
    <row r="51" spans="1:58">
      <c r="A51" s="3" t="str">
        <f t="shared" si="10"/>
        <v>#</v>
      </c>
      <c r="B51" s="7" t="str">
        <f>"月仙-"&amp;C51</f>
        <v>月仙-无相·花颂镰（7天）</v>
      </c>
      <c r="C51" s="7" t="str">
        <f>配置总览!$E$102&amp;"镰（7天）"</f>
        <v>无相·花颂镰（7天）</v>
      </c>
      <c r="D51">
        <v>8</v>
      </c>
      <c r="E51" s="7" t="str">
        <f>"PWicon_WaiGuan/"&amp;配置总览!N111</f>
        <v>PWicon_WaiGuan/icon_weapon_wuxianghuasong_lian</v>
      </c>
      <c r="F51" t="s">
        <v>506</v>
      </c>
      <c r="G51">
        <v>7</v>
      </c>
      <c r="H51">
        <v>1</v>
      </c>
      <c r="I51">
        <v>1</v>
      </c>
      <c r="J51">
        <v>1</v>
      </c>
      <c r="K51" s="3">
        <f t="shared" si="13"/>
        <v>5</v>
      </c>
      <c r="L51">
        <v>1</v>
      </c>
      <c r="M51">
        <v>999</v>
      </c>
      <c r="N51">
        <v>1</v>
      </c>
      <c r="O51">
        <v>1</v>
      </c>
      <c r="P51">
        <v>1</v>
      </c>
      <c r="Q51">
        <v>1</v>
      </c>
      <c r="R51">
        <v>0</v>
      </c>
      <c r="S51">
        <v>1</v>
      </c>
      <c r="T51">
        <v>-1</v>
      </c>
      <c r="U51">
        <v>-1</v>
      </c>
      <c r="V51">
        <v>0</v>
      </c>
      <c r="W51">
        <v>19545</v>
      </c>
      <c r="X51">
        <v>1</v>
      </c>
      <c r="Y51">
        <v>1</v>
      </c>
      <c r="Z51">
        <v>3</v>
      </c>
      <c r="AA51">
        <v>1</v>
      </c>
      <c r="AB51">
        <v>-1</v>
      </c>
      <c r="AC51">
        <v>57</v>
      </c>
      <c r="AD51">
        <v>0.005</v>
      </c>
      <c r="AE51">
        <v>3647</v>
      </c>
      <c r="AF51">
        <v>1761</v>
      </c>
      <c r="AG51">
        <v>0</v>
      </c>
      <c r="AH51">
        <v>1</v>
      </c>
      <c r="AI51">
        <v>0</v>
      </c>
      <c r="AJ51">
        <v>-1</v>
      </c>
      <c r="AK51">
        <v>-1</v>
      </c>
      <c r="AL51">
        <v>0</v>
      </c>
      <c r="AM51">
        <v>1</v>
      </c>
      <c r="AN51">
        <v>1</v>
      </c>
      <c r="AO51" s="8">
        <v>0</v>
      </c>
      <c r="AP51">
        <v>-1</v>
      </c>
      <c r="AQ51">
        <v>0</v>
      </c>
      <c r="AR51">
        <v>-1</v>
      </c>
      <c r="AS51">
        <v>1</v>
      </c>
      <c r="AT51">
        <v>-1</v>
      </c>
      <c r="AU51">
        <v>1</v>
      </c>
      <c r="AV51">
        <v>0</v>
      </c>
      <c r="AW51">
        <v>-1</v>
      </c>
      <c r="AX51">
        <v>-1</v>
      </c>
      <c r="AY51">
        <v>2</v>
      </c>
      <c r="AZ51">
        <v>-1</v>
      </c>
      <c r="BA51">
        <v>0</v>
      </c>
      <c r="BB51">
        <v>-1</v>
      </c>
      <c r="BC51">
        <v>1</v>
      </c>
      <c r="BD51">
        <v>1</v>
      </c>
      <c r="BE51">
        <v>0</v>
      </c>
      <c r="BF51">
        <v>0</v>
      </c>
    </row>
    <row r="52" spans="1:58">
      <c r="A52" s="3" t="str">
        <f t="shared" si="10"/>
        <v>#</v>
      </c>
      <c r="B52" s="7" t="str">
        <f>"月仙-"&amp;C52</f>
        <v>月仙-无相·花颂镰（永久）</v>
      </c>
      <c r="C52" s="7" t="str">
        <f>配置总览!$E$102&amp;"镰（永久）"</f>
        <v>无相·花颂镰（永久）</v>
      </c>
      <c r="D52">
        <v>8</v>
      </c>
      <c r="E52" s="3" t="str">
        <f>E51</f>
        <v>PWicon_WaiGuan/icon_weapon_wuxianghuasong_lian</v>
      </c>
      <c r="F52" t="s">
        <v>506</v>
      </c>
      <c r="G52">
        <v>7</v>
      </c>
      <c r="H52">
        <v>1</v>
      </c>
      <c r="I52">
        <v>1</v>
      </c>
      <c r="J52">
        <v>1</v>
      </c>
      <c r="K52" s="3">
        <f t="shared" si="13"/>
        <v>5</v>
      </c>
      <c r="L52">
        <v>1</v>
      </c>
      <c r="M52">
        <v>999</v>
      </c>
      <c r="N52">
        <v>1</v>
      </c>
      <c r="O52">
        <v>1</v>
      </c>
      <c r="P52">
        <v>1</v>
      </c>
      <c r="Q52">
        <v>1</v>
      </c>
      <c r="R52">
        <v>0</v>
      </c>
      <c r="S52">
        <v>1</v>
      </c>
      <c r="T52">
        <v>-1</v>
      </c>
      <c r="U52">
        <v>-1</v>
      </c>
      <c r="V52">
        <v>0</v>
      </c>
      <c r="W52">
        <v>19546</v>
      </c>
      <c r="X52">
        <v>1</v>
      </c>
      <c r="Y52">
        <v>1</v>
      </c>
      <c r="Z52">
        <v>3</v>
      </c>
      <c r="AA52">
        <v>1</v>
      </c>
      <c r="AB52">
        <v>-1</v>
      </c>
      <c r="AC52">
        <v>57</v>
      </c>
      <c r="AD52">
        <v>0.005</v>
      </c>
      <c r="AE52">
        <v>3647</v>
      </c>
      <c r="AF52">
        <v>1761</v>
      </c>
      <c r="AG52">
        <v>0</v>
      </c>
      <c r="AH52">
        <v>1</v>
      </c>
      <c r="AI52">
        <v>0</v>
      </c>
      <c r="AJ52">
        <v>-1</v>
      </c>
      <c r="AK52">
        <v>-1</v>
      </c>
      <c r="AL52">
        <v>0</v>
      </c>
      <c r="AM52">
        <v>1</v>
      </c>
      <c r="AN52">
        <v>1</v>
      </c>
      <c r="AO52" s="8">
        <v>0</v>
      </c>
      <c r="AP52">
        <v>-1</v>
      </c>
      <c r="AQ52">
        <v>0</v>
      </c>
      <c r="AR52">
        <v>-1</v>
      </c>
      <c r="AS52">
        <v>1</v>
      </c>
      <c r="AT52">
        <v>-1</v>
      </c>
      <c r="AU52">
        <v>1</v>
      </c>
      <c r="AV52">
        <v>0</v>
      </c>
      <c r="AW52">
        <v>-1</v>
      </c>
      <c r="AX52">
        <v>-1</v>
      </c>
      <c r="AY52">
        <v>2</v>
      </c>
      <c r="AZ52">
        <v>-1</v>
      </c>
      <c r="BA52">
        <v>0</v>
      </c>
      <c r="BB52">
        <v>-1</v>
      </c>
      <c r="BC52">
        <v>1</v>
      </c>
      <c r="BD52">
        <v>1</v>
      </c>
      <c r="BE52">
        <v>0</v>
      </c>
      <c r="BF52">
        <v>0</v>
      </c>
    </row>
    <row r="53" spans="1:58">
      <c r="A53" s="7">
        <f>IF(配置总览!$B$116="导出",35020+配置总览!H118,"#")</f>
        <v>35098</v>
      </c>
      <c r="B53" s="7" t="str">
        <f>配置总览!$H$116&amp;"动作-"&amp;配置总览!E116&amp;IF(配置总览!E119&gt;0,"（"&amp;配置总览!E119&amp;"）","")</f>
        <v>双人动作-经典制皂</v>
      </c>
      <c r="C53" s="7" t="str">
        <f>IF(配置总览!$H$116="双人","双人","表情")&amp;"动作："&amp;配置总览!E116</f>
        <v>双人动作：经典制皂</v>
      </c>
      <c r="D53">
        <v>11</v>
      </c>
      <c r="E53" s="7" t="str">
        <f>IF(配置总览!H116="单人","PWicon/Jiesuo_x_icon_action_single","PWicon/Jiesuo_x_icon_action_couple")</f>
        <v>PWicon/Jiesuo_x_icon_action_couple</v>
      </c>
      <c r="F53" t="s">
        <v>507</v>
      </c>
      <c r="G53">
        <v>9</v>
      </c>
      <c r="H53">
        <v>3</v>
      </c>
      <c r="I53">
        <v>1</v>
      </c>
      <c r="J53">
        <v>1</v>
      </c>
      <c r="K53">
        <v>5</v>
      </c>
      <c r="L53">
        <v>1</v>
      </c>
      <c r="M53">
        <v>999</v>
      </c>
      <c r="N53">
        <v>1</v>
      </c>
      <c r="O53">
        <v>1</v>
      </c>
      <c r="P53">
        <v>1</v>
      </c>
      <c r="Q53">
        <v>1</v>
      </c>
      <c r="R53">
        <v>0</v>
      </c>
      <c r="S53">
        <v>1</v>
      </c>
      <c r="T53">
        <v>-1</v>
      </c>
      <c r="U53">
        <v>-1</v>
      </c>
      <c r="V53">
        <v>0</v>
      </c>
      <c r="W53">
        <v>3161</v>
      </c>
      <c r="X53">
        <v>1</v>
      </c>
      <c r="Y53">
        <v>1</v>
      </c>
      <c r="Z53">
        <v>5</v>
      </c>
      <c r="AA53">
        <v>1</v>
      </c>
      <c r="AB53">
        <v>-1</v>
      </c>
      <c r="AC53">
        <v>1</v>
      </c>
      <c r="AD53">
        <v>0.005</v>
      </c>
      <c r="AE53">
        <v>2279</v>
      </c>
      <c r="AF53">
        <v>1761</v>
      </c>
      <c r="AG53">
        <v>0</v>
      </c>
      <c r="AH53">
        <v>1</v>
      </c>
      <c r="AI53">
        <v>0</v>
      </c>
      <c r="AJ53">
        <v>-1</v>
      </c>
      <c r="AK53">
        <v>-1</v>
      </c>
      <c r="AL53">
        <v>0</v>
      </c>
      <c r="AM53">
        <v>1</v>
      </c>
      <c r="AN53">
        <v>1</v>
      </c>
      <c r="AO53" s="8">
        <v>0</v>
      </c>
      <c r="AP53">
        <v>-1</v>
      </c>
      <c r="AQ53">
        <v>0</v>
      </c>
      <c r="AR53">
        <v>-1</v>
      </c>
      <c r="AS53">
        <v>1</v>
      </c>
      <c r="AT53">
        <v>-1</v>
      </c>
      <c r="AU53">
        <v>1</v>
      </c>
      <c r="AV53">
        <v>0</v>
      </c>
      <c r="AW53">
        <v>-1</v>
      </c>
      <c r="AX53">
        <v>-1</v>
      </c>
      <c r="AY53">
        <v>-1</v>
      </c>
      <c r="AZ53">
        <v>-1</v>
      </c>
      <c r="BA53">
        <v>0</v>
      </c>
      <c r="BB53">
        <v>-1</v>
      </c>
      <c r="BC53">
        <v>1</v>
      </c>
      <c r="BD53">
        <v>1</v>
      </c>
      <c r="BE53">
        <v>0</v>
      </c>
      <c r="BF53">
        <v>0</v>
      </c>
    </row>
  </sheetData>
  <pageMargins left="0.7" right="0.7" top="0.75" bottom="0.75" header="0.3" footer="0.3"/>
  <pageSetup paperSize="9" orientation="portrait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topLeftCell="A19" workbookViewId="0">
      <selection activeCell="A51" sqref="$A51:$XFD52"/>
    </sheetView>
  </sheetViews>
  <sheetFormatPr defaultColWidth="9" defaultRowHeight="14.25" outlineLevelCol="2"/>
  <cols>
    <col min="2" max="2" width="30.125" customWidth="1"/>
    <col min="3" max="3" width="98.25" customWidth="1"/>
  </cols>
  <sheetData>
    <row r="1" spans="1:3">
      <c r="A1" s="1" t="s">
        <v>312</v>
      </c>
      <c r="B1" s="1" t="s">
        <v>313</v>
      </c>
      <c r="C1" s="1" t="s">
        <v>508</v>
      </c>
    </row>
    <row r="2" spans="1:3">
      <c r="A2" s="1" t="s">
        <v>315</v>
      </c>
      <c r="B2" s="1" t="s">
        <v>316</v>
      </c>
      <c r="C2" s="1" t="s">
        <v>316</v>
      </c>
    </row>
    <row r="3" spans="1:3">
      <c r="A3" s="1" t="s">
        <v>317</v>
      </c>
      <c r="B3" s="1"/>
      <c r="C3" s="1"/>
    </row>
    <row r="4" spans="1:3">
      <c r="A4" s="1" t="s">
        <v>509</v>
      </c>
      <c r="B4" s="1" t="s">
        <v>509</v>
      </c>
      <c r="C4" s="1" t="s">
        <v>16</v>
      </c>
    </row>
    <row r="5" spans="1:3">
      <c r="A5" s="3" t="str">
        <f>CommonItem!A5</f>
        <v>#</v>
      </c>
      <c r="B5" s="3" t="str">
        <f>CommonItem!B5</f>
        <v>蜜语轻舞·头（7天）（男）</v>
      </c>
      <c r="C5" s="3" t="str">
        <f>"开启可获得头饰：[0B71B7]"&amp;CommonItem!C5&amp;"[-]#r#r提示：获得后可在[5aef8e]外观-头饰[-]界面穿戴该头饰"</f>
        <v>开启可获得头饰：[0B71B7]蜜语轻舞·头（7天）[-]#r#r提示：获得后可在[5aef8e]外观-头饰[-]界面穿戴该头饰</v>
      </c>
    </row>
    <row r="6" spans="1:3">
      <c r="A6" s="3" t="str">
        <f>CommonItem!A6</f>
        <v>#</v>
      </c>
      <c r="B6" s="3" t="str">
        <f>CommonItem!B6</f>
        <v>蜜语轻舞·头（永久）（男）</v>
      </c>
      <c r="C6" s="3" t="str">
        <f>"开启可获得头饰：[0B71B7]"&amp;CommonItem!C6&amp;"[-]#r#r提示：获得后可在[5aef8e]外观-头饰[-]界面穿戴该头饰"</f>
        <v>开启可获得头饰：[0B71B7]蜜语轻舞·头（永久）[-]#r#r提示：获得后可在[5aef8e]外观-头饰[-]界面穿戴该头饰</v>
      </c>
    </row>
    <row r="7" spans="1:3">
      <c r="A7" s="3" t="str">
        <f>CommonItem!A7</f>
        <v>#</v>
      </c>
      <c r="B7" s="3" t="str">
        <f>CommonItem!B7</f>
        <v>蜜语轻舞·头（7天）（女）</v>
      </c>
      <c r="C7" s="3" t="str">
        <f>"开启可获得头饰：[0B71B7]"&amp;CommonItem!C7&amp;"[-]#r#r提示：获得后可在[5aef8e]外观-头饰[-]界面穿戴该头饰"</f>
        <v>开启可获得头饰：[0B71B7]蜜语轻舞·头（7天）[-]#r#r提示：获得后可在[5aef8e]外观-头饰[-]界面穿戴该头饰</v>
      </c>
    </row>
    <row r="8" spans="1:3">
      <c r="A8" s="3" t="str">
        <f>CommonItem!A8</f>
        <v>#</v>
      </c>
      <c r="B8" s="3" t="str">
        <f>CommonItem!B8</f>
        <v>蜜语轻舞·头（永久）（女）</v>
      </c>
      <c r="C8" s="3" t="str">
        <f>"开启可获得头饰：[0B71B7]"&amp;CommonItem!C8&amp;"[-]#r#r提示：获得后可在[5aef8e]外观-头饰[-]界面穿戴该头饰"</f>
        <v>开启可获得头饰：[0B71B7]蜜语轻舞·头（永久）[-]#r#r提示：获得后可在[5aef8e]外观-头饰[-]界面穿戴该头饰</v>
      </c>
    </row>
    <row r="9" spans="1:3">
      <c r="A9" s="3" t="str">
        <f>CommonItem!A9</f>
        <v>#</v>
      </c>
      <c r="B9" s="3" t="str">
        <f>CommonItem!B9</f>
        <v>蜜语轻舞（7天）（男）</v>
      </c>
      <c r="C9" s="3" t="str">
        <f>"开启可获得时装：[0B71B7]"&amp;CommonItem!C9&amp;"[-]#r#r提示：获得后可在[5aef8e]外观-时装[-]界面穿戴该时装"</f>
        <v>开启可获得时装：[0B71B7]蜜语轻舞（7天）[-]#r#r提示：获得后可在[5aef8e]外观-时装[-]界面穿戴该时装</v>
      </c>
    </row>
    <row r="10" spans="1:3">
      <c r="A10" s="3" t="str">
        <f>CommonItem!A10</f>
        <v>#</v>
      </c>
      <c r="B10" s="3" t="str">
        <f>CommonItem!B10</f>
        <v>蜜语轻舞（永久）（男）</v>
      </c>
      <c r="C10" s="3" t="str">
        <f>"开启可获得时装：[0B71B7]"&amp;CommonItem!C10&amp;"[-]#r#r提示：获得后可在[5aef8e]外观-时装[-]界面穿戴该时装"</f>
        <v>开启可获得时装：[0B71B7]蜜语轻舞（永久）[-]#r#r提示：获得后可在[5aef8e]外观-时装[-]界面穿戴该时装</v>
      </c>
    </row>
    <row r="11" spans="1:3">
      <c r="A11" s="3" t="str">
        <f>CommonItem!A11</f>
        <v>#</v>
      </c>
      <c r="B11" s="3" t="str">
        <f>CommonItem!B11</f>
        <v>蜜语轻舞（7天）（女）</v>
      </c>
      <c r="C11" s="3" t="str">
        <f>"开启可获得时装：[0B71B7]"&amp;CommonItem!C11&amp;"[-]#r#r提示：获得后可在[5aef8e]外观-时装[-]界面穿戴该时装"</f>
        <v>开启可获得时装：[0B71B7]蜜语轻舞（7天）[-]#r#r提示：获得后可在[5aef8e]外观-时装[-]界面穿戴该时装</v>
      </c>
    </row>
    <row r="12" spans="1:3">
      <c r="A12" s="3" t="str">
        <f>CommonItem!A12</f>
        <v>#</v>
      </c>
      <c r="B12" s="3" t="str">
        <f>CommonItem!B12</f>
        <v>蜜语轻舞（永久）（女）</v>
      </c>
      <c r="C12" s="3" t="str">
        <f>"开启可获得时装：[0B71B7]"&amp;CommonItem!C12&amp;"[-]#r#r提示：获得后可在[5aef8e]外观-时装[-]界面穿戴该时装"</f>
        <v>开启可获得时装：[0B71B7]蜜语轻舞（永久）[-]#r#r提示：获得后可在[5aef8e]外观-时装[-]界面穿戴该时装</v>
      </c>
    </row>
    <row r="13" spans="1:3">
      <c r="A13" s="3" t="str">
        <f>CommonItem!A13</f>
        <v>#</v>
      </c>
      <c r="B13" s="3" t="str">
        <f>CommonItem!B13</f>
        <v>小狗蛇-吉祥如亿（7天）</v>
      </c>
      <c r="C13" s="3" t="str">
        <f>"使用后获得坐骑：[0B71B7]"&amp;CommonItem!C13&amp;"[-]#r#r提示：获得后可在[5aef8e]外观-坐骑[-]界面装备该坐骑"</f>
        <v>使用后获得坐骑：[0B71B7]小狗蛇-吉祥如亿（7天）[-]#r#r提示：获得后可在[5aef8e]外观-坐骑[-]界面装备该坐骑</v>
      </c>
    </row>
    <row r="14" spans="1:3">
      <c r="A14" s="3" t="str">
        <f>CommonItem!A14</f>
        <v>#</v>
      </c>
      <c r="B14" s="3" t="str">
        <f>CommonItem!B14</f>
        <v>小狗蛇-吉祥如亿（永久）</v>
      </c>
      <c r="C14" s="3" t="str">
        <f>"使用后获得坐骑：[0B71B7]"&amp;CommonItem!C14&amp;"[-]#r#r提示：获得后可在[5aef8e]外观-坐骑[-]界面装备该坐骑"</f>
        <v>使用后获得坐骑：[0B71B7]小狗蛇-吉祥如亿（永久）[-]#r#r提示：获得后可在[5aef8e]外观-坐骑[-]界面装备该坐骑</v>
      </c>
    </row>
    <row r="15" spans="1:3">
      <c r="A15" s="3" t="str">
        <f>CommonItem!A15</f>
        <v>#</v>
      </c>
      <c r="B15" s="3" t="str">
        <f>CommonItem!B15</f>
        <v>小飞猪（7天）</v>
      </c>
      <c r="C15" s="3" t="str">
        <f>"使用后获得飞行器：[0B71B7]"&amp;CommonItem!C15&amp;"[-]#r#r提示：获得后可在[5aef8e]外观-飞行器[-]界面装备该飞行器"</f>
        <v>使用后获得飞行器：[0B71B7]小飞猪（7天）[-]#r#r提示：获得后可在[5aef8e]外观-飞行器[-]界面装备该飞行器</v>
      </c>
    </row>
    <row r="16" spans="1:3">
      <c r="A16" s="3" t="str">
        <f>CommonItem!A16</f>
        <v>#</v>
      </c>
      <c r="B16" s="3" t="str">
        <f>CommonItem!B16</f>
        <v>小飞猪（永久）</v>
      </c>
      <c r="C16" s="3" t="str">
        <f>"使用后获得飞行器：[0B71B7]"&amp;CommonItem!C16&amp;"[-]#r#r提示：获得后可在[5aef8e]外观-飞行器[-]界面装备该飞行器"</f>
        <v>使用后获得飞行器：[0B71B7]小飞猪（永久）[-]#r#r提示：获得后可在[5aef8e]外观-飞行器[-]界面装备该飞行器</v>
      </c>
    </row>
    <row r="17" spans="1:3">
      <c r="A17" s="3" t="str">
        <f>CommonItem!A17</f>
        <v>#</v>
      </c>
      <c r="B17" s="3" t="str">
        <f>CommonItem!B17</f>
        <v>仙玉台（7天）</v>
      </c>
      <c r="C17" s="3" t="str">
        <f>"使用后获得飞行器：[0B71B7]"&amp;CommonItem!C17&amp;"[-]#r#r提示：获得后可在[5aef8e]外观-飞行器[-]界面装备该飞行器"</f>
        <v>使用后获得飞行器：[0B71B7]仙玉台（7天）[-]#r#r提示：获得后可在[5aef8e]外观-飞行器[-]界面装备该飞行器</v>
      </c>
    </row>
    <row r="18" spans="1:3">
      <c r="A18" s="3" t="str">
        <f>CommonItem!A18</f>
        <v>#</v>
      </c>
      <c r="B18" s="3" t="str">
        <f>CommonItem!B18</f>
        <v>仙玉台（永久）</v>
      </c>
      <c r="C18" s="3" t="str">
        <f>"使用后获得飞行器：[0B71B7]"&amp;CommonItem!C18&amp;"[-]#r#r提示：获得后可在[5aef8e]外观-飞行器[-]界面装备该飞行器"</f>
        <v>使用后获得飞行器：[0B71B7]仙玉台（永久）[-]#r#r提示：获得后可在[5aef8e]外观-飞行器[-]界面装备该飞行器</v>
      </c>
    </row>
    <row r="19" spans="1:3">
      <c r="A19" s="3" t="str">
        <f>CommonItem!A19</f>
        <v>#</v>
      </c>
      <c r="B19" s="3" t="str">
        <f>CommonItem!B19</f>
        <v>仙合翼（7天）</v>
      </c>
      <c r="C19" s="3" t="str">
        <f>"使用后获得飞行器：[0B71B7]"&amp;CommonItem!C19&amp;"[-]#r#r提示：获得后可在[5aef8e]外观-飞行器[-]界面装备该飞行器"</f>
        <v>使用后获得飞行器：[0B71B7]仙合翼（7天）[-]#r#r提示：获得后可在[5aef8e]外观-飞行器[-]界面装备该飞行器</v>
      </c>
    </row>
    <row r="20" spans="1:3">
      <c r="A20" s="3" t="str">
        <f>CommonItem!A20</f>
        <v>#</v>
      </c>
      <c r="B20" s="3" t="str">
        <f>CommonItem!B20</f>
        <v>仙合翼（永久）</v>
      </c>
      <c r="C20" s="3" t="str">
        <f>"使用后获得飞行器：[0B71B7]"&amp;CommonItem!C20&amp;"[-]#r#r提示：获得后可在[5aef8e]外观-飞行器[-]界面装备该飞行器"</f>
        <v>使用后获得飞行器：[0B71B7]仙合翼（永久）[-]#r#r提示：获得后可在[5aef8e]外观-飞行器[-]界面装备该飞行器</v>
      </c>
    </row>
    <row r="21" spans="1:3">
      <c r="A21" s="3" t="str">
        <f>CommonItem!A21</f>
        <v>#</v>
      </c>
      <c r="B21" s="3" t="str">
        <f>CommonItem!B21</f>
        <v>白玉仙（7天）</v>
      </c>
      <c r="C21" s="3" t="str">
        <f>"使用后获得飞行器：[0B71B7]"&amp;CommonItem!C21&amp;"[-]#r#r提示：获得后可在[5aef8e]外观-飞行器[-]界面装备该飞行器"</f>
        <v>使用后获得飞行器：[0B71B7]白玉仙（7天）[-]#r#r提示：获得后可在[5aef8e]外观-飞行器[-]界面装备该飞行器</v>
      </c>
    </row>
    <row r="22" spans="1:3">
      <c r="A22" s="3" t="str">
        <f>CommonItem!A22</f>
        <v>#</v>
      </c>
      <c r="B22" s="3" t="str">
        <f>CommonItem!B22</f>
        <v>白玉仙（永久）</v>
      </c>
      <c r="C22" s="3" t="str">
        <f>"使用后获得飞行器：[0B71B7]"&amp;CommonItem!C22&amp;"[-]#r#r提示：获得后可在[5aef8e]外观-飞行器[-]界面装备该飞行器"</f>
        <v>使用后获得飞行器：[0B71B7]白玉仙（永久）[-]#r#r提示：获得后可在[5aef8e]外观-飞行器[-]界面装备该飞行器</v>
      </c>
    </row>
    <row r="23" spans="1:3">
      <c r="A23" s="3" t="str">
        <f>CommonItem!A23</f>
        <v>#</v>
      </c>
      <c r="B23" s="3" t="str">
        <f>CommonItem!B23</f>
        <v>野趣风尚（7天）</v>
      </c>
      <c r="C23" s="3" t="str">
        <f>"使用后获得背饰：[0B71B7]"&amp;CommonItem!C23&amp;"[-]#r#r提示：获得后可在[5aef8e]外观-配饰-背饰[-]界面穿戴该背饰"</f>
        <v>使用后获得背饰：[0B71B7]野趣风尚（7天）[-]#r#r提示：获得后可在[5aef8e]外观-配饰-背饰[-]界面穿戴该背饰</v>
      </c>
    </row>
    <row r="24" spans="1:3">
      <c r="A24" s="3" t="str">
        <f>CommonItem!A24</f>
        <v>#</v>
      </c>
      <c r="B24" s="3" t="str">
        <f>CommonItem!B24</f>
        <v>野趣风尚（永久）</v>
      </c>
      <c r="C24" s="3" t="str">
        <f>"使用后获得背饰：[0B71B7]"&amp;CommonItem!C24&amp;"[-]#r#r提示：获得后可在[5aef8e]外观-配饰-背饰[-]界面穿戴该背饰"</f>
        <v>使用后获得背饰：[0B71B7]野趣风尚（永久）[-]#r#r提示：获得后可在[5aef8e]外观-配饰-背饰[-]界面穿戴该背饰</v>
      </c>
    </row>
    <row r="25" s="2" customFormat="1" spans="1:3">
      <c r="A25" s="3" t="str">
        <f>CommonItem!A25</f>
        <v>#</v>
      </c>
      <c r="B25" s="3" t="str">
        <f>CommonItem!B25</f>
        <v>星扇·宿（7天）</v>
      </c>
      <c r="C25" s="3" t="str">
        <f>"使用后获得背饰：[0B71B7]"&amp;CommonItem!C25&amp;"[-]#r#r提示：获得后可在[5aef8e]外观-配饰-背饰[-]界面穿戴该背饰"</f>
        <v>使用后获得背饰：[0B71B7]星扇·宿（7天）[-]#r#r提示：获得后可在[5aef8e]外观-配饰-背饰[-]界面穿戴该背饰</v>
      </c>
    </row>
    <row r="26" s="2" customFormat="1" spans="1:3">
      <c r="A26" s="3" t="str">
        <f>CommonItem!A26</f>
        <v>#</v>
      </c>
      <c r="B26" s="3" t="str">
        <f>CommonItem!B26</f>
        <v>星扇·宿（永久）</v>
      </c>
      <c r="C26" s="3" t="str">
        <f>"使用后获得背饰：[0B71B7]"&amp;CommonItem!C26&amp;"[-]#r#r提示：获得后可在[5aef8e]外观-配饰-背饰[-]界面穿戴该背饰"</f>
        <v>使用后获得背饰：[0B71B7]星扇·宿（永久）[-]#r#r提示：获得后可在[5aef8e]外观-配饰-背饰[-]界面穿戴该背饰</v>
      </c>
    </row>
    <row r="27" s="2" customFormat="1" spans="1:3">
      <c r="A27" s="3" t="str">
        <f>CommonItem!A27</f>
        <v>#</v>
      </c>
      <c r="B27" s="3" t="str">
        <f>CommonItem!B27</f>
        <v>星扇·星象（7天）</v>
      </c>
      <c r="C27" s="3" t="str">
        <f>"使用后获得背饰：[0B71B7]"&amp;CommonItem!C27&amp;"[-]#r#r提示：获得后可在[5aef8e]外观-配饰-背饰[-]界面穿戴该背饰"</f>
        <v>使用后获得背饰：[0B71B7]星扇·星象（7天）[-]#r#r提示：获得后可在[5aef8e]外观-配饰-背饰[-]界面穿戴该背饰</v>
      </c>
    </row>
    <row r="28" s="2" customFormat="1" spans="1:3">
      <c r="A28" s="3" t="str">
        <f>CommonItem!A28</f>
        <v>#</v>
      </c>
      <c r="B28" s="3" t="str">
        <f>CommonItem!B28</f>
        <v>星扇·星象（永久）</v>
      </c>
      <c r="C28" s="3" t="str">
        <f>"使用后获得背饰：[0B71B7]"&amp;CommonItem!C28&amp;"[-]#r#r提示：获得后可在[5aef8e]外观-配饰-背饰[-]界面穿戴该背饰"</f>
        <v>使用后获得背饰：[0B71B7]星扇·星象（永久）[-]#r#r提示：获得后可在[5aef8e]外观-配饰-背饰[-]界面穿戴该背饰</v>
      </c>
    </row>
    <row r="29" s="2" customFormat="1" spans="1:3">
      <c r="A29" s="3" t="str">
        <f>CommonItem!A29</f>
        <v>#</v>
      </c>
      <c r="B29" s="3" t="str">
        <f>CommonItem!B29</f>
        <v>星扇·天垣（7天）</v>
      </c>
      <c r="C29" s="3" t="str">
        <f>"使用后获得背饰：[0B71B7]"&amp;CommonItem!C29&amp;"[-]#r#r提示：获得后可在[5aef8e]外观-配饰-背饰[-]界面穿戴该背饰"</f>
        <v>使用后获得背饰：[0B71B7]星扇·天垣（7天）[-]#r#r提示：获得后可在[5aef8e]外观-配饰-背饰[-]界面穿戴该背饰</v>
      </c>
    </row>
    <row r="30" s="2" customFormat="1" spans="1:3">
      <c r="A30" s="3" t="str">
        <f>CommonItem!A30</f>
        <v>#</v>
      </c>
      <c r="B30" s="3" t="str">
        <f>CommonItem!B30</f>
        <v>星扇·天垣（永久）</v>
      </c>
      <c r="C30" s="3" t="str">
        <f>"使用后获得背饰：[0B71B7]"&amp;CommonItem!C30&amp;"[-]#r#r提示：获得后可在[5aef8e]外观-配饰-背饰[-]界面穿戴该背饰"</f>
        <v>使用后获得背饰：[0B71B7]星扇·天垣（永久）[-]#r#r提示：获得后可在[5aef8e]外观-配饰-背饰[-]界面穿戴该背饰</v>
      </c>
    </row>
    <row r="31" s="2" customFormat="1" spans="1:3">
      <c r="A31" s="3" t="str">
        <f>CommonItem!A31</f>
        <v>#</v>
      </c>
      <c r="B31" s="3" t="str">
        <f>CommonItem!B31</f>
        <v>星扇·天星引（7天）</v>
      </c>
      <c r="C31" s="3" t="str">
        <f>"使用后获得背饰：[0B71B7]"&amp;CommonItem!C31&amp;"[-]#r#r提示：获得后可在[5aef8e]外观-配饰-背饰[-]界面穿戴该背饰"</f>
        <v>使用后获得背饰：[0B71B7]星扇·天星引（7天）[-]#r#r提示：获得后可在[5aef8e]外观-配饰-背饰[-]界面穿戴该背饰</v>
      </c>
    </row>
    <row r="32" s="2" customFormat="1" spans="1:3">
      <c r="A32" s="3" t="str">
        <f>CommonItem!A32</f>
        <v>#</v>
      </c>
      <c r="B32" s="3" t="str">
        <f>CommonItem!B32</f>
        <v>星扇·天星引（永久）</v>
      </c>
      <c r="C32" s="3" t="str">
        <f>"使用后获得背饰：[0B71B7]"&amp;CommonItem!C32&amp;"[-]#r#r提示：获得后可在[5aef8e]外观-配饰-背饰[-]界面穿戴该背饰"</f>
        <v>使用后获得背饰：[0B71B7]星扇·天星引（永久）[-]#r#r提示：获得后可在[5aef8e]外观-配饰-背饰[-]界面穿戴该背饰</v>
      </c>
    </row>
    <row r="33" spans="1:3">
      <c r="A33" s="3" t="str">
        <f>CommonItem!A33</f>
        <v>#</v>
      </c>
      <c r="B33" s="3" t="str">
        <f>CommonItem!B33</f>
        <v>妖兽-无相·花颂锤（7天）</v>
      </c>
      <c r="C33" s="3" t="str">
        <f>"使用后获得武器外观：[0B71B7]"&amp;CommonItem!C33&amp;"[-]#r#r提示：获得后可在[5aef8e]外观-武器[-]界面穿戴该武器外观"</f>
        <v>使用后获得武器外观：[0B71B7]无相·花颂锤（7天）[-]#r#r提示：获得后可在[5aef8e]外观-武器[-]界面穿戴该武器外观</v>
      </c>
    </row>
    <row r="34" spans="1:3">
      <c r="A34" s="3" t="str">
        <f>CommonItem!A34</f>
        <v>#</v>
      </c>
      <c r="B34" s="3" t="str">
        <f>CommonItem!B34</f>
        <v>妖兽-无相·花颂锤（永久）</v>
      </c>
      <c r="C34" s="3" t="str">
        <f>"使用后获得武器外观：[0B71B7]"&amp;CommonItem!C34&amp;"[-]#r#r提示：获得后可在[5aef8e]外观-武器[-]界面穿戴该武器外观"</f>
        <v>使用后获得武器外观：[0B71B7]无相·花颂锤（永久）[-]#r#r提示：获得后可在[5aef8e]外观-武器[-]界面穿戴该武器外观</v>
      </c>
    </row>
    <row r="35" spans="1:3">
      <c r="A35" s="3" t="str">
        <f>CommonItem!A35</f>
        <v>#</v>
      </c>
      <c r="B35" s="3" t="str">
        <f>CommonItem!B35</f>
        <v>羽芒-无相·花颂弓（7天）</v>
      </c>
      <c r="C35" s="3" t="str">
        <f>"使用后获得武器外观：[0B71B7]"&amp;CommonItem!C35&amp;"[-]#r#r提示：获得后可在[5aef8e]外观-武器[-]界面穿戴该武器外观"</f>
        <v>使用后获得武器外观：[0B71B7]无相·花颂弓（7天）[-]#r#r提示：获得后可在[5aef8e]外观-武器[-]界面穿戴该武器外观</v>
      </c>
    </row>
    <row r="36" spans="1:3">
      <c r="A36" s="3" t="str">
        <f>CommonItem!A36</f>
        <v>#</v>
      </c>
      <c r="B36" s="3" t="str">
        <f>CommonItem!B36</f>
        <v>羽芒-无相·花颂弓（永久）</v>
      </c>
      <c r="C36" s="3" t="str">
        <f>"使用后获得武器外观：[0B71B7]"&amp;CommonItem!C36&amp;"[-]#r#r提示：获得后可在[5aef8e]外观-武器[-]界面穿戴该武器外观"</f>
        <v>使用后获得武器外观：[0B71B7]无相·花颂弓（永久）[-]#r#r提示：获得后可在[5aef8e]外观-武器[-]界面穿戴该武器外观</v>
      </c>
    </row>
    <row r="37" spans="1:3">
      <c r="A37" s="3" t="str">
        <f>CommonItem!A37</f>
        <v>#</v>
      </c>
      <c r="B37" s="3" t="str">
        <f>CommonItem!B37</f>
        <v>法师-无相·花颂剑（7天）</v>
      </c>
      <c r="C37" s="3" t="str">
        <f>"使用后获得武器外观：[0B71B7]"&amp;CommonItem!C37&amp;"[-]#r#r提示：获得后可在[5aef8e]外观-武器[-]界面穿戴该武器外观"</f>
        <v>使用后获得武器外观：[0B71B7]无相·花颂剑（7天）[-]#r#r提示：获得后可在[5aef8e]外观-武器[-]界面穿戴该武器外观</v>
      </c>
    </row>
    <row r="38" spans="1:3">
      <c r="A38" s="3" t="str">
        <f>CommonItem!A38</f>
        <v>#</v>
      </c>
      <c r="B38" s="3" t="str">
        <f>CommonItem!B38</f>
        <v>法师-无相·花颂剑（永久）</v>
      </c>
      <c r="C38" s="3" t="str">
        <f>"使用后获得武器外观：[0B71B7]"&amp;CommonItem!C38&amp;"[-]#r#r提示：获得后可在[5aef8e]外观-武器[-]界面穿戴该武器外观"</f>
        <v>使用后获得武器外观：[0B71B7]无相·花颂剑（永久）[-]#r#r提示：获得后可在[5aef8e]外观-武器[-]界面穿戴该武器外观</v>
      </c>
    </row>
    <row r="39" spans="1:3">
      <c r="A39" s="3" t="str">
        <f>CommonItem!A39</f>
        <v>#</v>
      </c>
      <c r="B39" s="3" t="str">
        <f>CommonItem!B39</f>
        <v>羽灵-无相·花颂环（7天）</v>
      </c>
      <c r="C39" s="3" t="str">
        <f>"使用后获得武器外观：[0B71B7]"&amp;CommonItem!C39&amp;"[-]#r#r提示：获得后可在[5aef8e]外观-武器[-]界面穿戴该武器外观"</f>
        <v>使用后获得武器外观：[0B71B7]无相·花颂环（7天）[-]#r#r提示：获得后可在[5aef8e]外观-武器[-]界面穿戴该武器外观</v>
      </c>
    </row>
    <row r="40" spans="1:3">
      <c r="A40" s="3" t="str">
        <f>CommonItem!A40</f>
        <v>#</v>
      </c>
      <c r="B40" s="3" t="str">
        <f>CommonItem!B40</f>
        <v>羽灵-无相·花颂环（永久）</v>
      </c>
      <c r="C40" s="3" t="str">
        <f>"使用后获得武器外观：[0B71B7]"&amp;CommonItem!C40&amp;"[-]#r#r提示：获得后可在[5aef8e]外观-武器[-]界面穿戴该武器外观"</f>
        <v>使用后获得武器外观：[0B71B7]无相·花颂环（永久）[-]#r#r提示：获得后可在[5aef8e]外观-武器[-]界面穿戴该武器外观</v>
      </c>
    </row>
    <row r="41" spans="1:3">
      <c r="A41" s="3" t="str">
        <f>CommonItem!A41</f>
        <v>#</v>
      </c>
      <c r="B41" s="3" t="str">
        <f>CommonItem!B41</f>
        <v>妖精-无相·花颂杖（7天）</v>
      </c>
      <c r="C41" s="3" t="str">
        <f>"使用后获得武器外观：[0B71B7]"&amp;CommonItem!C41&amp;"[-]#r#r提示：获得后可在[5aef8e]外观-武器[-]界面穿戴该武器外观"</f>
        <v>使用后获得武器外观：[0B71B7]无相·花颂杖（7天）[-]#r#r提示：获得后可在[5aef8e]外观-武器[-]界面穿戴该武器外观</v>
      </c>
    </row>
    <row r="42" spans="1:3">
      <c r="A42" s="3" t="str">
        <f>CommonItem!A42</f>
        <v>#</v>
      </c>
      <c r="B42" s="3" t="str">
        <f>CommonItem!B42</f>
        <v>妖精-无相·花颂杖（永久）</v>
      </c>
      <c r="C42" s="3" t="str">
        <f>"使用后获得武器外观：[0B71B7]"&amp;CommonItem!C42&amp;"[-]#r#r提示：获得后可在[5aef8e]外观-武器[-]界面穿戴该武器外观"</f>
        <v>使用后获得武器外观：[0B71B7]无相·花颂杖（永久）[-]#r#r提示：获得后可在[5aef8e]外观-武器[-]界面穿戴该武器外观</v>
      </c>
    </row>
    <row r="43" spans="1:3">
      <c r="A43" s="3" t="str">
        <f>CommonItem!A43</f>
        <v>#</v>
      </c>
      <c r="B43" s="3" t="str">
        <f>CommonItem!B43</f>
        <v>武侠-无相·花颂兵（7天）</v>
      </c>
      <c r="C43" s="3" t="str">
        <f>"使用后获得武器外观：[0B71B7]"&amp;CommonItem!C43&amp;"[-]#r#r提示：获得后可在[5aef8e]外观-武器[-]界面穿戴该武器外观"</f>
        <v>使用后获得武器外观：[0B71B7]无相·花颂兵（7天）[-]#r#r提示：获得后可在[5aef8e]外观-武器[-]界面穿戴该武器外观</v>
      </c>
    </row>
    <row r="44" spans="1:3">
      <c r="A44" s="3" t="str">
        <f>CommonItem!A44</f>
        <v>#</v>
      </c>
      <c r="B44" s="3" t="str">
        <f>CommonItem!B44</f>
        <v>武侠-无相·花颂兵（永久）</v>
      </c>
      <c r="C44" s="3" t="str">
        <f>"使用后获得武器外观：[0B71B7]"&amp;CommonItem!C44&amp;"[-]#r#r提示：获得后可在[5aef8e]外观-武器[-]界面穿戴该武器外观"</f>
        <v>使用后获得武器外观：[0B71B7]无相·花颂兵（永久）[-]#r#r提示：获得后可在[5aef8e]外观-武器[-]界面穿戴该武器外观</v>
      </c>
    </row>
    <row r="45" spans="1:3">
      <c r="A45" s="3" t="str">
        <f>CommonItem!A45</f>
        <v>#</v>
      </c>
      <c r="B45" s="3" t="str">
        <f>CommonItem!B45</f>
        <v>妖刃-无相·花颂刃（7天）</v>
      </c>
      <c r="C45" s="3" t="str">
        <f>"使用后获得武器外观：[0B71B7]"&amp;CommonItem!C45&amp;"[-]#r#r提示：获得后可在[5aef8e]外观-武器[-]界面穿戴该武器外观"</f>
        <v>使用后获得武器外观：[0B71B7]无相·花颂刃（7天）[-]#r#r提示：获得后可在[5aef8e]外观-武器[-]界面穿戴该武器外观</v>
      </c>
    </row>
    <row r="46" spans="1:3">
      <c r="A46" s="3" t="str">
        <f>CommonItem!A46</f>
        <v>#</v>
      </c>
      <c r="B46" s="3" t="str">
        <f>CommonItem!B46</f>
        <v>妖刃-无相·花颂刃（永久）</v>
      </c>
      <c r="C46" s="3" t="str">
        <f>"使用后获得武器外观：[0B71B7]"&amp;CommonItem!C46&amp;"[-]#r#r提示：获得后可在[5aef8e]外观-武器[-]界面穿戴该武器外观"</f>
        <v>使用后获得武器外观：[0B71B7]无相·花颂刃（永久）[-]#r#r提示：获得后可在[5aef8e]外观-武器[-]界面穿戴该武器外观</v>
      </c>
    </row>
    <row r="47" spans="1:3">
      <c r="A47" s="3" t="str">
        <f>CommonItem!A47</f>
        <v>#</v>
      </c>
      <c r="B47" s="3" t="str">
        <f>CommonItem!B47</f>
        <v>羽岚-无相·花颂书（7天）</v>
      </c>
      <c r="C47" s="3" t="str">
        <f>"使用后获得武器外观：[0B71B7]"&amp;CommonItem!C47&amp;"[-]#r#r提示：获得后可在[5aef8e]外观-武器[-]界面穿戴该武器外观"</f>
        <v>使用后获得武器外观：[0B71B7]无相·花颂书（7天）[-]#r#r提示：获得后可在[5aef8e]外观-武器[-]界面穿戴该武器外观</v>
      </c>
    </row>
    <row r="48" spans="1:3">
      <c r="A48" s="3" t="str">
        <f>CommonItem!A48</f>
        <v>#</v>
      </c>
      <c r="B48" s="3" t="str">
        <f>CommonItem!B48</f>
        <v>羽岚-无相·花颂书（永久）</v>
      </c>
      <c r="C48" s="3" t="str">
        <f>"使用后获得武器外观：[0B71B7]"&amp;CommonItem!C48&amp;"[-]#r#r提示：获得后可在[5aef8e]外观-武器[-]界面穿戴该武器外观"</f>
        <v>使用后获得武器外观：[0B71B7]无相·花颂书（永久）[-]#r#r提示：获得后可在[5aef8e]外观-武器[-]界面穿戴该武器外观</v>
      </c>
    </row>
    <row r="49" spans="1:3">
      <c r="A49" s="3" t="str">
        <f>CommonItem!A49</f>
        <v>#</v>
      </c>
      <c r="B49" s="3" t="str">
        <f>CommonItem!B49</f>
        <v>刀刹-无相·花颂刀（7天）</v>
      </c>
      <c r="C49" s="3" t="str">
        <f>"使用后获得武器外观：C33[0B71B7]"&amp;CommonItem!C49&amp;"[-]#r#r提示：获得后可在[5aef8e]外观-武器[-]界面穿戴该武器外观"</f>
        <v>使用后获得武器外观：C33[0B71B7]无相·花颂刀（7天）[-]#r#r提示：获得后可在[5aef8e]外观-武器[-]界面穿戴该武器外观</v>
      </c>
    </row>
    <row r="50" spans="1:3">
      <c r="A50" s="3" t="str">
        <f>CommonItem!A50</f>
        <v>#</v>
      </c>
      <c r="B50" s="3" t="str">
        <f>CommonItem!B50</f>
        <v>刀刹-无相·花颂刀（永久）</v>
      </c>
      <c r="C50" s="3" t="str">
        <f>"使用后获得武器外观：[0B71B7]"&amp;CommonItem!C50&amp;"[-]#r#r提示：获得后可在[5aef8e]外观-武器[-]界面穿戴该武器外观"</f>
        <v>使用后获得武器外观：[0B71B7]无相·花颂刀（永久）[-]#r#r提示：获得后可在[5aef8e]外观-武器[-]界面穿戴该武器外观</v>
      </c>
    </row>
    <row r="51" spans="1:3">
      <c r="A51" s="3" t="str">
        <f>CommonItem!A51</f>
        <v>#</v>
      </c>
      <c r="B51" s="3" t="str">
        <f>CommonItem!B51</f>
        <v>月仙-无相·花颂镰（7天）</v>
      </c>
      <c r="C51" s="3" t="str">
        <f>"使用后获得武器外观：[0B71B7]"&amp;CommonItem!C51&amp;"[-]#r#r提示：获得后可在[5aef8e]外观-武器[-]界面穿戴该武器外观"</f>
        <v>使用后获得武器外观：[0B71B7]无相·花颂镰（7天）[-]#r#r提示：获得后可在[5aef8e]外观-武器[-]界面穿戴该武器外观</v>
      </c>
    </row>
    <row r="52" spans="1:3">
      <c r="A52" s="3" t="str">
        <f>CommonItem!A52</f>
        <v>#</v>
      </c>
      <c r="B52" s="3" t="str">
        <f>CommonItem!B52</f>
        <v>月仙-无相·花颂镰（永久）</v>
      </c>
      <c r="C52" s="3" t="str">
        <f>"使用后获得武器外观：[0B71B7]"&amp;CommonItem!C52&amp;"[-]#r#r提示：获得后可在[5aef8e]外观-武器[-]界面穿戴该武器外观"</f>
        <v>使用后获得武器外观：[0B71B7]无相·花颂镰（永久）[-]#r#r提示：获得后可在[5aef8e]外观-武器[-]界面穿戴该武器外观</v>
      </c>
    </row>
    <row r="53" spans="1:3">
      <c r="A53" s="3">
        <f>CommonItem!A53</f>
        <v>35098</v>
      </c>
      <c r="B53" s="3" t="str">
        <f>CommonItem!C53</f>
        <v>双人动作：经典制皂</v>
      </c>
      <c r="C53" s="3" t="str">
        <f>IF(配置总览!E120=0,"",配置总览!E120&amp;"#r#r")&amp;"使用后可解锁[6fd1ff]"&amp;配置总览!E116&amp;"[-]"&amp;IF(配置总览!$H$116="双人","双人","")&amp;"表情动作#r#r获取途径：通过[6fd1ff]"&amp;配置总览!E118&amp;"[-]"&amp;"获得"</f>
        <v>洗去浮尘，留住淡雅#r#r使用后可解锁[6fd1ff]经典制皂[-]双人表情动作#r#r获取途径：通过[6fd1ff]节日活动[-]获得</v>
      </c>
    </row>
    <row r="54" s="2" customFormat="1"/>
  </sheetData>
  <pageMargins left="0.7" right="0.7" top="0.75" bottom="0.75" header="0.3" footer="0.3"/>
  <pageSetup paperSize="9" orientation="portrait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3"/>
  <sheetViews>
    <sheetView topLeftCell="A22" workbookViewId="0">
      <selection activeCell="A52" sqref="$A51:$XFD52"/>
    </sheetView>
  </sheetViews>
  <sheetFormatPr defaultColWidth="9" defaultRowHeight="14.25"/>
  <cols>
    <col min="2" max="2" width="30.125" customWidth="1"/>
    <col min="3" max="3" width="23.875" customWidth="1"/>
    <col min="13" max="13" width="14.625" customWidth="1"/>
  </cols>
  <sheetData>
    <row r="1" s="1" customFormat="1" spans="1:28">
      <c r="A1" s="1" t="s">
        <v>312</v>
      </c>
      <c r="B1" s="1" t="s">
        <v>313</v>
      </c>
      <c r="C1" s="1" t="s">
        <v>389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  <c r="K1" s="1" t="s">
        <v>517</v>
      </c>
      <c r="L1" s="1" t="s">
        <v>518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523</v>
      </c>
      <c r="R1" s="1" t="s">
        <v>524</v>
      </c>
      <c r="S1" s="1" t="s">
        <v>525</v>
      </c>
      <c r="T1" s="1" t="s">
        <v>526</v>
      </c>
      <c r="U1" s="1" t="s">
        <v>527</v>
      </c>
      <c r="V1" s="1" t="s">
        <v>528</v>
      </c>
      <c r="W1" s="1" t="s">
        <v>529</v>
      </c>
      <c r="X1" s="1" t="s">
        <v>530</v>
      </c>
      <c r="Y1" s="1" t="s">
        <v>531</v>
      </c>
      <c r="Z1" s="1" t="s">
        <v>532</v>
      </c>
      <c r="AA1" s="1" t="s">
        <v>533</v>
      </c>
      <c r="AB1" s="1" t="s">
        <v>534</v>
      </c>
    </row>
    <row r="2" s="1" customFormat="1" spans="1:28">
      <c r="A2" s="1" t="s">
        <v>315</v>
      </c>
      <c r="B2" s="1" t="s">
        <v>316</v>
      </c>
      <c r="C2" s="1" t="s">
        <v>316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</row>
    <row r="3" s="1" customFormat="1" spans="1:12">
      <c r="A3" s="1" t="s">
        <v>535</v>
      </c>
      <c r="E3" s="1" t="s">
        <v>447</v>
      </c>
      <c r="F3" s="1" t="s">
        <v>447</v>
      </c>
      <c r="G3" s="1" t="s">
        <v>447</v>
      </c>
      <c r="I3" s="1" t="s">
        <v>447</v>
      </c>
      <c r="J3" s="1" t="s">
        <v>447</v>
      </c>
      <c r="L3" s="1" t="s">
        <v>447</v>
      </c>
    </row>
    <row r="4" s="1" customFormat="1" spans="1:28">
      <c r="A4" s="1" t="s">
        <v>448</v>
      </c>
      <c r="B4" s="1" t="s">
        <v>536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</row>
    <row r="5" spans="1:28">
      <c r="A5" s="3" t="str">
        <f>CommonItem!A5</f>
        <v>#</v>
      </c>
      <c r="B5" s="3" t="str">
        <f>CommonItem!B5</f>
        <v>蜜语轻舞·头（7天）（男）</v>
      </c>
      <c r="C5" s="3" t="str">
        <f>CommonItem!C5</f>
        <v>蜜语轻舞·头（7天）</v>
      </c>
      <c r="D5">
        <v>221</v>
      </c>
      <c r="E5">
        <v>-1</v>
      </c>
      <c r="F5">
        <v>-1</v>
      </c>
      <c r="G5">
        <v>1</v>
      </c>
      <c r="H5">
        <v>-1</v>
      </c>
      <c r="I5">
        <v>0</v>
      </c>
      <c r="J5">
        <v>1</v>
      </c>
      <c r="K5">
        <v>-1</v>
      </c>
      <c r="L5">
        <v>0</v>
      </c>
      <c r="M5" s="7" t="str">
        <f>IF(配置总览!$B$2="Main",FashionBase!A5,FashionBase!#REF!)</f>
        <v>#</v>
      </c>
      <c r="N5">
        <v>0</v>
      </c>
      <c r="O5">
        <v>10080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 s="3" t="str">
        <f>CommonItem!A6</f>
        <v>#</v>
      </c>
      <c r="B6" s="3" t="str">
        <f>CommonItem!B6</f>
        <v>蜜语轻舞·头（永久）（男）</v>
      </c>
      <c r="C6" s="3" t="str">
        <f>CommonItem!C6</f>
        <v>蜜语轻舞·头（永久）</v>
      </c>
      <c r="D6">
        <v>221</v>
      </c>
      <c r="E6">
        <v>-1</v>
      </c>
      <c r="F6">
        <v>-1</v>
      </c>
      <c r="G6">
        <v>1</v>
      </c>
      <c r="H6">
        <v>-1</v>
      </c>
      <c r="I6">
        <v>0</v>
      </c>
      <c r="J6">
        <v>1</v>
      </c>
      <c r="K6">
        <v>-1</v>
      </c>
      <c r="L6">
        <v>0</v>
      </c>
      <c r="M6" s="3" t="str">
        <f>M5</f>
        <v>#</v>
      </c>
      <c r="N6">
        <v>0</v>
      </c>
      <c r="O6">
        <v>-1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 s="3" t="str">
        <f>CommonItem!A7</f>
        <v>#</v>
      </c>
      <c r="B7" s="3" t="str">
        <f>CommonItem!B7</f>
        <v>蜜语轻舞·头（7天）（女）</v>
      </c>
      <c r="C7" s="3" t="str">
        <f>CommonItem!C7</f>
        <v>蜜语轻舞·头（7天）</v>
      </c>
      <c r="D7">
        <v>221</v>
      </c>
      <c r="E7">
        <v>-1</v>
      </c>
      <c r="F7">
        <v>-1</v>
      </c>
      <c r="G7">
        <v>1</v>
      </c>
      <c r="H7">
        <v>-1</v>
      </c>
      <c r="I7">
        <v>0</v>
      </c>
      <c r="J7">
        <v>1</v>
      </c>
      <c r="K7">
        <v>-1</v>
      </c>
      <c r="L7">
        <v>0</v>
      </c>
      <c r="M7" s="3" t="str">
        <f t="shared" ref="M7:M16" si="0">M6</f>
        <v>#</v>
      </c>
      <c r="N7">
        <v>0</v>
      </c>
      <c r="O7">
        <v>10080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 s="3" t="str">
        <f>CommonItem!A8</f>
        <v>#</v>
      </c>
      <c r="B8" s="3" t="str">
        <f>CommonItem!B8</f>
        <v>蜜语轻舞·头（永久）（女）</v>
      </c>
      <c r="C8" s="3" t="str">
        <f>CommonItem!C8</f>
        <v>蜜语轻舞·头（永久）</v>
      </c>
      <c r="D8">
        <v>221</v>
      </c>
      <c r="E8">
        <v>-1</v>
      </c>
      <c r="F8">
        <v>-1</v>
      </c>
      <c r="G8">
        <v>1</v>
      </c>
      <c r="H8">
        <v>-1</v>
      </c>
      <c r="I8">
        <v>0</v>
      </c>
      <c r="J8">
        <v>1</v>
      </c>
      <c r="K8">
        <v>-1</v>
      </c>
      <c r="L8">
        <v>0</v>
      </c>
      <c r="M8" s="3" t="str">
        <f t="shared" si="0"/>
        <v>#</v>
      </c>
      <c r="N8">
        <v>0</v>
      </c>
      <c r="O8">
        <v>-1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 s="3" t="str">
        <f>CommonItem!A9</f>
        <v>#</v>
      </c>
      <c r="B9" s="3" t="str">
        <f>CommonItem!B9</f>
        <v>蜜语轻舞（7天）（男）</v>
      </c>
      <c r="C9" s="3" t="str">
        <f>CommonItem!C9</f>
        <v>蜜语轻舞（7天）</v>
      </c>
      <c r="D9">
        <v>221</v>
      </c>
      <c r="E9">
        <v>-1</v>
      </c>
      <c r="F9">
        <v>-1</v>
      </c>
      <c r="G9">
        <v>1</v>
      </c>
      <c r="H9">
        <v>-1</v>
      </c>
      <c r="I9">
        <v>0</v>
      </c>
      <c r="J9">
        <v>1</v>
      </c>
      <c r="K9">
        <v>-1</v>
      </c>
      <c r="L9">
        <v>0</v>
      </c>
      <c r="M9" s="7" t="str">
        <f>IF(配置总览!$B$2="Main",FashionBase!A6,FashionBase!#REF!)</f>
        <v>#</v>
      </c>
      <c r="N9">
        <v>0</v>
      </c>
      <c r="O9">
        <v>10080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s="3" t="str">
        <f>CommonItem!A10</f>
        <v>#</v>
      </c>
      <c r="B10" s="3" t="str">
        <f>CommonItem!B10</f>
        <v>蜜语轻舞（永久）（男）</v>
      </c>
      <c r="C10" s="3" t="str">
        <f>CommonItem!C10</f>
        <v>蜜语轻舞（永久）</v>
      </c>
      <c r="D10">
        <v>221</v>
      </c>
      <c r="E10">
        <v>-1</v>
      </c>
      <c r="F10">
        <v>-1</v>
      </c>
      <c r="G10">
        <v>1</v>
      </c>
      <c r="H10">
        <v>-1</v>
      </c>
      <c r="I10">
        <v>0</v>
      </c>
      <c r="J10">
        <v>1</v>
      </c>
      <c r="K10">
        <v>-1</v>
      </c>
      <c r="L10">
        <v>0</v>
      </c>
      <c r="M10" s="3" t="str">
        <f t="shared" si="0"/>
        <v>#</v>
      </c>
      <c r="N10">
        <v>0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s="3" t="str">
        <f>CommonItem!A11</f>
        <v>#</v>
      </c>
      <c r="B11" s="3" t="str">
        <f>CommonItem!B11</f>
        <v>蜜语轻舞（7天）（女）</v>
      </c>
      <c r="C11" s="3" t="str">
        <f>CommonItem!C11</f>
        <v>蜜语轻舞（7天）</v>
      </c>
      <c r="D11">
        <v>221</v>
      </c>
      <c r="E11">
        <v>-1</v>
      </c>
      <c r="F11">
        <v>-1</v>
      </c>
      <c r="G11">
        <v>1</v>
      </c>
      <c r="H11">
        <v>-1</v>
      </c>
      <c r="I11">
        <v>0</v>
      </c>
      <c r="J11">
        <v>1</v>
      </c>
      <c r="K11">
        <v>-1</v>
      </c>
      <c r="L11">
        <v>0</v>
      </c>
      <c r="M11" s="3" t="str">
        <f t="shared" si="0"/>
        <v>#</v>
      </c>
      <c r="N11">
        <v>0</v>
      </c>
      <c r="O11">
        <v>10080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 s="3" t="str">
        <f>CommonItem!A12</f>
        <v>#</v>
      </c>
      <c r="B12" s="3" t="str">
        <f>CommonItem!B12</f>
        <v>蜜语轻舞（永久）（女）</v>
      </c>
      <c r="C12" s="3" t="str">
        <f>CommonItem!C12</f>
        <v>蜜语轻舞（永久）</v>
      </c>
      <c r="D12">
        <v>221</v>
      </c>
      <c r="E12">
        <v>-1</v>
      </c>
      <c r="F12">
        <v>-1</v>
      </c>
      <c r="G12">
        <v>1</v>
      </c>
      <c r="H12">
        <v>-1</v>
      </c>
      <c r="I12">
        <v>0</v>
      </c>
      <c r="J12">
        <v>1</v>
      </c>
      <c r="K12">
        <v>-1</v>
      </c>
      <c r="L12">
        <v>0</v>
      </c>
      <c r="M12" s="3" t="str">
        <f t="shared" si="0"/>
        <v>#</v>
      </c>
      <c r="N12">
        <v>0</v>
      </c>
      <c r="O12">
        <v>-1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 s="3" t="str">
        <f>CommonItem!A13</f>
        <v>#</v>
      </c>
      <c r="B13" s="3" t="str">
        <f>CommonItem!B13</f>
        <v>小狗蛇-吉祥如亿（7天）</v>
      </c>
      <c r="C13" s="3" t="str">
        <f>CommonItem!C13</f>
        <v>小狗蛇-吉祥如亿（7天）</v>
      </c>
      <c r="D13">
        <v>221</v>
      </c>
      <c r="E13">
        <v>-1</v>
      </c>
      <c r="F13">
        <v>-1</v>
      </c>
      <c r="G13">
        <v>1</v>
      </c>
      <c r="H13">
        <v>-1</v>
      </c>
      <c r="I13">
        <v>0</v>
      </c>
      <c r="J13">
        <v>1</v>
      </c>
      <c r="K13">
        <v>-1</v>
      </c>
      <c r="L13">
        <v>0</v>
      </c>
      <c r="M13" s="7" t="str">
        <f>IF(配置总览!$B$2="Main",FashionBase!A7,FashionBase!#REF!)</f>
        <v>#</v>
      </c>
      <c r="N13">
        <v>0</v>
      </c>
      <c r="O13">
        <v>10080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s="3" t="str">
        <f>CommonItem!A14</f>
        <v>#</v>
      </c>
      <c r="B14" s="3" t="str">
        <f>CommonItem!B14</f>
        <v>小狗蛇-吉祥如亿（永久）</v>
      </c>
      <c r="C14" s="3" t="str">
        <f>CommonItem!C14</f>
        <v>小狗蛇-吉祥如亿（永久）</v>
      </c>
      <c r="D14">
        <v>221</v>
      </c>
      <c r="E14">
        <v>-1</v>
      </c>
      <c r="F14">
        <v>-1</v>
      </c>
      <c r="G14">
        <v>1</v>
      </c>
      <c r="H14">
        <v>-1</v>
      </c>
      <c r="I14">
        <v>0</v>
      </c>
      <c r="J14">
        <v>1</v>
      </c>
      <c r="K14">
        <v>-1</v>
      </c>
      <c r="L14">
        <v>0</v>
      </c>
      <c r="M14" s="3" t="str">
        <f t="shared" si="0"/>
        <v>#</v>
      </c>
      <c r="N14">
        <v>0</v>
      </c>
      <c r="O14">
        <v>-1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 s="3" t="str">
        <f>CommonItem!A15</f>
        <v>#</v>
      </c>
      <c r="B15" s="3" t="str">
        <f>CommonItem!B15</f>
        <v>小飞猪（7天）</v>
      </c>
      <c r="C15" s="3" t="str">
        <f>CommonItem!C15</f>
        <v>小飞猪（7天）</v>
      </c>
      <c r="D15">
        <v>221</v>
      </c>
      <c r="E15">
        <v>-1</v>
      </c>
      <c r="F15">
        <v>-1</v>
      </c>
      <c r="G15">
        <v>1</v>
      </c>
      <c r="H15">
        <v>-1</v>
      </c>
      <c r="I15">
        <v>0</v>
      </c>
      <c r="J15">
        <v>1</v>
      </c>
      <c r="K15">
        <v>-1</v>
      </c>
      <c r="L15">
        <v>0</v>
      </c>
      <c r="M15" s="7" t="str">
        <f>IF(配置总览!$B$2="Main",FashionBase!A8,FashionBase!#REF!)</f>
        <v>#</v>
      </c>
      <c r="N15">
        <v>0</v>
      </c>
      <c r="O15">
        <v>10080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 s="3" t="str">
        <f>CommonItem!A16</f>
        <v>#</v>
      </c>
      <c r="B16" s="3" t="str">
        <f>CommonItem!B16</f>
        <v>小飞猪（永久）</v>
      </c>
      <c r="C16" s="3" t="str">
        <f>CommonItem!C16</f>
        <v>小飞猪（永久）</v>
      </c>
      <c r="D16">
        <v>221</v>
      </c>
      <c r="E16">
        <v>-1</v>
      </c>
      <c r="F16">
        <v>-1</v>
      </c>
      <c r="G16">
        <v>1</v>
      </c>
      <c r="H16">
        <v>-1</v>
      </c>
      <c r="I16">
        <v>0</v>
      </c>
      <c r="J16">
        <v>1</v>
      </c>
      <c r="K16">
        <v>-1</v>
      </c>
      <c r="L16">
        <v>0</v>
      </c>
      <c r="M16" s="3" t="str">
        <f t="shared" si="0"/>
        <v>#</v>
      </c>
      <c r="N16">
        <v>0</v>
      </c>
      <c r="O16">
        <v>-1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 s="3" t="str">
        <f>CommonItem!A17</f>
        <v>#</v>
      </c>
      <c r="B17" s="3" t="str">
        <f>CommonItem!B17</f>
        <v>仙玉台（7天）</v>
      </c>
      <c r="C17" s="3" t="str">
        <f>CommonItem!C17</f>
        <v>仙玉台（7天）</v>
      </c>
      <c r="D17" s="37">
        <v>221</v>
      </c>
      <c r="E17" s="37">
        <v>0</v>
      </c>
      <c r="F17" s="37">
        <v>-1</v>
      </c>
      <c r="G17" s="37">
        <v>1</v>
      </c>
      <c r="H17" s="37">
        <v>-1</v>
      </c>
      <c r="I17" s="37">
        <v>0</v>
      </c>
      <c r="J17" s="37">
        <v>1</v>
      </c>
      <c r="K17" s="37">
        <v>-1</v>
      </c>
      <c r="L17" s="37">
        <v>0</v>
      </c>
      <c r="M17" s="41" t="str">
        <f>FashionBase!$A$9</f>
        <v>#</v>
      </c>
      <c r="N17" s="37">
        <v>0</v>
      </c>
      <c r="O17" s="37">
        <v>10080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37">
        <v>0</v>
      </c>
      <c r="AA17" s="37">
        <v>0</v>
      </c>
      <c r="AB17" s="37">
        <v>0</v>
      </c>
    </row>
    <row r="18" spans="1:28">
      <c r="A18" s="3" t="str">
        <f>CommonItem!A18</f>
        <v>#</v>
      </c>
      <c r="B18" s="3" t="str">
        <f>CommonItem!B18</f>
        <v>仙玉台（永久）</v>
      </c>
      <c r="C18" s="3" t="str">
        <f>CommonItem!C18</f>
        <v>仙玉台（永久）</v>
      </c>
      <c r="D18" s="37">
        <v>221</v>
      </c>
      <c r="E18" s="37">
        <v>0</v>
      </c>
      <c r="F18" s="37">
        <v>-1</v>
      </c>
      <c r="G18" s="37">
        <v>1</v>
      </c>
      <c r="H18" s="37">
        <v>-1</v>
      </c>
      <c r="I18" s="37">
        <v>0</v>
      </c>
      <c r="J18" s="37">
        <v>1</v>
      </c>
      <c r="K18" s="37">
        <v>-1</v>
      </c>
      <c r="L18" s="37">
        <v>0</v>
      </c>
      <c r="M18" s="3" t="str">
        <f>M17</f>
        <v>#</v>
      </c>
      <c r="N18" s="37">
        <v>0</v>
      </c>
      <c r="O18" s="37">
        <v>-1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0</v>
      </c>
    </row>
    <row r="19" spans="1:28">
      <c r="A19" s="3" t="str">
        <f>CommonItem!A19</f>
        <v>#</v>
      </c>
      <c r="B19" s="3" t="str">
        <f>CommonItem!B19</f>
        <v>仙合翼（7天）</v>
      </c>
      <c r="C19" s="3" t="str">
        <f>CommonItem!C19</f>
        <v>仙合翼（7天）</v>
      </c>
      <c r="D19" s="37">
        <v>221</v>
      </c>
      <c r="E19" s="37">
        <v>0</v>
      </c>
      <c r="F19" s="37">
        <v>-1</v>
      </c>
      <c r="G19" s="37">
        <v>1</v>
      </c>
      <c r="H19" s="37">
        <v>-1</v>
      </c>
      <c r="I19" s="37">
        <v>0</v>
      </c>
      <c r="J19" s="37">
        <v>1</v>
      </c>
      <c r="K19" s="37">
        <v>-1</v>
      </c>
      <c r="L19" s="37">
        <v>0</v>
      </c>
      <c r="M19" s="3" t="str">
        <f>M18</f>
        <v>#</v>
      </c>
      <c r="N19" s="37">
        <v>0</v>
      </c>
      <c r="O19" s="37">
        <v>10080</v>
      </c>
      <c r="P19" s="37">
        <v>0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0</v>
      </c>
    </row>
    <row r="20" spans="1:28">
      <c r="A20" s="3" t="str">
        <f>CommonItem!A20</f>
        <v>#</v>
      </c>
      <c r="B20" s="3" t="str">
        <f>CommonItem!B20</f>
        <v>仙合翼（永久）</v>
      </c>
      <c r="C20" s="3" t="str">
        <f>CommonItem!C20</f>
        <v>仙合翼（永久）</v>
      </c>
      <c r="D20" s="37">
        <v>221</v>
      </c>
      <c r="E20" s="37">
        <v>0</v>
      </c>
      <c r="F20" s="37">
        <v>-1</v>
      </c>
      <c r="G20" s="37">
        <v>1</v>
      </c>
      <c r="H20" s="37">
        <v>-1</v>
      </c>
      <c r="I20" s="37">
        <v>0</v>
      </c>
      <c r="J20" s="37">
        <v>1</v>
      </c>
      <c r="K20" s="37">
        <v>-1</v>
      </c>
      <c r="L20" s="37">
        <v>0</v>
      </c>
      <c r="M20" s="3" t="str">
        <f>M19</f>
        <v>#</v>
      </c>
      <c r="N20" s="37">
        <v>0</v>
      </c>
      <c r="O20" s="37">
        <v>-1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</row>
    <row r="21" spans="1:28">
      <c r="A21" s="3" t="str">
        <f>CommonItem!A21</f>
        <v>#</v>
      </c>
      <c r="B21" s="3" t="str">
        <f>CommonItem!B21</f>
        <v>白玉仙（7天）</v>
      </c>
      <c r="C21" s="3" t="str">
        <f>CommonItem!C21</f>
        <v>白玉仙（7天）</v>
      </c>
      <c r="D21" s="37">
        <v>221</v>
      </c>
      <c r="E21" s="37">
        <v>0</v>
      </c>
      <c r="F21" s="37">
        <v>-1</v>
      </c>
      <c r="G21" s="37">
        <v>1</v>
      </c>
      <c r="H21" s="37">
        <v>-1</v>
      </c>
      <c r="I21" s="37">
        <v>0</v>
      </c>
      <c r="J21" s="37">
        <v>1</v>
      </c>
      <c r="K21" s="37">
        <v>-1</v>
      </c>
      <c r="L21" s="37">
        <v>0</v>
      </c>
      <c r="M21" s="3" t="str">
        <f t="shared" ref="M21:M26" si="1">M20</f>
        <v>#</v>
      </c>
      <c r="N21" s="37">
        <v>0</v>
      </c>
      <c r="O21" s="37">
        <v>10080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37">
        <v>0</v>
      </c>
      <c r="Y21" s="37">
        <v>0</v>
      </c>
      <c r="Z21" s="37">
        <v>0</v>
      </c>
      <c r="AA21" s="37">
        <v>0</v>
      </c>
      <c r="AB21" s="37">
        <v>0</v>
      </c>
    </row>
    <row r="22" spans="1:28">
      <c r="A22" s="3" t="str">
        <f>CommonItem!A22</f>
        <v>#</v>
      </c>
      <c r="B22" s="3" t="str">
        <f>CommonItem!B22</f>
        <v>白玉仙（永久）</v>
      </c>
      <c r="C22" s="3" t="str">
        <f>CommonItem!C22</f>
        <v>白玉仙（永久）</v>
      </c>
      <c r="D22" s="37">
        <v>221</v>
      </c>
      <c r="E22" s="37">
        <v>0</v>
      </c>
      <c r="F22" s="37">
        <v>-1</v>
      </c>
      <c r="G22" s="37">
        <v>1</v>
      </c>
      <c r="H22" s="37">
        <v>-1</v>
      </c>
      <c r="I22" s="37">
        <v>0</v>
      </c>
      <c r="J22" s="37">
        <v>1</v>
      </c>
      <c r="K22" s="37">
        <v>-1</v>
      </c>
      <c r="L22" s="37">
        <v>0</v>
      </c>
      <c r="M22" s="3" t="str">
        <f t="shared" si="1"/>
        <v>#</v>
      </c>
      <c r="N22" s="37">
        <v>0</v>
      </c>
      <c r="O22" s="37">
        <v>-1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</row>
    <row r="23" spans="1:28">
      <c r="A23" s="3" t="str">
        <f>CommonItem!A23</f>
        <v>#</v>
      </c>
      <c r="B23" s="3" t="str">
        <f>CommonItem!B23</f>
        <v>野趣风尚（7天）</v>
      </c>
      <c r="C23" s="3" t="str">
        <f>CommonItem!C23</f>
        <v>野趣风尚（7天）</v>
      </c>
      <c r="D23">
        <v>221</v>
      </c>
      <c r="E23">
        <v>-1</v>
      </c>
      <c r="F23">
        <v>-1</v>
      </c>
      <c r="G23">
        <v>1</v>
      </c>
      <c r="H23">
        <v>-1</v>
      </c>
      <c r="I23">
        <v>0</v>
      </c>
      <c r="J23">
        <v>1</v>
      </c>
      <c r="K23">
        <v>-1</v>
      </c>
      <c r="L23">
        <v>-1</v>
      </c>
      <c r="M23" s="7" t="str">
        <f>IF(配置总览!$B$2="Main",FashionBase!A10,FashionBase!#REF!)</f>
        <v>#</v>
      </c>
      <c r="N23">
        <v>0</v>
      </c>
      <c r="O23">
        <v>10080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 s="3" t="str">
        <f>CommonItem!A24</f>
        <v>#</v>
      </c>
      <c r="B24" s="3" t="str">
        <f>CommonItem!B24</f>
        <v>野趣风尚（永久）</v>
      </c>
      <c r="C24" s="3" t="str">
        <f>CommonItem!C24</f>
        <v>野趣风尚（永久）</v>
      </c>
      <c r="D24">
        <v>221</v>
      </c>
      <c r="E24">
        <v>-1</v>
      </c>
      <c r="F24">
        <v>-1</v>
      </c>
      <c r="G24">
        <v>1</v>
      </c>
      <c r="H24">
        <v>-1</v>
      </c>
      <c r="I24">
        <v>0</v>
      </c>
      <c r="J24">
        <v>1</v>
      </c>
      <c r="K24">
        <v>-1</v>
      </c>
      <c r="L24">
        <v>-1</v>
      </c>
      <c r="M24" s="3" t="str">
        <f t="shared" ref="M24" si="2">M23</f>
        <v>#</v>
      </c>
      <c r="N24">
        <v>0</v>
      </c>
      <c r="O24">
        <v>-1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="2" customFormat="1" spans="1:28">
      <c r="A25" s="3" t="str">
        <f>CommonItem!A25</f>
        <v>#</v>
      </c>
      <c r="B25" s="3" t="str">
        <f>CommonItem!B25</f>
        <v>星扇·宿（7天）</v>
      </c>
      <c r="C25" s="3" t="str">
        <f>CommonItem!C25</f>
        <v>星扇·宿（7天）</v>
      </c>
      <c r="D25" s="2">
        <v>221</v>
      </c>
      <c r="E25" s="2">
        <v>-1</v>
      </c>
      <c r="F25" s="2">
        <v>-1</v>
      </c>
      <c r="G25" s="2">
        <v>1</v>
      </c>
      <c r="H25" s="2">
        <v>-1</v>
      </c>
      <c r="I25" s="2">
        <v>0</v>
      </c>
      <c r="J25" s="2">
        <v>1</v>
      </c>
      <c r="K25" s="2">
        <v>-1</v>
      </c>
      <c r="L25" s="2">
        <v>-1</v>
      </c>
      <c r="M25" s="7" t="str">
        <f>IF(配置总览!$B$2="Main",FashionBase!A11,FashionBase!#REF!)</f>
        <v>#</v>
      </c>
      <c r="N25" s="2">
        <v>0</v>
      </c>
      <c r="O25" s="2">
        <v>10080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="2" customFormat="1" spans="1:28">
      <c r="A26" s="3" t="str">
        <f>CommonItem!A26</f>
        <v>#</v>
      </c>
      <c r="B26" s="3" t="str">
        <f>CommonItem!B26</f>
        <v>星扇·宿（永久）</v>
      </c>
      <c r="C26" s="3" t="str">
        <f>CommonItem!C26</f>
        <v>星扇·宿（永久）</v>
      </c>
      <c r="D26" s="2">
        <v>221</v>
      </c>
      <c r="E26" s="2">
        <v>-1</v>
      </c>
      <c r="F26" s="2">
        <v>-1</v>
      </c>
      <c r="G26" s="2">
        <v>1</v>
      </c>
      <c r="H26" s="2">
        <v>-1</v>
      </c>
      <c r="I26" s="2">
        <v>0</v>
      </c>
      <c r="J26" s="2">
        <v>1</v>
      </c>
      <c r="K26" s="2">
        <v>-1</v>
      </c>
      <c r="L26" s="2">
        <v>-1</v>
      </c>
      <c r="M26" s="3" t="str">
        <f t="shared" si="1"/>
        <v>#</v>
      </c>
      <c r="N26" s="2">
        <v>0</v>
      </c>
      <c r="O26" s="2">
        <v>-1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</row>
    <row r="27" s="2" customFormat="1" spans="1:28">
      <c r="A27" s="3" t="str">
        <f>CommonItem!A27</f>
        <v>#</v>
      </c>
      <c r="B27" s="3" t="str">
        <f>CommonItem!B27</f>
        <v>星扇·星象（7天）</v>
      </c>
      <c r="C27" s="3" t="str">
        <f>CommonItem!C27</f>
        <v>星扇·星象（7天）</v>
      </c>
      <c r="D27" s="2">
        <v>221</v>
      </c>
      <c r="E27" s="2">
        <v>-1</v>
      </c>
      <c r="F27" s="2">
        <v>-1</v>
      </c>
      <c r="G27" s="2">
        <v>1</v>
      </c>
      <c r="H27" s="2">
        <v>-1</v>
      </c>
      <c r="I27" s="2">
        <v>0</v>
      </c>
      <c r="J27" s="2">
        <v>1</v>
      </c>
      <c r="K27" s="2">
        <v>-1</v>
      </c>
      <c r="L27" s="2">
        <v>-1</v>
      </c>
      <c r="M27" s="7" t="str">
        <f>IF(配置总览!$B$2="Main",FashionBase!A12,FashionBase!#REF!)</f>
        <v>#</v>
      </c>
      <c r="N27" s="2">
        <v>0</v>
      </c>
      <c r="O27" s="2">
        <v>10080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="2" customFormat="1" spans="1:28">
      <c r="A28" s="3" t="str">
        <f>CommonItem!A28</f>
        <v>#</v>
      </c>
      <c r="B28" s="3" t="str">
        <f>CommonItem!B28</f>
        <v>星扇·星象（永久）</v>
      </c>
      <c r="C28" s="3" t="str">
        <f>CommonItem!C28</f>
        <v>星扇·星象（永久）</v>
      </c>
      <c r="D28" s="2">
        <v>221</v>
      </c>
      <c r="E28" s="2">
        <v>-1</v>
      </c>
      <c r="F28" s="2">
        <v>-1</v>
      </c>
      <c r="G28" s="2">
        <v>1</v>
      </c>
      <c r="H28" s="2">
        <v>-1</v>
      </c>
      <c r="I28" s="2">
        <v>0</v>
      </c>
      <c r="J28" s="2">
        <v>1</v>
      </c>
      <c r="K28" s="2">
        <v>-1</v>
      </c>
      <c r="L28" s="2">
        <v>-1</v>
      </c>
      <c r="M28" s="3" t="str">
        <f t="shared" ref="M28:M32" si="3">M27</f>
        <v>#</v>
      </c>
      <c r="N28" s="2">
        <v>0</v>
      </c>
      <c r="O28" s="2">
        <v>-1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="2" customFormat="1" spans="1:28">
      <c r="A29" s="3" t="str">
        <f>CommonItem!A29</f>
        <v>#</v>
      </c>
      <c r="B29" s="3" t="str">
        <f>CommonItem!B29</f>
        <v>星扇·天垣（7天）</v>
      </c>
      <c r="C29" s="3" t="str">
        <f>CommonItem!C29</f>
        <v>星扇·天垣（7天）</v>
      </c>
      <c r="D29" s="2">
        <v>221</v>
      </c>
      <c r="E29" s="2">
        <v>-1</v>
      </c>
      <c r="F29" s="2">
        <v>-1</v>
      </c>
      <c r="G29" s="2">
        <v>1</v>
      </c>
      <c r="H29" s="2">
        <v>-1</v>
      </c>
      <c r="I29" s="2">
        <v>0</v>
      </c>
      <c r="J29" s="2">
        <v>1</v>
      </c>
      <c r="K29" s="2">
        <v>-1</v>
      </c>
      <c r="L29" s="2">
        <v>-1</v>
      </c>
      <c r="M29" s="7" t="str">
        <f>IF(配置总览!$B$2="Main",FashionBase!A13,FashionBase!#REF!)</f>
        <v>#</v>
      </c>
      <c r="N29" s="2">
        <v>0</v>
      </c>
      <c r="O29" s="2">
        <v>10080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="2" customFormat="1" spans="1:28">
      <c r="A30" s="3" t="str">
        <f>CommonItem!A30</f>
        <v>#</v>
      </c>
      <c r="B30" s="3" t="str">
        <f>CommonItem!B30</f>
        <v>星扇·天垣（永久）</v>
      </c>
      <c r="C30" s="3" t="str">
        <f>CommonItem!C30</f>
        <v>星扇·天垣（永久）</v>
      </c>
      <c r="D30" s="2">
        <v>221</v>
      </c>
      <c r="E30" s="2">
        <v>-1</v>
      </c>
      <c r="F30" s="2">
        <v>-1</v>
      </c>
      <c r="G30" s="2">
        <v>1</v>
      </c>
      <c r="H30" s="2">
        <v>-1</v>
      </c>
      <c r="I30" s="2">
        <v>0</v>
      </c>
      <c r="J30" s="2">
        <v>1</v>
      </c>
      <c r="K30" s="2">
        <v>-1</v>
      </c>
      <c r="L30" s="2">
        <v>-1</v>
      </c>
      <c r="M30" s="3" t="str">
        <f t="shared" si="3"/>
        <v>#</v>
      </c>
      <c r="N30" s="2">
        <v>0</v>
      </c>
      <c r="O30" s="2">
        <v>-1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</row>
    <row r="31" s="2" customFormat="1" spans="1:28">
      <c r="A31" s="3" t="str">
        <f>CommonItem!A31</f>
        <v>#</v>
      </c>
      <c r="B31" s="3" t="str">
        <f>CommonItem!B31</f>
        <v>星扇·天星引（7天）</v>
      </c>
      <c r="C31" s="3" t="str">
        <f>CommonItem!C31</f>
        <v>星扇·天星引（7天）</v>
      </c>
      <c r="D31" s="2">
        <v>221</v>
      </c>
      <c r="E31" s="2">
        <v>-1</v>
      </c>
      <c r="F31" s="2">
        <v>-1</v>
      </c>
      <c r="G31" s="2">
        <v>1</v>
      </c>
      <c r="H31" s="2">
        <v>-1</v>
      </c>
      <c r="I31" s="2">
        <v>0</v>
      </c>
      <c r="J31" s="2">
        <v>1</v>
      </c>
      <c r="K31" s="2">
        <v>-1</v>
      </c>
      <c r="L31" s="2">
        <v>-1</v>
      </c>
      <c r="M31" s="7" t="str">
        <f>IF(配置总览!$B$2="Main",FashionBase!A14,FashionBase!#REF!)</f>
        <v>#</v>
      </c>
      <c r="N31" s="2">
        <v>0</v>
      </c>
      <c r="O31" s="2">
        <v>10080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="2" customFormat="1" spans="1:28">
      <c r="A32" s="3" t="str">
        <f>CommonItem!A32</f>
        <v>#</v>
      </c>
      <c r="B32" s="3" t="str">
        <f>CommonItem!B32</f>
        <v>星扇·天星引（永久）</v>
      </c>
      <c r="C32" s="3" t="str">
        <f>CommonItem!C32</f>
        <v>星扇·天星引（永久）</v>
      </c>
      <c r="D32" s="2">
        <v>221</v>
      </c>
      <c r="E32" s="2">
        <v>-1</v>
      </c>
      <c r="F32" s="2">
        <v>-1</v>
      </c>
      <c r="G32" s="2">
        <v>1</v>
      </c>
      <c r="H32" s="2">
        <v>-1</v>
      </c>
      <c r="I32" s="2">
        <v>0</v>
      </c>
      <c r="J32" s="2">
        <v>1</v>
      </c>
      <c r="K32" s="2">
        <v>-1</v>
      </c>
      <c r="L32" s="2">
        <v>-1</v>
      </c>
      <c r="M32" s="3" t="str">
        <f t="shared" si="3"/>
        <v>#</v>
      </c>
      <c r="N32" s="2">
        <v>0</v>
      </c>
      <c r="O32" s="2">
        <v>-1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</row>
    <row r="33" spans="1:28">
      <c r="A33" s="3" t="str">
        <f>CommonItem!A33</f>
        <v>#</v>
      </c>
      <c r="B33" s="3" t="str">
        <f>CommonItem!B33</f>
        <v>妖兽-无相·花颂锤（7天）</v>
      </c>
      <c r="C33" s="3" t="str">
        <f>CommonItem!C33</f>
        <v>无相·花颂锤（7天）</v>
      </c>
      <c r="D33">
        <v>221</v>
      </c>
      <c r="E33">
        <v>-1</v>
      </c>
      <c r="F33">
        <v>-1</v>
      </c>
      <c r="G33">
        <v>1</v>
      </c>
      <c r="H33">
        <v>-1</v>
      </c>
      <c r="I33">
        <v>0</v>
      </c>
      <c r="J33">
        <v>1</v>
      </c>
      <c r="K33">
        <v>-1</v>
      </c>
      <c r="L33">
        <v>0</v>
      </c>
      <c r="M33" s="7" t="str">
        <f>IF(配置总览!$B$2="Main",FashionBase!A15,FashionBase!#REF!)</f>
        <v>#</v>
      </c>
      <c r="N33">
        <v>0</v>
      </c>
      <c r="O33">
        <v>10080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 s="3" t="str">
        <f>CommonItem!A34</f>
        <v>#</v>
      </c>
      <c r="B34" s="3" t="str">
        <f>CommonItem!B34</f>
        <v>妖兽-无相·花颂锤（永久）</v>
      </c>
      <c r="C34" s="3" t="str">
        <f>CommonItem!C34</f>
        <v>无相·花颂锤（永久）</v>
      </c>
      <c r="D34">
        <v>221</v>
      </c>
      <c r="E34">
        <v>-1</v>
      </c>
      <c r="F34">
        <v>-1</v>
      </c>
      <c r="G34">
        <v>1</v>
      </c>
      <c r="H34">
        <v>-1</v>
      </c>
      <c r="I34">
        <v>0</v>
      </c>
      <c r="J34">
        <v>1</v>
      </c>
      <c r="K34">
        <v>-1</v>
      </c>
      <c r="L34">
        <v>0</v>
      </c>
      <c r="M34" s="3" t="str">
        <f t="shared" ref="M34:M52" si="4">M33</f>
        <v>#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 s="3" t="str">
        <f>CommonItem!A35</f>
        <v>#</v>
      </c>
      <c r="B35" s="3" t="str">
        <f>CommonItem!B35</f>
        <v>羽芒-无相·花颂弓（7天）</v>
      </c>
      <c r="C35" s="3" t="str">
        <f>CommonItem!C35</f>
        <v>无相·花颂弓（7天）</v>
      </c>
      <c r="D35">
        <v>221</v>
      </c>
      <c r="E35">
        <v>-1</v>
      </c>
      <c r="F35">
        <v>-1</v>
      </c>
      <c r="G35">
        <v>1</v>
      </c>
      <c r="H35">
        <v>-1</v>
      </c>
      <c r="I35">
        <v>0</v>
      </c>
      <c r="J35">
        <v>1</v>
      </c>
      <c r="K35">
        <v>-1</v>
      </c>
      <c r="L35">
        <v>0</v>
      </c>
      <c r="M35" s="3" t="str">
        <f t="shared" si="4"/>
        <v>#</v>
      </c>
      <c r="N35">
        <v>0</v>
      </c>
      <c r="O35">
        <v>10080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 s="3" t="str">
        <f>CommonItem!A36</f>
        <v>#</v>
      </c>
      <c r="B36" s="3" t="str">
        <f>CommonItem!B36</f>
        <v>羽芒-无相·花颂弓（永久）</v>
      </c>
      <c r="C36" s="3" t="str">
        <f>CommonItem!C36</f>
        <v>无相·花颂弓（永久）</v>
      </c>
      <c r="D36">
        <v>221</v>
      </c>
      <c r="E36">
        <v>-1</v>
      </c>
      <c r="F36">
        <v>-1</v>
      </c>
      <c r="G36">
        <v>1</v>
      </c>
      <c r="H36">
        <v>-1</v>
      </c>
      <c r="I36">
        <v>0</v>
      </c>
      <c r="J36">
        <v>1</v>
      </c>
      <c r="K36">
        <v>-1</v>
      </c>
      <c r="L36">
        <v>0</v>
      </c>
      <c r="M36" s="3" t="str">
        <f t="shared" si="4"/>
        <v>#</v>
      </c>
      <c r="N36">
        <v>0</v>
      </c>
      <c r="O36">
        <v>-1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 s="3" t="str">
        <f>CommonItem!A37</f>
        <v>#</v>
      </c>
      <c r="B37" s="3" t="str">
        <f>CommonItem!B37</f>
        <v>法师-无相·花颂剑（7天）</v>
      </c>
      <c r="C37" s="3" t="str">
        <f>CommonItem!C37</f>
        <v>无相·花颂剑（7天）</v>
      </c>
      <c r="D37">
        <v>221</v>
      </c>
      <c r="E37">
        <v>-1</v>
      </c>
      <c r="F37">
        <v>-1</v>
      </c>
      <c r="G37">
        <v>1</v>
      </c>
      <c r="H37">
        <v>-1</v>
      </c>
      <c r="I37">
        <v>0</v>
      </c>
      <c r="J37">
        <v>1</v>
      </c>
      <c r="K37">
        <v>-1</v>
      </c>
      <c r="L37">
        <v>0</v>
      </c>
      <c r="M37" s="3" t="str">
        <f t="shared" si="4"/>
        <v>#</v>
      </c>
      <c r="N37">
        <v>0</v>
      </c>
      <c r="O37">
        <v>10080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 s="3" t="str">
        <f>CommonItem!A38</f>
        <v>#</v>
      </c>
      <c r="B38" s="3" t="str">
        <f>CommonItem!B38</f>
        <v>法师-无相·花颂剑（永久）</v>
      </c>
      <c r="C38" s="3" t="str">
        <f>CommonItem!C38</f>
        <v>无相·花颂剑（永久）</v>
      </c>
      <c r="D38">
        <v>221</v>
      </c>
      <c r="E38">
        <v>-1</v>
      </c>
      <c r="F38">
        <v>-1</v>
      </c>
      <c r="G38">
        <v>1</v>
      </c>
      <c r="H38">
        <v>-1</v>
      </c>
      <c r="I38">
        <v>0</v>
      </c>
      <c r="J38">
        <v>1</v>
      </c>
      <c r="K38">
        <v>-1</v>
      </c>
      <c r="L38">
        <v>0</v>
      </c>
      <c r="M38" s="3" t="str">
        <f t="shared" si="4"/>
        <v>#</v>
      </c>
      <c r="N38">
        <v>0</v>
      </c>
      <c r="O38">
        <v>-1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 s="3" t="str">
        <f>CommonItem!A39</f>
        <v>#</v>
      </c>
      <c r="B39" s="3" t="str">
        <f>CommonItem!B39</f>
        <v>羽灵-无相·花颂环（7天）</v>
      </c>
      <c r="C39" s="3" t="str">
        <f>CommonItem!C39</f>
        <v>无相·花颂环（7天）</v>
      </c>
      <c r="D39">
        <v>221</v>
      </c>
      <c r="E39">
        <v>-1</v>
      </c>
      <c r="F39">
        <v>-1</v>
      </c>
      <c r="G39">
        <v>1</v>
      </c>
      <c r="H39">
        <v>-1</v>
      </c>
      <c r="I39">
        <v>0</v>
      </c>
      <c r="J39">
        <v>1</v>
      </c>
      <c r="K39">
        <v>-1</v>
      </c>
      <c r="L39">
        <v>0</v>
      </c>
      <c r="M39" s="3" t="str">
        <f t="shared" si="4"/>
        <v>#</v>
      </c>
      <c r="N39">
        <v>0</v>
      </c>
      <c r="O39">
        <v>10080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 s="3" t="str">
        <f>CommonItem!A40</f>
        <v>#</v>
      </c>
      <c r="B40" s="3" t="str">
        <f>CommonItem!B40</f>
        <v>羽灵-无相·花颂环（永久）</v>
      </c>
      <c r="C40" s="3" t="str">
        <f>CommonItem!C40</f>
        <v>无相·花颂环（永久）</v>
      </c>
      <c r="D40">
        <v>221</v>
      </c>
      <c r="E40">
        <v>-1</v>
      </c>
      <c r="F40">
        <v>-1</v>
      </c>
      <c r="G40">
        <v>1</v>
      </c>
      <c r="H40">
        <v>-1</v>
      </c>
      <c r="I40">
        <v>0</v>
      </c>
      <c r="J40">
        <v>1</v>
      </c>
      <c r="K40">
        <v>-1</v>
      </c>
      <c r="L40">
        <v>0</v>
      </c>
      <c r="M40" s="3" t="str">
        <f t="shared" si="4"/>
        <v>#</v>
      </c>
      <c r="N40">
        <v>0</v>
      </c>
      <c r="O40">
        <v>-1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 s="3" t="str">
        <f>CommonItem!A41</f>
        <v>#</v>
      </c>
      <c r="B41" s="3" t="str">
        <f>CommonItem!B41</f>
        <v>妖精-无相·花颂杖（7天）</v>
      </c>
      <c r="C41" s="3" t="str">
        <f>CommonItem!C41</f>
        <v>无相·花颂杖（7天）</v>
      </c>
      <c r="D41">
        <v>221</v>
      </c>
      <c r="E41">
        <v>-1</v>
      </c>
      <c r="F41">
        <v>-1</v>
      </c>
      <c r="G41">
        <v>1</v>
      </c>
      <c r="H41">
        <v>-1</v>
      </c>
      <c r="I41">
        <v>0</v>
      </c>
      <c r="J41">
        <v>1</v>
      </c>
      <c r="K41">
        <v>-1</v>
      </c>
      <c r="L41">
        <v>0</v>
      </c>
      <c r="M41" s="3" t="str">
        <f t="shared" si="4"/>
        <v>#</v>
      </c>
      <c r="N41">
        <v>0</v>
      </c>
      <c r="O41">
        <v>10080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3" t="str">
        <f>CommonItem!A42</f>
        <v>#</v>
      </c>
      <c r="B42" s="3" t="str">
        <f>CommonItem!B42</f>
        <v>妖精-无相·花颂杖（永久）</v>
      </c>
      <c r="C42" s="3" t="str">
        <f>CommonItem!C42</f>
        <v>无相·花颂杖（永久）</v>
      </c>
      <c r="D42">
        <v>221</v>
      </c>
      <c r="E42">
        <v>-1</v>
      </c>
      <c r="F42">
        <v>-1</v>
      </c>
      <c r="G42">
        <v>1</v>
      </c>
      <c r="H42">
        <v>-1</v>
      </c>
      <c r="I42">
        <v>0</v>
      </c>
      <c r="J42">
        <v>1</v>
      </c>
      <c r="K42">
        <v>-1</v>
      </c>
      <c r="L42">
        <v>0</v>
      </c>
      <c r="M42" s="3" t="str">
        <f t="shared" si="4"/>
        <v>#</v>
      </c>
      <c r="N42">
        <v>0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s="3" t="str">
        <f>CommonItem!A43</f>
        <v>#</v>
      </c>
      <c r="B43" s="3" t="str">
        <f>CommonItem!B43</f>
        <v>武侠-无相·花颂兵（7天）</v>
      </c>
      <c r="C43" s="3" t="str">
        <f>CommonItem!C43</f>
        <v>无相·花颂兵（7天）</v>
      </c>
      <c r="D43">
        <v>221</v>
      </c>
      <c r="E43">
        <v>-1</v>
      </c>
      <c r="F43">
        <v>-1</v>
      </c>
      <c r="G43">
        <v>1</v>
      </c>
      <c r="H43">
        <v>-1</v>
      </c>
      <c r="I43">
        <v>0</v>
      </c>
      <c r="J43">
        <v>1</v>
      </c>
      <c r="K43">
        <v>-1</v>
      </c>
      <c r="L43">
        <v>0</v>
      </c>
      <c r="M43" s="3" t="str">
        <f t="shared" si="4"/>
        <v>#</v>
      </c>
      <c r="N43">
        <v>0</v>
      </c>
      <c r="O43">
        <v>10080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s="3" t="str">
        <f>CommonItem!A44</f>
        <v>#</v>
      </c>
      <c r="B44" s="3" t="str">
        <f>CommonItem!B44</f>
        <v>武侠-无相·花颂兵（永久）</v>
      </c>
      <c r="C44" s="3" t="str">
        <f>CommonItem!C44</f>
        <v>无相·花颂兵（永久）</v>
      </c>
      <c r="D44">
        <v>221</v>
      </c>
      <c r="E44">
        <v>-1</v>
      </c>
      <c r="F44">
        <v>-1</v>
      </c>
      <c r="G44">
        <v>1</v>
      </c>
      <c r="H44">
        <v>-1</v>
      </c>
      <c r="I44">
        <v>0</v>
      </c>
      <c r="J44">
        <v>1</v>
      </c>
      <c r="K44">
        <v>-1</v>
      </c>
      <c r="L44">
        <v>0</v>
      </c>
      <c r="M44" s="3" t="str">
        <f t="shared" si="4"/>
        <v>#</v>
      </c>
      <c r="N44">
        <v>0</v>
      </c>
      <c r="O44">
        <v>-1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s="3" t="str">
        <f>CommonItem!A45</f>
        <v>#</v>
      </c>
      <c r="B45" s="3" t="str">
        <f>CommonItem!B45</f>
        <v>妖刃-无相·花颂刃（7天）</v>
      </c>
      <c r="C45" s="3" t="str">
        <f>CommonItem!C45</f>
        <v>无相·花颂刃（7天）</v>
      </c>
      <c r="D45">
        <v>221</v>
      </c>
      <c r="E45">
        <v>-1</v>
      </c>
      <c r="F45">
        <v>-1</v>
      </c>
      <c r="G45">
        <v>1</v>
      </c>
      <c r="H45">
        <v>-1</v>
      </c>
      <c r="I45">
        <v>0</v>
      </c>
      <c r="J45">
        <v>1</v>
      </c>
      <c r="K45">
        <v>-1</v>
      </c>
      <c r="L45">
        <v>0</v>
      </c>
      <c r="M45" s="3" t="str">
        <f t="shared" si="4"/>
        <v>#</v>
      </c>
      <c r="N45">
        <v>0</v>
      </c>
      <c r="O45">
        <v>10080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s="3" t="str">
        <f>CommonItem!A46</f>
        <v>#</v>
      </c>
      <c r="B46" s="3" t="str">
        <f>CommonItem!B46</f>
        <v>妖刃-无相·花颂刃（永久）</v>
      </c>
      <c r="C46" s="3" t="str">
        <f>CommonItem!C46</f>
        <v>无相·花颂刃（永久）</v>
      </c>
      <c r="D46">
        <v>221</v>
      </c>
      <c r="E46">
        <v>-1</v>
      </c>
      <c r="F46">
        <v>-1</v>
      </c>
      <c r="G46">
        <v>1</v>
      </c>
      <c r="H46">
        <v>-1</v>
      </c>
      <c r="I46">
        <v>0</v>
      </c>
      <c r="J46">
        <v>1</v>
      </c>
      <c r="K46">
        <v>-1</v>
      </c>
      <c r="L46">
        <v>0</v>
      </c>
      <c r="M46" s="3" t="str">
        <f t="shared" si="4"/>
        <v>#</v>
      </c>
      <c r="N46">
        <v>0</v>
      </c>
      <c r="O46">
        <v>-1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 s="3" t="str">
        <f>CommonItem!A47</f>
        <v>#</v>
      </c>
      <c r="B47" s="3" t="str">
        <f>CommonItem!B47</f>
        <v>羽岚-无相·花颂书（7天）</v>
      </c>
      <c r="C47" s="3" t="str">
        <f>CommonItem!C47</f>
        <v>无相·花颂书（7天）</v>
      </c>
      <c r="D47">
        <v>221</v>
      </c>
      <c r="E47">
        <v>-1</v>
      </c>
      <c r="F47">
        <v>-1</v>
      </c>
      <c r="G47">
        <v>1</v>
      </c>
      <c r="H47">
        <v>-1</v>
      </c>
      <c r="I47">
        <v>0</v>
      </c>
      <c r="J47">
        <v>1</v>
      </c>
      <c r="K47">
        <v>-1</v>
      </c>
      <c r="L47">
        <v>0</v>
      </c>
      <c r="M47" s="3" t="str">
        <f t="shared" si="4"/>
        <v>#</v>
      </c>
      <c r="N47">
        <v>0</v>
      </c>
      <c r="O47">
        <v>10080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 s="3" t="str">
        <f>CommonItem!A48</f>
        <v>#</v>
      </c>
      <c r="B48" s="3" t="str">
        <f>CommonItem!B48</f>
        <v>羽岚-无相·花颂书（永久）</v>
      </c>
      <c r="C48" s="3" t="str">
        <f>CommonItem!C48</f>
        <v>无相·花颂书（永久）</v>
      </c>
      <c r="D48">
        <v>221</v>
      </c>
      <c r="E48">
        <v>-1</v>
      </c>
      <c r="F48">
        <v>-1</v>
      </c>
      <c r="G48">
        <v>1</v>
      </c>
      <c r="H48">
        <v>-1</v>
      </c>
      <c r="I48">
        <v>0</v>
      </c>
      <c r="J48">
        <v>1</v>
      </c>
      <c r="K48">
        <v>-1</v>
      </c>
      <c r="L48">
        <v>0</v>
      </c>
      <c r="M48" s="3" t="str">
        <f t="shared" si="4"/>
        <v>#</v>
      </c>
      <c r="N48">
        <v>0</v>
      </c>
      <c r="O48">
        <v>-1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 s="3" t="str">
        <f>CommonItem!A49</f>
        <v>#</v>
      </c>
      <c r="B49" s="3" t="str">
        <f>CommonItem!B49</f>
        <v>刀刹-无相·花颂刀（7天）</v>
      </c>
      <c r="C49" s="3" t="str">
        <f>CommonItem!C49</f>
        <v>无相·花颂刀（7天）</v>
      </c>
      <c r="D49">
        <v>221</v>
      </c>
      <c r="E49">
        <v>-1</v>
      </c>
      <c r="F49">
        <v>-1</v>
      </c>
      <c r="G49">
        <v>1</v>
      </c>
      <c r="H49">
        <v>-1</v>
      </c>
      <c r="I49">
        <v>0</v>
      </c>
      <c r="J49">
        <v>1</v>
      </c>
      <c r="K49">
        <v>-1</v>
      </c>
      <c r="L49">
        <v>0</v>
      </c>
      <c r="M49" s="3" t="str">
        <f t="shared" si="4"/>
        <v>#</v>
      </c>
      <c r="N49">
        <v>0</v>
      </c>
      <c r="O49">
        <v>10080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s="3" t="str">
        <f>CommonItem!A50</f>
        <v>#</v>
      </c>
      <c r="B50" s="3" t="str">
        <f>CommonItem!B50</f>
        <v>刀刹-无相·花颂刀（永久）</v>
      </c>
      <c r="C50" s="3" t="str">
        <f>CommonItem!C50</f>
        <v>无相·花颂刀（永久）</v>
      </c>
      <c r="D50">
        <v>221</v>
      </c>
      <c r="E50">
        <v>-1</v>
      </c>
      <c r="F50">
        <v>-1</v>
      </c>
      <c r="G50">
        <v>1</v>
      </c>
      <c r="H50">
        <v>-1</v>
      </c>
      <c r="I50">
        <v>0</v>
      </c>
      <c r="J50">
        <v>1</v>
      </c>
      <c r="K50">
        <v>-1</v>
      </c>
      <c r="L50">
        <v>0</v>
      </c>
      <c r="M50" s="3" t="str">
        <f t="shared" si="4"/>
        <v>#</v>
      </c>
      <c r="N50">
        <v>0</v>
      </c>
      <c r="O50">
        <v>-1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3" t="str">
        <f>CommonItem!A51</f>
        <v>#</v>
      </c>
      <c r="B51" s="3" t="str">
        <f>CommonItem!B51</f>
        <v>月仙-无相·花颂镰（7天）</v>
      </c>
      <c r="C51" s="3" t="str">
        <f>CommonItem!C51</f>
        <v>无相·花颂镰（7天）</v>
      </c>
      <c r="D51">
        <v>221</v>
      </c>
      <c r="E51">
        <v>-1</v>
      </c>
      <c r="F51">
        <v>-1</v>
      </c>
      <c r="G51">
        <v>1</v>
      </c>
      <c r="H51">
        <v>-1</v>
      </c>
      <c r="I51">
        <v>0</v>
      </c>
      <c r="J51">
        <v>1</v>
      </c>
      <c r="K51">
        <v>-1</v>
      </c>
      <c r="L51">
        <v>0</v>
      </c>
      <c r="M51" s="3" t="str">
        <f t="shared" si="4"/>
        <v>#</v>
      </c>
      <c r="N51">
        <v>0</v>
      </c>
      <c r="O51">
        <v>10080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3" t="str">
        <f>CommonItem!A52</f>
        <v>#</v>
      </c>
      <c r="B52" s="3" t="str">
        <f>CommonItem!B52</f>
        <v>月仙-无相·花颂镰（永久）</v>
      </c>
      <c r="C52" s="3" t="str">
        <f>CommonItem!C52</f>
        <v>无相·花颂镰（永久）</v>
      </c>
      <c r="D52">
        <v>221</v>
      </c>
      <c r="E52">
        <v>-1</v>
      </c>
      <c r="F52">
        <v>-1</v>
      </c>
      <c r="G52">
        <v>1</v>
      </c>
      <c r="H52">
        <v>-1</v>
      </c>
      <c r="I52">
        <v>0</v>
      </c>
      <c r="J52">
        <v>1</v>
      </c>
      <c r="K52">
        <v>-1</v>
      </c>
      <c r="L52">
        <v>0</v>
      </c>
      <c r="M52" s="3" t="str">
        <f t="shared" si="4"/>
        <v>#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3">
        <f>CommonItem!A53</f>
        <v>35098</v>
      </c>
      <c r="B53" s="3" t="str">
        <f>CommonItem!B53</f>
        <v>双人动作-经典制皂</v>
      </c>
      <c r="C53" s="3" t="str">
        <f>CommonItem!C53</f>
        <v>双人动作：经典制皂</v>
      </c>
      <c r="D53">
        <v>273</v>
      </c>
      <c r="E53">
        <v>0</v>
      </c>
      <c r="F53">
        <v>-1</v>
      </c>
      <c r="G53">
        <v>1</v>
      </c>
      <c r="H53">
        <v>-1</v>
      </c>
      <c r="I53">
        <v>0</v>
      </c>
      <c r="J53">
        <v>1</v>
      </c>
      <c r="K53">
        <v>-1</v>
      </c>
      <c r="L53">
        <v>0</v>
      </c>
      <c r="M53">
        <v>0</v>
      </c>
      <c r="N53">
        <v>-1</v>
      </c>
      <c r="O53">
        <v>-1</v>
      </c>
      <c r="P53">
        <v>-1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2"/>
  <sheetViews>
    <sheetView topLeftCell="A19" workbookViewId="0">
      <selection activeCell="A51" sqref="$A51:$XFD52"/>
    </sheetView>
  </sheetViews>
  <sheetFormatPr defaultColWidth="9" defaultRowHeight="14.25"/>
  <cols>
    <col min="2" max="2" width="30.125" customWidth="1"/>
  </cols>
  <sheetData>
    <row r="1" s="1" customFormat="1" spans="1:28">
      <c r="A1" s="1" t="s">
        <v>312</v>
      </c>
      <c r="B1" s="1" t="s">
        <v>313</v>
      </c>
      <c r="C1" s="1" t="s">
        <v>563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  <c r="M1" s="1" t="s">
        <v>573</v>
      </c>
      <c r="N1" s="1" t="s">
        <v>574</v>
      </c>
      <c r="O1" s="1" t="s">
        <v>575</v>
      </c>
      <c r="P1" s="1" t="s">
        <v>576</v>
      </c>
      <c r="Q1" s="1" t="s">
        <v>577</v>
      </c>
      <c r="R1" s="1" t="s">
        <v>578</v>
      </c>
      <c r="S1" s="1" t="s">
        <v>579</v>
      </c>
      <c r="T1" s="1" t="s">
        <v>580</v>
      </c>
      <c r="U1" s="1" t="s">
        <v>581</v>
      </c>
      <c r="V1" s="1" t="s">
        <v>582</v>
      </c>
      <c r="W1" s="1" t="s">
        <v>583</v>
      </c>
      <c r="X1" s="1" t="s">
        <v>584</v>
      </c>
      <c r="Y1" s="1" t="s">
        <v>585</v>
      </c>
      <c r="Z1" s="1" t="s">
        <v>586</v>
      </c>
      <c r="AA1" s="1" t="s">
        <v>587</v>
      </c>
      <c r="AB1" s="1" t="s">
        <v>588</v>
      </c>
    </row>
    <row r="2" s="1" customFormat="1" spans="1:28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589</v>
      </c>
      <c r="J2" s="1" t="s">
        <v>589</v>
      </c>
      <c r="K2" s="1" t="s">
        <v>589</v>
      </c>
      <c r="L2" s="1" t="s">
        <v>589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316</v>
      </c>
      <c r="AB2" s="1" t="s">
        <v>315</v>
      </c>
    </row>
    <row r="3" s="1" customFormat="1" spans="1:18">
      <c r="A3" s="1" t="s">
        <v>590</v>
      </c>
      <c r="M3" s="1" t="s">
        <v>447</v>
      </c>
      <c r="R3" s="1" t="s">
        <v>447</v>
      </c>
    </row>
    <row r="4" s="1" customFormat="1" spans="1:28">
      <c r="A4" s="1" t="s">
        <v>448</v>
      </c>
      <c r="B4" s="1" t="s">
        <v>591</v>
      </c>
      <c r="C4" s="1" t="s">
        <v>592</v>
      </c>
      <c r="D4" s="1" t="s">
        <v>593</v>
      </c>
      <c r="E4" s="1" t="s">
        <v>594</v>
      </c>
      <c r="F4" s="1" t="s">
        <v>595</v>
      </c>
      <c r="G4" s="1" t="s">
        <v>596</v>
      </c>
      <c r="H4" s="1" t="s">
        <v>262</v>
      </c>
      <c r="I4" s="1" t="s">
        <v>597</v>
      </c>
      <c r="J4" s="1" t="s">
        <v>598</v>
      </c>
      <c r="K4" s="1" t="s">
        <v>599</v>
      </c>
      <c r="L4" s="1" t="s">
        <v>600</v>
      </c>
      <c r="M4" s="1" t="s">
        <v>601</v>
      </c>
      <c r="N4" s="1" t="s">
        <v>602</v>
      </c>
      <c r="O4" s="1" t="s">
        <v>603</v>
      </c>
      <c r="P4" s="1" t="s">
        <v>604</v>
      </c>
      <c r="Q4" s="1" t="s">
        <v>605</v>
      </c>
      <c r="R4" s="1" t="s">
        <v>606</v>
      </c>
      <c r="S4" s="1" t="s">
        <v>607</v>
      </c>
      <c r="T4" s="1" t="s">
        <v>608</v>
      </c>
      <c r="U4" s="1" t="s">
        <v>609</v>
      </c>
      <c r="V4" s="1" t="s">
        <v>610</v>
      </c>
      <c r="W4" s="1" t="s">
        <v>611</v>
      </c>
      <c r="X4" s="1" t="s">
        <v>612</v>
      </c>
      <c r="Y4" s="1" t="s">
        <v>613</v>
      </c>
      <c r="Z4" s="1" t="s">
        <v>614</v>
      </c>
      <c r="AA4" s="1" t="s">
        <v>615</v>
      </c>
      <c r="AB4" s="1" t="s">
        <v>616</v>
      </c>
    </row>
    <row r="5" spans="1:28">
      <c r="A5" s="7" t="str">
        <f>IF(配置总览!$B$4="导出",配置总览!H8,"#")</f>
        <v>#</v>
      </c>
      <c r="B5" s="3" t="str">
        <f>CommonItem!B5</f>
        <v>蜜语轻舞·头（7天）（男）</v>
      </c>
      <c r="C5">
        <v>13</v>
      </c>
      <c r="D5" s="3" t="str">
        <f>CommonItem!A5</f>
        <v>#</v>
      </c>
      <c r="E5">
        <v>1</v>
      </c>
      <c r="F5" s="7">
        <f>VLOOKUP(配置总览!$I$4,信息辅助!$D$4:$J$7,5,0)</f>
        <v>75</v>
      </c>
      <c r="G5">
        <v>2</v>
      </c>
      <c r="H5" s="3">
        <f>F5</f>
        <v>75</v>
      </c>
      <c r="I5">
        <v>-1</v>
      </c>
      <c r="J5">
        <v>-1</v>
      </c>
      <c r="K5">
        <v>-1</v>
      </c>
      <c r="L5">
        <v>-1</v>
      </c>
      <c r="M5">
        <v>0</v>
      </c>
      <c r="N5">
        <v>0</v>
      </c>
      <c r="O5">
        <v>0</v>
      </c>
      <c r="P5" s="7">
        <f>配置总览!H11</f>
        <v>0</v>
      </c>
      <c r="Q5" s="7">
        <f>配置总览!H13</f>
        <v>0</v>
      </c>
      <c r="R5">
        <v>500</v>
      </c>
      <c r="S5">
        <v>-1</v>
      </c>
      <c r="T5">
        <v>-1</v>
      </c>
      <c r="U5">
        <v>-1</v>
      </c>
      <c r="V5">
        <v>-1</v>
      </c>
      <c r="W5">
        <v>1</v>
      </c>
      <c r="X5">
        <v>999</v>
      </c>
      <c r="Y5">
        <v>0</v>
      </c>
      <c r="Z5">
        <v>0</v>
      </c>
      <c r="AA5">
        <v>-1</v>
      </c>
      <c r="AB5">
        <v>-1</v>
      </c>
    </row>
    <row r="6" spans="1:28">
      <c r="A6" s="3" t="str">
        <f>IFERROR(A5+1,"#")</f>
        <v>#</v>
      </c>
      <c r="B6" s="3" t="str">
        <f>CommonItem!B6</f>
        <v>蜜语轻舞·头（永久）（男）</v>
      </c>
      <c r="C6">
        <v>13</v>
      </c>
      <c r="D6" s="3" t="str">
        <f>CommonItem!A6</f>
        <v>#</v>
      </c>
      <c r="E6">
        <v>1</v>
      </c>
      <c r="F6" s="7">
        <f>VLOOKUP(配置总览!$I$4,信息辅助!$D$4:$J$7,6,0)</f>
        <v>300</v>
      </c>
      <c r="G6">
        <v>2</v>
      </c>
      <c r="H6" s="7">
        <f>VLOOKUP(配置总览!$I$4,信息辅助!$D$4:$J$7,7,0)</f>
        <v>265</v>
      </c>
      <c r="I6">
        <v>-1</v>
      </c>
      <c r="J6">
        <v>-1</v>
      </c>
      <c r="K6">
        <v>-1</v>
      </c>
      <c r="L6">
        <v>-1</v>
      </c>
      <c r="M6">
        <v>0</v>
      </c>
      <c r="N6">
        <v>0</v>
      </c>
      <c r="O6">
        <v>0</v>
      </c>
      <c r="P6" s="3">
        <f>P5</f>
        <v>0</v>
      </c>
      <c r="Q6" s="3">
        <f>Q5</f>
        <v>0</v>
      </c>
      <c r="R6">
        <v>500</v>
      </c>
      <c r="S6">
        <v>-1</v>
      </c>
      <c r="T6">
        <v>-1</v>
      </c>
      <c r="U6">
        <v>-1</v>
      </c>
      <c r="V6">
        <v>-1</v>
      </c>
      <c r="W6">
        <v>1</v>
      </c>
      <c r="X6">
        <v>999</v>
      </c>
      <c r="Y6">
        <v>0</v>
      </c>
      <c r="Z6">
        <v>0</v>
      </c>
      <c r="AA6">
        <v>-1</v>
      </c>
      <c r="AB6">
        <v>1</v>
      </c>
    </row>
    <row r="7" spans="1:28">
      <c r="A7" s="3" t="str">
        <f>IFERROR(A6+1,"#")</f>
        <v>#</v>
      </c>
      <c r="B7" s="3" t="str">
        <f>CommonItem!B7</f>
        <v>蜜语轻舞·头（7天）（女）</v>
      </c>
      <c r="C7">
        <v>13</v>
      </c>
      <c r="D7" s="3" t="str">
        <f>CommonItem!A7</f>
        <v>#</v>
      </c>
      <c r="E7">
        <v>1</v>
      </c>
      <c r="F7" s="7">
        <f>VLOOKUP(配置总览!$I$4,信息辅助!$D$4:$J$7,5,0)</f>
        <v>75</v>
      </c>
      <c r="G7">
        <v>2</v>
      </c>
      <c r="H7" s="3">
        <f>F7</f>
        <v>75</v>
      </c>
      <c r="I7">
        <v>-1</v>
      </c>
      <c r="J7">
        <v>-1</v>
      </c>
      <c r="K7">
        <v>-1</v>
      </c>
      <c r="L7">
        <v>-1</v>
      </c>
      <c r="M7">
        <v>0</v>
      </c>
      <c r="N7">
        <v>0</v>
      </c>
      <c r="O7">
        <v>0</v>
      </c>
      <c r="P7" s="3">
        <f t="shared" ref="P7:P8" si="0">P6</f>
        <v>0</v>
      </c>
      <c r="Q7" s="3">
        <f t="shared" ref="Q7:Q8" si="1">Q6</f>
        <v>0</v>
      </c>
      <c r="R7">
        <v>500</v>
      </c>
      <c r="S7">
        <v>-1</v>
      </c>
      <c r="T7">
        <v>-1</v>
      </c>
      <c r="U7">
        <v>-1</v>
      </c>
      <c r="V7">
        <v>-1</v>
      </c>
      <c r="W7">
        <v>1</v>
      </c>
      <c r="X7">
        <v>999</v>
      </c>
      <c r="Y7">
        <v>0</v>
      </c>
      <c r="Z7">
        <v>0</v>
      </c>
      <c r="AA7">
        <v>-1</v>
      </c>
      <c r="AB7">
        <v>-1</v>
      </c>
    </row>
    <row r="8" spans="1:28">
      <c r="A8" s="3" t="str">
        <f>IFERROR(A7+1,"#")</f>
        <v>#</v>
      </c>
      <c r="B8" s="3" t="str">
        <f>CommonItem!B8</f>
        <v>蜜语轻舞·头（永久）（女）</v>
      </c>
      <c r="C8">
        <v>13</v>
      </c>
      <c r="D8" s="3" t="str">
        <f>CommonItem!A8</f>
        <v>#</v>
      </c>
      <c r="E8">
        <v>1</v>
      </c>
      <c r="F8" s="7">
        <f>VLOOKUP(配置总览!$I$4,信息辅助!$D$4:$J$7,6,0)</f>
        <v>300</v>
      </c>
      <c r="G8">
        <v>2</v>
      </c>
      <c r="H8" s="7">
        <f>VLOOKUP(配置总览!$I$4,信息辅助!$D$4:$J$7,7,0)</f>
        <v>265</v>
      </c>
      <c r="I8">
        <v>-1</v>
      </c>
      <c r="J8">
        <v>-1</v>
      </c>
      <c r="K8">
        <v>-1</v>
      </c>
      <c r="L8">
        <v>-1</v>
      </c>
      <c r="M8">
        <v>0</v>
      </c>
      <c r="N8">
        <v>0</v>
      </c>
      <c r="O8">
        <v>0</v>
      </c>
      <c r="P8" s="3">
        <f t="shared" si="0"/>
        <v>0</v>
      </c>
      <c r="Q8" s="3">
        <f t="shared" si="1"/>
        <v>0</v>
      </c>
      <c r="R8">
        <v>500</v>
      </c>
      <c r="S8">
        <v>-1</v>
      </c>
      <c r="T8">
        <v>-1</v>
      </c>
      <c r="U8">
        <v>-1</v>
      </c>
      <c r="V8">
        <v>-1</v>
      </c>
      <c r="W8">
        <v>1</v>
      </c>
      <c r="X8">
        <v>999</v>
      </c>
      <c r="Y8">
        <v>0</v>
      </c>
      <c r="Z8">
        <v>0</v>
      </c>
      <c r="AA8">
        <v>-1</v>
      </c>
      <c r="AB8">
        <v>1</v>
      </c>
    </row>
    <row r="9" spans="1:28">
      <c r="A9" s="7" t="str">
        <f>IF(配置总览!$B$18="导出",配置总览!H22,"#")</f>
        <v>#</v>
      </c>
      <c r="B9" s="3" t="str">
        <f>CommonItem!B9</f>
        <v>蜜语轻舞（7天）（男）</v>
      </c>
      <c r="C9">
        <v>13</v>
      </c>
      <c r="D9" s="3" t="str">
        <f>CommonItem!A9</f>
        <v>#</v>
      </c>
      <c r="E9">
        <v>1</v>
      </c>
      <c r="F9" s="7">
        <f>VLOOKUP(配置总览!$I$18,信息辅助!$D$8:$J$11,5,0)</f>
        <v>250</v>
      </c>
      <c r="G9">
        <v>2</v>
      </c>
      <c r="H9" s="3">
        <f>F9</f>
        <v>250</v>
      </c>
      <c r="I9">
        <v>-1</v>
      </c>
      <c r="J9">
        <v>-1</v>
      </c>
      <c r="K9">
        <v>-1</v>
      </c>
      <c r="L9">
        <v>-1</v>
      </c>
      <c r="M9">
        <v>0</v>
      </c>
      <c r="N9">
        <v>0</v>
      </c>
      <c r="O9">
        <v>0</v>
      </c>
      <c r="P9" s="7">
        <f>配置总览!H25</f>
        <v>0</v>
      </c>
      <c r="Q9" s="7">
        <f>配置总览!H27</f>
        <v>0</v>
      </c>
      <c r="R9">
        <v>500</v>
      </c>
      <c r="S9">
        <v>-1</v>
      </c>
      <c r="T9">
        <v>-1</v>
      </c>
      <c r="U9">
        <v>-1</v>
      </c>
      <c r="V9">
        <v>-1</v>
      </c>
      <c r="W9">
        <v>1</v>
      </c>
      <c r="X9">
        <v>999</v>
      </c>
      <c r="Y9">
        <v>0</v>
      </c>
      <c r="Z9">
        <v>0</v>
      </c>
      <c r="AA9">
        <v>-1</v>
      </c>
      <c r="AB9">
        <v>-1</v>
      </c>
    </row>
    <row r="10" spans="1:28">
      <c r="A10" s="3" t="str">
        <f>IFERROR(A9+1,"#")</f>
        <v>#</v>
      </c>
      <c r="B10" s="3" t="str">
        <f>CommonItem!B10</f>
        <v>蜜语轻舞（永久）（男）</v>
      </c>
      <c r="C10">
        <v>13</v>
      </c>
      <c r="D10" s="3" t="str">
        <f>CommonItem!A10</f>
        <v>#</v>
      </c>
      <c r="E10">
        <v>1</v>
      </c>
      <c r="F10" s="7">
        <f>VLOOKUP(配置总览!$I$18,信息辅助!$D$8:$J$11,6,0)</f>
        <v>980</v>
      </c>
      <c r="G10">
        <v>2</v>
      </c>
      <c r="H10" s="7">
        <f>VLOOKUP(配置总览!$I$18,信息辅助!$D$8:$J$11,7,0)</f>
        <v>860</v>
      </c>
      <c r="I10">
        <v>-1</v>
      </c>
      <c r="J10">
        <v>-1</v>
      </c>
      <c r="K10">
        <v>-1</v>
      </c>
      <c r="L10">
        <v>-1</v>
      </c>
      <c r="M10">
        <v>0</v>
      </c>
      <c r="N10">
        <v>0</v>
      </c>
      <c r="O10">
        <v>0</v>
      </c>
      <c r="P10" s="3">
        <f t="shared" ref="P10:P12" si="2">P9</f>
        <v>0</v>
      </c>
      <c r="Q10" s="3">
        <f t="shared" ref="Q10:Q12" si="3">Q9</f>
        <v>0</v>
      </c>
      <c r="R10">
        <v>500</v>
      </c>
      <c r="S10">
        <v>-1</v>
      </c>
      <c r="T10">
        <v>-1</v>
      </c>
      <c r="U10">
        <v>-1</v>
      </c>
      <c r="V10">
        <v>-1</v>
      </c>
      <c r="W10">
        <v>1</v>
      </c>
      <c r="X10">
        <v>999</v>
      </c>
      <c r="Y10">
        <v>0</v>
      </c>
      <c r="Z10">
        <v>0</v>
      </c>
      <c r="AA10">
        <v>-1</v>
      </c>
      <c r="AB10">
        <v>1</v>
      </c>
    </row>
    <row r="11" spans="1:28">
      <c r="A11" s="3" t="str">
        <f>IFERROR(A10+1,"#")</f>
        <v>#</v>
      </c>
      <c r="B11" s="3" t="str">
        <f>CommonItem!B11</f>
        <v>蜜语轻舞（7天）（女）</v>
      </c>
      <c r="C11">
        <v>13</v>
      </c>
      <c r="D11" s="3" t="str">
        <f>CommonItem!A11</f>
        <v>#</v>
      </c>
      <c r="E11">
        <v>1</v>
      </c>
      <c r="F11" s="7">
        <f>VLOOKUP(配置总览!$I$18,信息辅助!$D$8:$J$11,5,0)</f>
        <v>250</v>
      </c>
      <c r="G11">
        <v>2</v>
      </c>
      <c r="H11" s="3">
        <f>F11</f>
        <v>250</v>
      </c>
      <c r="I11">
        <v>-1</v>
      </c>
      <c r="J11">
        <v>-1</v>
      </c>
      <c r="K11">
        <v>-1</v>
      </c>
      <c r="L11">
        <v>-1</v>
      </c>
      <c r="M11">
        <v>0</v>
      </c>
      <c r="N11">
        <v>0</v>
      </c>
      <c r="O11">
        <v>0</v>
      </c>
      <c r="P11" s="3">
        <f t="shared" si="2"/>
        <v>0</v>
      </c>
      <c r="Q11" s="3">
        <f t="shared" si="3"/>
        <v>0</v>
      </c>
      <c r="R11">
        <v>500</v>
      </c>
      <c r="S11">
        <v>-1</v>
      </c>
      <c r="T11">
        <v>-1</v>
      </c>
      <c r="U11">
        <v>-1</v>
      </c>
      <c r="V11">
        <v>-1</v>
      </c>
      <c r="W11">
        <v>1</v>
      </c>
      <c r="X11">
        <v>999</v>
      </c>
      <c r="Y11">
        <v>0</v>
      </c>
      <c r="Z11">
        <v>0</v>
      </c>
      <c r="AA11">
        <v>-1</v>
      </c>
      <c r="AB11">
        <v>-1</v>
      </c>
    </row>
    <row r="12" spans="1:28">
      <c r="A12" s="3" t="str">
        <f>IFERROR(A11+1,"#")</f>
        <v>#</v>
      </c>
      <c r="B12" s="3" t="str">
        <f>CommonItem!B12</f>
        <v>蜜语轻舞（永久）（女）</v>
      </c>
      <c r="C12">
        <v>13</v>
      </c>
      <c r="D12" s="3" t="str">
        <f>CommonItem!A12</f>
        <v>#</v>
      </c>
      <c r="E12">
        <v>1</v>
      </c>
      <c r="F12" s="7">
        <f>VLOOKUP(配置总览!$I$18,信息辅助!$D$8:$J$11,6,0)</f>
        <v>980</v>
      </c>
      <c r="G12">
        <v>2</v>
      </c>
      <c r="H12" s="7">
        <f>VLOOKUP(配置总览!$I$18,信息辅助!$D$8:$J$11,7,0)</f>
        <v>860</v>
      </c>
      <c r="I12">
        <v>-1</v>
      </c>
      <c r="J12">
        <v>-1</v>
      </c>
      <c r="K12">
        <v>-1</v>
      </c>
      <c r="L12">
        <v>-1</v>
      </c>
      <c r="M12">
        <v>0</v>
      </c>
      <c r="N12">
        <v>0</v>
      </c>
      <c r="O12">
        <v>0</v>
      </c>
      <c r="P12" s="3">
        <f t="shared" si="2"/>
        <v>0</v>
      </c>
      <c r="Q12" s="3">
        <f t="shared" si="3"/>
        <v>0</v>
      </c>
      <c r="R12">
        <v>500</v>
      </c>
      <c r="S12">
        <v>-1</v>
      </c>
      <c r="T12">
        <v>-1</v>
      </c>
      <c r="U12">
        <v>-1</v>
      </c>
      <c r="V12">
        <v>-1</v>
      </c>
      <c r="W12">
        <v>1</v>
      </c>
      <c r="X12">
        <v>999</v>
      </c>
      <c r="Y12">
        <v>0</v>
      </c>
      <c r="Z12">
        <v>0</v>
      </c>
      <c r="AA12">
        <v>-1</v>
      </c>
      <c r="AB12">
        <v>1</v>
      </c>
    </row>
    <row r="13" spans="1:28">
      <c r="A13" s="7" t="str">
        <f>IF(配置总览!$B$32="导出",配置总览!H36,"#")</f>
        <v>#</v>
      </c>
      <c r="B13" s="3" t="str">
        <f>"坐骑-"&amp;CommonItem!B13</f>
        <v>坐骑-小狗蛇-吉祥如亿（7天）</v>
      </c>
      <c r="C13">
        <v>14</v>
      </c>
      <c r="D13" s="3" t="str">
        <f>CommonItem!A13</f>
        <v>#</v>
      </c>
      <c r="E13">
        <v>1</v>
      </c>
      <c r="F13" s="7">
        <f>VLOOKUP(配置总览!$I$32,信息辅助!$D$12:$J$15,5,0)</f>
        <v>540</v>
      </c>
      <c r="G13">
        <v>2</v>
      </c>
      <c r="H13" s="3">
        <f>F13</f>
        <v>540</v>
      </c>
      <c r="I13">
        <v>-1</v>
      </c>
      <c r="J13">
        <v>-1</v>
      </c>
      <c r="K13">
        <v>-1</v>
      </c>
      <c r="L13">
        <v>-1</v>
      </c>
      <c r="M13">
        <v>0</v>
      </c>
      <c r="N13">
        <v>0</v>
      </c>
      <c r="O13">
        <v>0</v>
      </c>
      <c r="P13" s="7">
        <f>配置总览!H39</f>
        <v>0</v>
      </c>
      <c r="Q13" s="7">
        <f>配置总览!H41</f>
        <v>0</v>
      </c>
      <c r="R13">
        <v>500</v>
      </c>
      <c r="S13">
        <v>-1</v>
      </c>
      <c r="T13">
        <v>-1</v>
      </c>
      <c r="U13">
        <v>-1</v>
      </c>
      <c r="V13">
        <v>-1</v>
      </c>
      <c r="W13">
        <v>1</v>
      </c>
      <c r="X13">
        <v>999</v>
      </c>
      <c r="Y13">
        <v>0</v>
      </c>
      <c r="Z13">
        <v>0</v>
      </c>
      <c r="AA13">
        <v>-1</v>
      </c>
      <c r="AB13">
        <v>-1</v>
      </c>
    </row>
    <row r="14" spans="1:28">
      <c r="A14" s="3" t="str">
        <f>IFERROR(A13+1,"#")</f>
        <v>#</v>
      </c>
      <c r="B14" s="3" t="str">
        <f>"坐骑-"&amp;CommonItem!B14</f>
        <v>坐骑-小狗蛇-吉祥如亿（永久）</v>
      </c>
      <c r="C14">
        <v>14</v>
      </c>
      <c r="D14" s="3" t="str">
        <f>CommonItem!A14</f>
        <v>#</v>
      </c>
      <c r="E14">
        <v>1</v>
      </c>
      <c r="F14" s="7">
        <f>VLOOKUP(配置总览!$I$32,信息辅助!$D$12:$J$15,6,0)</f>
        <v>2240</v>
      </c>
      <c r="G14">
        <v>2</v>
      </c>
      <c r="H14" s="7">
        <f>VLOOKUP(配置总览!$I$32,信息辅助!$D$12:$J$15,7,0)</f>
        <v>2240</v>
      </c>
      <c r="I14">
        <v>-1</v>
      </c>
      <c r="J14">
        <v>-1</v>
      </c>
      <c r="K14">
        <v>-1</v>
      </c>
      <c r="L14">
        <v>-1</v>
      </c>
      <c r="M14">
        <v>0</v>
      </c>
      <c r="N14">
        <v>0</v>
      </c>
      <c r="O14">
        <v>0</v>
      </c>
      <c r="P14" s="3">
        <f t="shared" ref="P14" si="4">P13</f>
        <v>0</v>
      </c>
      <c r="Q14" s="3">
        <f t="shared" ref="Q14" si="5">Q13</f>
        <v>0</v>
      </c>
      <c r="R14">
        <v>500</v>
      </c>
      <c r="S14">
        <v>-1</v>
      </c>
      <c r="T14">
        <v>-1</v>
      </c>
      <c r="U14">
        <v>-1</v>
      </c>
      <c r="V14">
        <v>-1</v>
      </c>
      <c r="W14">
        <v>1</v>
      </c>
      <c r="X14">
        <v>999</v>
      </c>
      <c r="Y14">
        <v>0</v>
      </c>
      <c r="Z14">
        <v>0</v>
      </c>
      <c r="AA14">
        <v>-1</v>
      </c>
      <c r="AB14">
        <v>-1</v>
      </c>
    </row>
    <row r="15" spans="1:28">
      <c r="A15" s="7" t="str">
        <f>IF(配置总览!$B$46="导出",配置总览!H50,"#")</f>
        <v>#</v>
      </c>
      <c r="B15" s="3" t="str">
        <f>"飞行器-"&amp;CommonItem!B15</f>
        <v>飞行器-小飞猪（7天）</v>
      </c>
      <c r="C15">
        <v>14</v>
      </c>
      <c r="D15" s="3" t="str">
        <f>CommonItem!A15</f>
        <v>#</v>
      </c>
      <c r="E15">
        <v>1</v>
      </c>
      <c r="F15" s="7">
        <f>VLOOKUP(配置总览!$I$46,信息辅助!$D$16:$J$19,5,0)</f>
        <v>980</v>
      </c>
      <c r="G15">
        <v>2</v>
      </c>
      <c r="H15" s="3">
        <f>F15</f>
        <v>980</v>
      </c>
      <c r="I15">
        <v>-1</v>
      </c>
      <c r="J15">
        <v>-1</v>
      </c>
      <c r="K15">
        <v>-1</v>
      </c>
      <c r="L15">
        <v>-1</v>
      </c>
      <c r="M15">
        <v>0</v>
      </c>
      <c r="N15">
        <v>0</v>
      </c>
      <c r="O15">
        <v>0</v>
      </c>
      <c r="P15" s="7">
        <f>配置总览!H53</f>
        <v>0</v>
      </c>
      <c r="Q15" s="7">
        <f>配置总览!H55</f>
        <v>0</v>
      </c>
      <c r="R15">
        <v>500</v>
      </c>
      <c r="S15">
        <v>-1</v>
      </c>
      <c r="T15">
        <v>-1</v>
      </c>
      <c r="U15">
        <v>-1</v>
      </c>
      <c r="V15">
        <v>-1</v>
      </c>
      <c r="W15">
        <v>1</v>
      </c>
      <c r="X15">
        <v>999</v>
      </c>
      <c r="Y15">
        <v>0</v>
      </c>
      <c r="Z15">
        <v>0</v>
      </c>
      <c r="AA15">
        <v>-1</v>
      </c>
      <c r="AB15">
        <v>-1</v>
      </c>
    </row>
    <row r="16" spans="1:28">
      <c r="A16" s="3" t="str">
        <f>IFERROR(A15+1,"#")</f>
        <v>#</v>
      </c>
      <c r="B16" s="3" t="str">
        <f>"飞行器-"&amp;CommonItem!B16</f>
        <v>飞行器-小飞猪（永久）</v>
      </c>
      <c r="C16">
        <v>14</v>
      </c>
      <c r="D16" s="3" t="str">
        <f>CommonItem!A16</f>
        <v>#</v>
      </c>
      <c r="E16">
        <v>1</v>
      </c>
      <c r="F16" s="7">
        <f>VLOOKUP(配置总览!$I$46,信息辅助!$D$16:$J$19,6,0)</f>
        <v>3680</v>
      </c>
      <c r="G16">
        <v>2</v>
      </c>
      <c r="H16" s="7">
        <f>VLOOKUP(配置总览!$I$46,信息辅助!$D$16:$J$19,7,0)</f>
        <v>3250</v>
      </c>
      <c r="I16">
        <v>-1</v>
      </c>
      <c r="J16">
        <v>-1</v>
      </c>
      <c r="K16">
        <v>-1</v>
      </c>
      <c r="L16">
        <v>-1</v>
      </c>
      <c r="M16">
        <v>0</v>
      </c>
      <c r="N16">
        <v>0</v>
      </c>
      <c r="O16">
        <v>0</v>
      </c>
      <c r="P16" s="3">
        <f t="shared" ref="P16" si="6">P15</f>
        <v>0</v>
      </c>
      <c r="Q16" s="3">
        <f t="shared" ref="Q16" si="7">Q15</f>
        <v>0</v>
      </c>
      <c r="R16">
        <v>500</v>
      </c>
      <c r="S16">
        <v>-1</v>
      </c>
      <c r="T16">
        <v>-1</v>
      </c>
      <c r="U16">
        <v>-1</v>
      </c>
      <c r="V16">
        <v>-1</v>
      </c>
      <c r="W16">
        <v>1</v>
      </c>
      <c r="X16">
        <v>999</v>
      </c>
      <c r="Y16">
        <v>0</v>
      </c>
      <c r="Z16">
        <v>0</v>
      </c>
      <c r="AA16">
        <v>-1</v>
      </c>
      <c r="AB16">
        <v>-1</v>
      </c>
    </row>
    <row r="17" spans="1:28">
      <c r="A17" s="41" t="str">
        <f>IF(配置总览!$B$60="导出",配置总览!H64,"#")</f>
        <v>#</v>
      </c>
      <c r="B17" s="3" t="str">
        <f>"飞行器-"&amp;CommonItem!B17</f>
        <v>飞行器-仙玉台（7天）</v>
      </c>
      <c r="C17" s="37">
        <v>14</v>
      </c>
      <c r="D17" s="3" t="str">
        <f>CommonItem!A17</f>
        <v>#</v>
      </c>
      <c r="E17" s="37">
        <v>1</v>
      </c>
      <c r="F17" s="7">
        <f>VLOOKUP(配置总览!$I$60,信息辅助!$D$16:$J$19,5,0)</f>
        <v>980</v>
      </c>
      <c r="G17" s="37">
        <v>2</v>
      </c>
      <c r="H17" s="3">
        <f>F17</f>
        <v>980</v>
      </c>
      <c r="I17">
        <v>-1</v>
      </c>
      <c r="J17">
        <v>-1</v>
      </c>
      <c r="K17">
        <v>-1</v>
      </c>
      <c r="L17">
        <v>-1</v>
      </c>
      <c r="M17" s="37">
        <v>0</v>
      </c>
      <c r="N17" s="37">
        <v>0</v>
      </c>
      <c r="O17" s="37">
        <v>0</v>
      </c>
      <c r="P17" s="7">
        <f>配置总览!H67</f>
        <v>0</v>
      </c>
      <c r="Q17" s="7">
        <f>配置总览!H69</f>
        <v>0</v>
      </c>
      <c r="R17" s="37">
        <v>500</v>
      </c>
      <c r="S17" s="37">
        <v>-1</v>
      </c>
      <c r="T17" s="37">
        <v>-1</v>
      </c>
      <c r="U17" s="37">
        <v>-1</v>
      </c>
      <c r="V17" s="37">
        <v>-1</v>
      </c>
      <c r="W17">
        <v>1</v>
      </c>
      <c r="X17" s="37">
        <v>999</v>
      </c>
      <c r="Y17" s="37">
        <v>0</v>
      </c>
      <c r="Z17" s="37">
        <v>0</v>
      </c>
      <c r="AA17" s="37">
        <v>-1</v>
      </c>
      <c r="AB17" s="37">
        <v>-1</v>
      </c>
    </row>
    <row r="18" spans="1:28">
      <c r="A18" s="3" t="str">
        <f t="shared" ref="A18:A22" si="8">IFERROR(A17+1,"#")</f>
        <v>#</v>
      </c>
      <c r="B18" s="3" t="str">
        <f>"飞行器-"&amp;CommonItem!B18</f>
        <v>飞行器-仙玉台（永久）</v>
      </c>
      <c r="C18" s="37">
        <v>14</v>
      </c>
      <c r="D18" s="3" t="str">
        <f>CommonItem!A18</f>
        <v>#</v>
      </c>
      <c r="E18" s="37">
        <v>1</v>
      </c>
      <c r="F18" s="7">
        <f>VLOOKUP(配置总览!$I$60,信息辅助!$D$16:$J$19,6,0)</f>
        <v>3680</v>
      </c>
      <c r="G18" s="37">
        <v>2</v>
      </c>
      <c r="H18" s="7">
        <f>VLOOKUP(配置总览!$I$60,信息辅助!$D$16:$J$19,7,0)</f>
        <v>3250</v>
      </c>
      <c r="I18">
        <v>-1</v>
      </c>
      <c r="J18">
        <v>-1</v>
      </c>
      <c r="K18">
        <v>-1</v>
      </c>
      <c r="L18">
        <v>-1</v>
      </c>
      <c r="M18" s="37">
        <v>0</v>
      </c>
      <c r="N18" s="37">
        <v>0</v>
      </c>
      <c r="O18" s="37">
        <v>0</v>
      </c>
      <c r="P18" s="3">
        <f t="shared" ref="P18:Q22" si="9">P17</f>
        <v>0</v>
      </c>
      <c r="Q18" s="3">
        <f t="shared" si="9"/>
        <v>0</v>
      </c>
      <c r="R18" s="37">
        <v>500</v>
      </c>
      <c r="S18" s="37">
        <v>-1</v>
      </c>
      <c r="T18" s="37">
        <v>-1</v>
      </c>
      <c r="U18" s="37">
        <v>-1</v>
      </c>
      <c r="V18" s="37">
        <v>-1</v>
      </c>
      <c r="W18">
        <v>1</v>
      </c>
      <c r="X18" s="37">
        <v>999</v>
      </c>
      <c r="Y18" s="37">
        <v>0</v>
      </c>
      <c r="Z18" s="37">
        <v>0</v>
      </c>
      <c r="AA18" s="37">
        <v>-1</v>
      </c>
      <c r="AB18" s="37">
        <v>-1</v>
      </c>
    </row>
    <row r="19" spans="1:28">
      <c r="A19" s="41" t="str">
        <f>IF(配置总览!$B$61="导出",配置总览!H64+配置总览!A63*2,"#")</f>
        <v>#</v>
      </c>
      <c r="B19" s="3" t="str">
        <f>"飞行器-"&amp;CommonItem!B19</f>
        <v>飞行器-仙合翼（7天）</v>
      </c>
      <c r="C19" s="37">
        <v>14</v>
      </c>
      <c r="D19" s="3" t="str">
        <f>CommonItem!A19</f>
        <v>#</v>
      </c>
      <c r="E19" s="37">
        <v>1</v>
      </c>
      <c r="F19" s="49">
        <f>F17</f>
        <v>980</v>
      </c>
      <c r="G19" s="37">
        <v>2</v>
      </c>
      <c r="H19" s="49">
        <f>H17</f>
        <v>980</v>
      </c>
      <c r="I19">
        <v>-1</v>
      </c>
      <c r="J19">
        <v>-1</v>
      </c>
      <c r="K19">
        <v>-1</v>
      </c>
      <c r="L19">
        <v>-1</v>
      </c>
      <c r="M19" s="37">
        <v>0</v>
      </c>
      <c r="N19" s="37">
        <v>0</v>
      </c>
      <c r="O19" s="37">
        <v>0</v>
      </c>
      <c r="P19" s="3">
        <f t="shared" si="9"/>
        <v>0</v>
      </c>
      <c r="Q19" s="3">
        <f t="shared" si="9"/>
        <v>0</v>
      </c>
      <c r="R19" s="37">
        <v>500</v>
      </c>
      <c r="S19" s="37">
        <v>-1</v>
      </c>
      <c r="T19" s="37">
        <v>-1</v>
      </c>
      <c r="U19" s="37">
        <v>-1</v>
      </c>
      <c r="V19" s="37">
        <v>-1</v>
      </c>
      <c r="W19">
        <v>1</v>
      </c>
      <c r="X19" s="37">
        <v>999</v>
      </c>
      <c r="Y19" s="37">
        <v>0</v>
      </c>
      <c r="Z19" s="37">
        <v>0</v>
      </c>
      <c r="AA19" s="37">
        <v>-1</v>
      </c>
      <c r="AB19" s="37">
        <v>-1</v>
      </c>
    </row>
    <row r="20" spans="1:28">
      <c r="A20" s="3" t="str">
        <f t="shared" si="8"/>
        <v>#</v>
      </c>
      <c r="B20" s="3" t="str">
        <f>"飞行器-"&amp;CommonItem!B20</f>
        <v>飞行器-仙合翼（永久）</v>
      </c>
      <c r="C20" s="37">
        <v>14</v>
      </c>
      <c r="D20" s="3" t="str">
        <f>CommonItem!A20</f>
        <v>#</v>
      </c>
      <c r="E20" s="37">
        <v>1</v>
      </c>
      <c r="F20" s="49">
        <f t="shared" ref="F20:H22" si="10">F18</f>
        <v>3680</v>
      </c>
      <c r="G20" s="37">
        <v>2</v>
      </c>
      <c r="H20" s="49">
        <f t="shared" si="10"/>
        <v>3250</v>
      </c>
      <c r="I20">
        <v>-1</v>
      </c>
      <c r="J20">
        <v>-1</v>
      </c>
      <c r="K20">
        <v>-1</v>
      </c>
      <c r="L20">
        <v>-1</v>
      </c>
      <c r="M20" s="37">
        <v>0</v>
      </c>
      <c r="N20" s="37">
        <v>0</v>
      </c>
      <c r="O20" s="37">
        <v>0</v>
      </c>
      <c r="P20" s="3">
        <f t="shared" si="9"/>
        <v>0</v>
      </c>
      <c r="Q20" s="3">
        <f t="shared" si="9"/>
        <v>0</v>
      </c>
      <c r="R20" s="37">
        <v>500</v>
      </c>
      <c r="S20" s="37">
        <v>-1</v>
      </c>
      <c r="T20" s="37">
        <v>-1</v>
      </c>
      <c r="U20" s="37">
        <v>-1</v>
      </c>
      <c r="V20" s="37">
        <v>-1</v>
      </c>
      <c r="W20">
        <v>1</v>
      </c>
      <c r="X20" s="37">
        <v>999</v>
      </c>
      <c r="Y20" s="37">
        <v>0</v>
      </c>
      <c r="Z20" s="37">
        <v>0</v>
      </c>
      <c r="AA20" s="37">
        <v>-1</v>
      </c>
      <c r="AB20" s="37">
        <v>-1</v>
      </c>
    </row>
    <row r="21" spans="1:28">
      <c r="A21" s="7" t="str">
        <f>IF(配置总览!$B$62="导出",配置总览!H64+配置总览!A64*2,"#")</f>
        <v>#</v>
      </c>
      <c r="B21" s="3" t="str">
        <f>"飞行器-"&amp;CommonItem!B21</f>
        <v>飞行器-白玉仙（7天）</v>
      </c>
      <c r="C21" s="37">
        <v>14</v>
      </c>
      <c r="D21" s="3" t="str">
        <f>CommonItem!A21</f>
        <v>#</v>
      </c>
      <c r="E21" s="37">
        <v>1</v>
      </c>
      <c r="F21" s="49">
        <f t="shared" si="10"/>
        <v>980</v>
      </c>
      <c r="G21" s="37">
        <v>2</v>
      </c>
      <c r="H21" s="49">
        <f t="shared" si="10"/>
        <v>980</v>
      </c>
      <c r="I21">
        <v>-1</v>
      </c>
      <c r="J21">
        <v>-1</v>
      </c>
      <c r="K21">
        <v>-1</v>
      </c>
      <c r="L21">
        <v>-1</v>
      </c>
      <c r="M21" s="37">
        <v>0</v>
      </c>
      <c r="N21" s="37">
        <v>0</v>
      </c>
      <c r="O21" s="37">
        <v>0</v>
      </c>
      <c r="P21" s="3">
        <f t="shared" si="9"/>
        <v>0</v>
      </c>
      <c r="Q21" s="3">
        <f t="shared" si="9"/>
        <v>0</v>
      </c>
      <c r="R21" s="37">
        <v>500</v>
      </c>
      <c r="S21" s="37">
        <v>-1</v>
      </c>
      <c r="T21" s="37">
        <v>-1</v>
      </c>
      <c r="U21" s="37">
        <v>-1</v>
      </c>
      <c r="V21" s="37">
        <v>-1</v>
      </c>
      <c r="W21">
        <v>1</v>
      </c>
      <c r="X21" s="37">
        <v>999</v>
      </c>
      <c r="Y21" s="37">
        <v>0</v>
      </c>
      <c r="Z21" s="37">
        <v>0</v>
      </c>
      <c r="AA21" s="37">
        <v>-1</v>
      </c>
      <c r="AB21" s="37">
        <v>-1</v>
      </c>
    </row>
    <row r="22" spans="1:28">
      <c r="A22" s="3" t="str">
        <f t="shared" si="8"/>
        <v>#</v>
      </c>
      <c r="B22" s="3" t="str">
        <f>"飞行器-"&amp;CommonItem!B22</f>
        <v>飞行器-白玉仙（永久）</v>
      </c>
      <c r="C22" s="37">
        <v>14</v>
      </c>
      <c r="D22" s="3" t="str">
        <f>CommonItem!A22</f>
        <v>#</v>
      </c>
      <c r="E22" s="37">
        <v>1</v>
      </c>
      <c r="F22" s="49">
        <f t="shared" si="10"/>
        <v>3680</v>
      </c>
      <c r="G22" s="37">
        <v>2</v>
      </c>
      <c r="H22" s="49">
        <f t="shared" si="10"/>
        <v>3250</v>
      </c>
      <c r="I22">
        <v>-1</v>
      </c>
      <c r="J22">
        <v>-1</v>
      </c>
      <c r="K22">
        <v>-1</v>
      </c>
      <c r="L22">
        <v>-1</v>
      </c>
      <c r="M22" s="37">
        <v>0</v>
      </c>
      <c r="N22" s="37">
        <v>0</v>
      </c>
      <c r="O22" s="37">
        <v>0</v>
      </c>
      <c r="P22" s="3">
        <f t="shared" si="9"/>
        <v>0</v>
      </c>
      <c r="Q22" s="3">
        <f t="shared" si="9"/>
        <v>0</v>
      </c>
      <c r="R22" s="37">
        <v>500</v>
      </c>
      <c r="S22" s="37">
        <v>-1</v>
      </c>
      <c r="T22" s="37">
        <v>-1</v>
      </c>
      <c r="U22" s="37">
        <v>-1</v>
      </c>
      <c r="V22" s="37">
        <v>-1</v>
      </c>
      <c r="W22">
        <v>1</v>
      </c>
      <c r="X22" s="37">
        <v>999</v>
      </c>
      <c r="Y22" s="37">
        <v>0</v>
      </c>
      <c r="Z22" s="37">
        <v>0</v>
      </c>
      <c r="AA22" s="37">
        <v>-1</v>
      </c>
      <c r="AB22" s="37">
        <v>-1</v>
      </c>
    </row>
    <row r="23" spans="1:28">
      <c r="A23" s="7" t="str">
        <f>IF(配置总览!$B$74="导出",配置总览!H78,"#")</f>
        <v>#</v>
      </c>
      <c r="B23" s="3" t="str">
        <f>"背饰-"&amp;CommonItem!B23</f>
        <v>背饰-野趣风尚（7天）</v>
      </c>
      <c r="C23">
        <v>13</v>
      </c>
      <c r="D23" s="3" t="str">
        <f>CommonItem!A23</f>
        <v>#</v>
      </c>
      <c r="E23">
        <v>1</v>
      </c>
      <c r="F23" s="7">
        <f>VLOOKUP(配置总览!$I$74,信息辅助!$D$24:$J$27,5,0)</f>
        <v>120</v>
      </c>
      <c r="G23">
        <v>2</v>
      </c>
      <c r="H23" s="3">
        <f>F23</f>
        <v>120</v>
      </c>
      <c r="I23">
        <v>-1</v>
      </c>
      <c r="J23">
        <v>-1</v>
      </c>
      <c r="K23">
        <v>-1</v>
      </c>
      <c r="L23">
        <v>-1</v>
      </c>
      <c r="M23">
        <v>0</v>
      </c>
      <c r="N23">
        <v>0</v>
      </c>
      <c r="O23">
        <v>0</v>
      </c>
      <c r="P23" s="7">
        <f>配置总览!H81</f>
        <v>0</v>
      </c>
      <c r="Q23" s="7">
        <f>配置总览!H83</f>
        <v>0</v>
      </c>
      <c r="R23">
        <v>500</v>
      </c>
      <c r="S23">
        <v>-1</v>
      </c>
      <c r="T23">
        <v>-1</v>
      </c>
      <c r="U23">
        <v>-1</v>
      </c>
      <c r="V23">
        <v>-1</v>
      </c>
      <c r="W23">
        <v>1</v>
      </c>
      <c r="X23">
        <v>999</v>
      </c>
      <c r="Y23">
        <v>0</v>
      </c>
      <c r="Z23">
        <v>0</v>
      </c>
      <c r="AA23">
        <v>-1</v>
      </c>
      <c r="AB23">
        <v>-1</v>
      </c>
    </row>
    <row r="24" spans="1:28">
      <c r="A24" s="3" t="str">
        <f t="shared" ref="A24" si="11">IFERROR(A23+1,"#")</f>
        <v>#</v>
      </c>
      <c r="B24" s="3" t="str">
        <f>"背饰-"&amp;CommonItem!B24</f>
        <v>背饰-野趣风尚（永久）</v>
      </c>
      <c r="C24">
        <v>13</v>
      </c>
      <c r="D24" s="3" t="str">
        <f>CommonItem!A24</f>
        <v>#</v>
      </c>
      <c r="E24">
        <v>1</v>
      </c>
      <c r="F24" s="7">
        <f>VLOOKUP(配置总览!$I$74,信息辅助!$D$24:$J$27,6,0)</f>
        <v>450</v>
      </c>
      <c r="G24">
        <v>2</v>
      </c>
      <c r="H24" s="7">
        <f>VLOOKUP(配置总览!$I$74,信息辅助!$D$24:$J$27,7,0)</f>
        <v>450</v>
      </c>
      <c r="I24">
        <v>-1</v>
      </c>
      <c r="J24">
        <v>-1</v>
      </c>
      <c r="K24">
        <v>-1</v>
      </c>
      <c r="L24">
        <v>-1</v>
      </c>
      <c r="M24">
        <v>0</v>
      </c>
      <c r="N24">
        <v>0</v>
      </c>
      <c r="O24">
        <v>0</v>
      </c>
      <c r="P24" s="50">
        <f>P23</f>
        <v>0</v>
      </c>
      <c r="Q24" s="50">
        <f>Q23</f>
        <v>0</v>
      </c>
      <c r="R24">
        <v>500</v>
      </c>
      <c r="S24">
        <v>-1</v>
      </c>
      <c r="T24">
        <v>-1</v>
      </c>
      <c r="U24">
        <v>-1</v>
      </c>
      <c r="V24">
        <v>-1</v>
      </c>
      <c r="W24">
        <v>1</v>
      </c>
      <c r="X24">
        <v>999</v>
      </c>
      <c r="Y24">
        <v>0</v>
      </c>
      <c r="Z24">
        <v>0</v>
      </c>
      <c r="AA24">
        <v>-1</v>
      </c>
      <c r="AB24">
        <v>-1</v>
      </c>
    </row>
    <row r="25" s="2" customFormat="1" spans="1:28">
      <c r="A25" s="7" t="str">
        <f>IF(配置总览!$B$88="导出",配置总览!H92,"#")</f>
        <v>#</v>
      </c>
      <c r="B25" s="3" t="str">
        <f>"背饰-"&amp;CommonItem!B25</f>
        <v>背饰-星扇·宿（7天）</v>
      </c>
      <c r="C25" s="2">
        <v>13</v>
      </c>
      <c r="D25" s="3" t="str">
        <f>CommonItem!A25</f>
        <v>#</v>
      </c>
      <c r="E25" s="2">
        <v>1</v>
      </c>
      <c r="F25" s="2">
        <v>6480</v>
      </c>
      <c r="G25" s="2">
        <v>2</v>
      </c>
      <c r="H25" s="2">
        <v>6480</v>
      </c>
      <c r="I25" s="2">
        <v>-1</v>
      </c>
      <c r="J25" s="2">
        <v>-1</v>
      </c>
      <c r="K25" s="2">
        <v>-1</v>
      </c>
      <c r="L25" s="2">
        <v>-1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500</v>
      </c>
      <c r="S25" s="2">
        <v>-1</v>
      </c>
      <c r="T25" s="2">
        <v>-1</v>
      </c>
      <c r="U25" s="2">
        <v>-1</v>
      </c>
      <c r="V25" s="2">
        <v>-1</v>
      </c>
      <c r="W25" s="2">
        <v>1</v>
      </c>
      <c r="X25" s="2">
        <v>999</v>
      </c>
      <c r="Y25" s="2">
        <v>0</v>
      </c>
      <c r="Z25" s="2">
        <v>0</v>
      </c>
      <c r="AA25" s="2">
        <v>-1</v>
      </c>
      <c r="AB25" s="2">
        <v>-1</v>
      </c>
    </row>
    <row r="26" s="2" customFormat="1" spans="1:28">
      <c r="A26" s="3" t="str">
        <f t="shared" ref="A26:A32" si="12">IFERROR(A25+1,"#")</f>
        <v>#</v>
      </c>
      <c r="B26" s="3" t="str">
        <f>"背饰-"&amp;CommonItem!B26</f>
        <v>背饰-星扇·宿（永久）</v>
      </c>
      <c r="C26" s="2">
        <v>13</v>
      </c>
      <c r="D26" s="3" t="str">
        <f>CommonItem!A26</f>
        <v>#</v>
      </c>
      <c r="E26" s="2">
        <v>1</v>
      </c>
      <c r="F26" s="2">
        <v>6480</v>
      </c>
      <c r="G26" s="2">
        <v>2</v>
      </c>
      <c r="H26" s="2">
        <v>6480</v>
      </c>
      <c r="I26" s="2">
        <v>-1</v>
      </c>
      <c r="J26" s="2">
        <v>-1</v>
      </c>
      <c r="K26" s="2">
        <v>-1</v>
      </c>
      <c r="L26" s="2">
        <v>-1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500</v>
      </c>
      <c r="S26" s="2">
        <v>-1</v>
      </c>
      <c r="T26" s="2">
        <v>-1</v>
      </c>
      <c r="U26" s="2">
        <v>-1</v>
      </c>
      <c r="V26" s="2">
        <v>-1</v>
      </c>
      <c r="W26" s="2">
        <v>1</v>
      </c>
      <c r="X26" s="2">
        <v>999</v>
      </c>
      <c r="Y26" s="2">
        <v>0</v>
      </c>
      <c r="Z26" s="2">
        <v>0</v>
      </c>
      <c r="AA26" s="2">
        <v>-1</v>
      </c>
      <c r="AB26" s="2">
        <v>-1</v>
      </c>
    </row>
    <row r="27" s="2" customFormat="1" spans="1:28">
      <c r="A27" s="3" t="str">
        <f t="shared" si="12"/>
        <v>#</v>
      </c>
      <c r="B27" s="3" t="str">
        <f>"背饰-"&amp;CommonItem!B27</f>
        <v>背饰-星扇·星象（7天）</v>
      </c>
      <c r="C27" s="2">
        <v>13</v>
      </c>
      <c r="D27" s="3" t="str">
        <f>CommonItem!A27</f>
        <v>#</v>
      </c>
      <c r="E27" s="2">
        <v>1</v>
      </c>
      <c r="F27" s="2">
        <v>6480</v>
      </c>
      <c r="G27" s="2">
        <v>2</v>
      </c>
      <c r="H27" s="2">
        <v>6480</v>
      </c>
      <c r="I27" s="2">
        <v>-1</v>
      </c>
      <c r="J27" s="2">
        <v>-1</v>
      </c>
      <c r="K27" s="2">
        <v>-1</v>
      </c>
      <c r="L27" s="2">
        <v>-1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500</v>
      </c>
      <c r="S27" s="2">
        <v>-1</v>
      </c>
      <c r="T27" s="2">
        <v>-1</v>
      </c>
      <c r="U27" s="2">
        <v>-1</v>
      </c>
      <c r="V27" s="2">
        <v>-1</v>
      </c>
      <c r="W27" s="2">
        <v>1</v>
      </c>
      <c r="X27" s="2">
        <v>999</v>
      </c>
      <c r="Y27" s="2">
        <v>0</v>
      </c>
      <c r="Z27" s="2">
        <v>0</v>
      </c>
      <c r="AA27" s="2">
        <v>-1</v>
      </c>
      <c r="AB27" s="2">
        <v>-1</v>
      </c>
    </row>
    <row r="28" s="2" customFormat="1" spans="1:28">
      <c r="A28" s="3" t="str">
        <f t="shared" si="12"/>
        <v>#</v>
      </c>
      <c r="B28" s="3" t="str">
        <f>"背饰-"&amp;CommonItem!B28</f>
        <v>背饰-星扇·星象（永久）</v>
      </c>
      <c r="C28" s="2">
        <v>13</v>
      </c>
      <c r="D28" s="3" t="str">
        <f>CommonItem!A28</f>
        <v>#</v>
      </c>
      <c r="E28" s="2">
        <v>1</v>
      </c>
      <c r="F28" s="2">
        <v>6480</v>
      </c>
      <c r="G28" s="2">
        <v>2</v>
      </c>
      <c r="H28" s="2">
        <v>6480</v>
      </c>
      <c r="I28" s="2">
        <v>-1</v>
      </c>
      <c r="J28" s="2">
        <v>-1</v>
      </c>
      <c r="K28" s="2">
        <v>-1</v>
      </c>
      <c r="L28" s="2">
        <v>-1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500</v>
      </c>
      <c r="S28" s="2">
        <v>-1</v>
      </c>
      <c r="T28" s="2">
        <v>-1</v>
      </c>
      <c r="U28" s="2">
        <v>-1</v>
      </c>
      <c r="V28" s="2">
        <v>-1</v>
      </c>
      <c r="W28" s="2">
        <v>1</v>
      </c>
      <c r="X28" s="2">
        <v>999</v>
      </c>
      <c r="Y28" s="2">
        <v>0</v>
      </c>
      <c r="Z28" s="2">
        <v>0</v>
      </c>
      <c r="AA28" s="2">
        <v>-1</v>
      </c>
      <c r="AB28" s="2">
        <v>-1</v>
      </c>
    </row>
    <row r="29" s="2" customFormat="1" spans="1:28">
      <c r="A29" s="3" t="str">
        <f t="shared" si="12"/>
        <v>#</v>
      </c>
      <c r="B29" s="3" t="str">
        <f>"背饰-"&amp;CommonItem!B29</f>
        <v>背饰-星扇·天垣（7天）</v>
      </c>
      <c r="C29" s="2">
        <v>13</v>
      </c>
      <c r="D29" s="3" t="str">
        <f>CommonItem!A29</f>
        <v>#</v>
      </c>
      <c r="E29" s="2">
        <v>1</v>
      </c>
      <c r="F29" s="2">
        <v>6480</v>
      </c>
      <c r="G29" s="2">
        <v>2</v>
      </c>
      <c r="H29" s="2">
        <v>6480</v>
      </c>
      <c r="I29" s="2">
        <v>-1</v>
      </c>
      <c r="J29" s="2">
        <v>-1</v>
      </c>
      <c r="K29" s="2">
        <v>-1</v>
      </c>
      <c r="L29" s="2">
        <v>-1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500</v>
      </c>
      <c r="S29" s="2">
        <v>-1</v>
      </c>
      <c r="T29" s="2">
        <v>-1</v>
      </c>
      <c r="U29" s="2">
        <v>-1</v>
      </c>
      <c r="V29" s="2">
        <v>-1</v>
      </c>
      <c r="W29" s="2">
        <v>1</v>
      </c>
      <c r="X29" s="2">
        <v>999</v>
      </c>
      <c r="Y29" s="2">
        <v>0</v>
      </c>
      <c r="Z29" s="2">
        <v>0</v>
      </c>
      <c r="AA29" s="2">
        <v>-1</v>
      </c>
      <c r="AB29" s="2">
        <v>-1</v>
      </c>
    </row>
    <row r="30" s="2" customFormat="1" spans="1:28">
      <c r="A30" s="3" t="str">
        <f t="shared" si="12"/>
        <v>#</v>
      </c>
      <c r="B30" s="3" t="str">
        <f>"背饰-"&amp;CommonItem!B30</f>
        <v>背饰-星扇·天垣（永久）</v>
      </c>
      <c r="C30" s="2">
        <v>13</v>
      </c>
      <c r="D30" s="3" t="str">
        <f>CommonItem!A30</f>
        <v>#</v>
      </c>
      <c r="E30" s="2">
        <v>1</v>
      </c>
      <c r="F30" s="2">
        <v>6480</v>
      </c>
      <c r="G30" s="2">
        <v>2</v>
      </c>
      <c r="H30" s="2">
        <v>6480</v>
      </c>
      <c r="I30" s="2">
        <v>-1</v>
      </c>
      <c r="J30" s="2">
        <v>-1</v>
      </c>
      <c r="K30" s="2">
        <v>-1</v>
      </c>
      <c r="L30" s="2">
        <v>-1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500</v>
      </c>
      <c r="S30" s="2">
        <v>-1</v>
      </c>
      <c r="T30" s="2">
        <v>-1</v>
      </c>
      <c r="U30" s="2">
        <v>-1</v>
      </c>
      <c r="V30" s="2">
        <v>-1</v>
      </c>
      <c r="W30" s="2">
        <v>1</v>
      </c>
      <c r="X30" s="2">
        <v>999</v>
      </c>
      <c r="Y30" s="2">
        <v>0</v>
      </c>
      <c r="Z30" s="2">
        <v>0</v>
      </c>
      <c r="AA30" s="2">
        <v>-1</v>
      </c>
      <c r="AB30" s="2">
        <v>-1</v>
      </c>
    </row>
    <row r="31" s="2" customFormat="1" spans="1:28">
      <c r="A31" s="3" t="str">
        <f t="shared" si="12"/>
        <v>#</v>
      </c>
      <c r="B31" s="3" t="str">
        <f>"背饰-"&amp;CommonItem!B31</f>
        <v>背饰-星扇·天星引（7天）</v>
      </c>
      <c r="C31" s="2">
        <v>13</v>
      </c>
      <c r="D31" s="3" t="str">
        <f>CommonItem!A31</f>
        <v>#</v>
      </c>
      <c r="E31" s="2">
        <v>1</v>
      </c>
      <c r="F31" s="2">
        <v>6480</v>
      </c>
      <c r="G31" s="2">
        <v>2</v>
      </c>
      <c r="H31" s="2">
        <v>6480</v>
      </c>
      <c r="I31" s="2">
        <v>-1</v>
      </c>
      <c r="J31" s="2">
        <v>-1</v>
      </c>
      <c r="K31" s="2">
        <v>-1</v>
      </c>
      <c r="L31" s="2">
        <v>-1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500</v>
      </c>
      <c r="S31" s="2">
        <v>-1</v>
      </c>
      <c r="T31" s="2">
        <v>-1</v>
      </c>
      <c r="U31" s="2">
        <v>-1</v>
      </c>
      <c r="V31" s="2">
        <v>-1</v>
      </c>
      <c r="W31" s="2">
        <v>1</v>
      </c>
      <c r="X31" s="2">
        <v>999</v>
      </c>
      <c r="Y31" s="2">
        <v>0</v>
      </c>
      <c r="Z31" s="2">
        <v>0</v>
      </c>
      <c r="AA31" s="2">
        <v>-1</v>
      </c>
      <c r="AB31" s="2">
        <v>-1</v>
      </c>
    </row>
    <row r="32" s="2" customFormat="1" spans="1:28">
      <c r="A32" s="3" t="str">
        <f t="shared" si="12"/>
        <v>#</v>
      </c>
      <c r="B32" s="3" t="str">
        <f>"背饰-"&amp;CommonItem!B32</f>
        <v>背饰-星扇·天星引（永久）</v>
      </c>
      <c r="C32" s="2">
        <v>13</v>
      </c>
      <c r="D32" s="3" t="str">
        <f>CommonItem!A32</f>
        <v>#</v>
      </c>
      <c r="E32" s="2">
        <v>1</v>
      </c>
      <c r="F32" s="2">
        <v>6480</v>
      </c>
      <c r="G32" s="2">
        <v>2</v>
      </c>
      <c r="H32" s="2">
        <v>6480</v>
      </c>
      <c r="I32" s="2">
        <v>-1</v>
      </c>
      <c r="J32" s="2">
        <v>-1</v>
      </c>
      <c r="K32" s="2">
        <v>-1</v>
      </c>
      <c r="L32" s="2">
        <v>-1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500</v>
      </c>
      <c r="S32" s="2">
        <v>-1</v>
      </c>
      <c r="T32" s="2">
        <v>-1</v>
      </c>
      <c r="U32" s="2">
        <v>-1</v>
      </c>
      <c r="V32" s="2">
        <v>-1</v>
      </c>
      <c r="W32" s="2">
        <v>1</v>
      </c>
      <c r="X32" s="2">
        <v>999</v>
      </c>
      <c r="Y32" s="2">
        <v>0</v>
      </c>
      <c r="Z32" s="2">
        <v>0</v>
      </c>
      <c r="AA32" s="2">
        <v>-1</v>
      </c>
      <c r="AB32" s="2">
        <v>-1</v>
      </c>
    </row>
    <row r="33" spans="1:28">
      <c r="A33" s="7" t="str">
        <f>IF(配置总览!$B$102="导出",配置总览!H106,"#")</f>
        <v>#</v>
      </c>
      <c r="B33" s="3" t="str">
        <f>"武器外观-"&amp;CommonItem!B33</f>
        <v>武器外观-妖兽-无相·花颂锤（7天）</v>
      </c>
      <c r="C33">
        <v>13</v>
      </c>
      <c r="D33" s="3" t="str">
        <f>CommonItem!A33</f>
        <v>#</v>
      </c>
      <c r="E33">
        <v>1</v>
      </c>
      <c r="F33" s="7">
        <f>VLOOKUP(配置总览!$I$102,信息辅助!$D$20:$J$23,5,0)</f>
        <v>460</v>
      </c>
      <c r="G33">
        <v>2</v>
      </c>
      <c r="H33" s="3">
        <f>F33</f>
        <v>460</v>
      </c>
      <c r="I33">
        <v>-1</v>
      </c>
      <c r="J33">
        <v>-1</v>
      </c>
      <c r="K33">
        <v>-1</v>
      </c>
      <c r="L33">
        <v>-1</v>
      </c>
      <c r="M33">
        <v>0</v>
      </c>
      <c r="N33">
        <v>0</v>
      </c>
      <c r="O33">
        <v>0</v>
      </c>
      <c r="P33" s="7">
        <f>配置总览!H109</f>
        <v>0</v>
      </c>
      <c r="Q33" s="7">
        <f>配置总览!H111</f>
        <v>0</v>
      </c>
      <c r="R33">
        <v>500</v>
      </c>
      <c r="S33">
        <v>-1</v>
      </c>
      <c r="T33">
        <v>-1</v>
      </c>
      <c r="U33" s="37">
        <v>-1</v>
      </c>
      <c r="V33" s="37">
        <v>-1</v>
      </c>
      <c r="W33">
        <v>1</v>
      </c>
      <c r="X33">
        <v>999</v>
      </c>
      <c r="Y33">
        <v>0</v>
      </c>
      <c r="Z33">
        <v>0</v>
      </c>
      <c r="AA33">
        <v>-1</v>
      </c>
      <c r="AB33">
        <v>-1</v>
      </c>
    </row>
    <row r="34" spans="1:28">
      <c r="A34" s="3" t="str">
        <f t="shared" ref="A34:A52" si="13">IFERROR(A33+1,"#")</f>
        <v>#</v>
      </c>
      <c r="B34" s="3" t="str">
        <f>"武器外观-"&amp;CommonItem!B34</f>
        <v>武器外观-妖兽-无相·花颂锤（永久）</v>
      </c>
      <c r="C34">
        <v>13</v>
      </c>
      <c r="D34" s="3" t="str">
        <f>CommonItem!A34</f>
        <v>#</v>
      </c>
      <c r="E34">
        <v>1</v>
      </c>
      <c r="F34" s="7">
        <f>VLOOKUP(配置总览!$I$102,信息辅助!$D$20:$J$23,6,0)</f>
        <v>1980</v>
      </c>
      <c r="G34">
        <v>2</v>
      </c>
      <c r="H34" s="7">
        <f>VLOOKUP(配置总览!$I$102,信息辅助!$D$20:$J$23,7,0)</f>
        <v>1980</v>
      </c>
      <c r="I34">
        <v>-1</v>
      </c>
      <c r="J34">
        <v>-1</v>
      </c>
      <c r="K34">
        <v>-1</v>
      </c>
      <c r="L34">
        <v>-1</v>
      </c>
      <c r="M34">
        <v>0</v>
      </c>
      <c r="N34">
        <v>0</v>
      </c>
      <c r="O34">
        <v>0</v>
      </c>
      <c r="P34" s="3">
        <f t="shared" ref="P34:Q43" si="14">P33</f>
        <v>0</v>
      </c>
      <c r="Q34" s="3">
        <f t="shared" si="14"/>
        <v>0</v>
      </c>
      <c r="R34">
        <v>500</v>
      </c>
      <c r="S34">
        <v>-1</v>
      </c>
      <c r="T34">
        <v>-1</v>
      </c>
      <c r="U34">
        <v>-1</v>
      </c>
      <c r="V34">
        <v>-1</v>
      </c>
      <c r="W34">
        <v>1</v>
      </c>
      <c r="X34">
        <v>999</v>
      </c>
      <c r="Y34">
        <v>0</v>
      </c>
      <c r="Z34">
        <v>0</v>
      </c>
      <c r="AA34">
        <v>-1</v>
      </c>
      <c r="AB34">
        <v>-1</v>
      </c>
    </row>
    <row r="35" spans="1:28">
      <c r="A35" s="3" t="str">
        <f t="shared" si="13"/>
        <v>#</v>
      </c>
      <c r="B35" s="3" t="str">
        <f>"武器外观-"&amp;CommonItem!B35</f>
        <v>武器外观-羽芒-无相·花颂弓（7天）</v>
      </c>
      <c r="C35">
        <v>13</v>
      </c>
      <c r="D35" s="3" t="str">
        <f>CommonItem!A35</f>
        <v>#</v>
      </c>
      <c r="E35">
        <v>1</v>
      </c>
      <c r="F35" s="3">
        <f>F33</f>
        <v>460</v>
      </c>
      <c r="G35">
        <v>2</v>
      </c>
      <c r="H35" s="3">
        <f>H33</f>
        <v>460</v>
      </c>
      <c r="I35">
        <v>-1</v>
      </c>
      <c r="J35">
        <v>-1</v>
      </c>
      <c r="K35">
        <v>-1</v>
      </c>
      <c r="L35">
        <v>-1</v>
      </c>
      <c r="M35">
        <v>0</v>
      </c>
      <c r="N35">
        <v>0</v>
      </c>
      <c r="O35">
        <v>0</v>
      </c>
      <c r="P35" s="3">
        <f t="shared" si="14"/>
        <v>0</v>
      </c>
      <c r="Q35" s="3">
        <f t="shared" si="14"/>
        <v>0</v>
      </c>
      <c r="R35">
        <v>500</v>
      </c>
      <c r="S35">
        <v>-1</v>
      </c>
      <c r="T35">
        <v>-1</v>
      </c>
      <c r="U35">
        <v>-1</v>
      </c>
      <c r="V35">
        <v>-1</v>
      </c>
      <c r="W35">
        <v>1</v>
      </c>
      <c r="X35">
        <v>999</v>
      </c>
      <c r="Y35">
        <v>0</v>
      </c>
      <c r="Z35">
        <v>0</v>
      </c>
      <c r="AA35">
        <v>-1</v>
      </c>
      <c r="AB35">
        <v>-1</v>
      </c>
    </row>
    <row r="36" spans="1:28">
      <c r="A36" s="3" t="str">
        <f t="shared" si="13"/>
        <v>#</v>
      </c>
      <c r="B36" s="3" t="str">
        <f>"武器外观-"&amp;CommonItem!B36</f>
        <v>武器外观-羽芒-无相·花颂弓（永久）</v>
      </c>
      <c r="C36">
        <v>13</v>
      </c>
      <c r="D36" s="3" t="str">
        <f>CommonItem!A36</f>
        <v>#</v>
      </c>
      <c r="E36">
        <v>1</v>
      </c>
      <c r="F36" s="3">
        <f>F34</f>
        <v>1980</v>
      </c>
      <c r="G36">
        <v>2</v>
      </c>
      <c r="H36" s="3">
        <f>H34</f>
        <v>1980</v>
      </c>
      <c r="I36">
        <v>-1</v>
      </c>
      <c r="J36">
        <v>-1</v>
      </c>
      <c r="K36">
        <v>-1</v>
      </c>
      <c r="L36">
        <v>-1</v>
      </c>
      <c r="M36">
        <v>0</v>
      </c>
      <c r="N36">
        <v>0</v>
      </c>
      <c r="O36">
        <v>0</v>
      </c>
      <c r="P36" s="3">
        <f t="shared" si="14"/>
        <v>0</v>
      </c>
      <c r="Q36" s="3">
        <f t="shared" si="14"/>
        <v>0</v>
      </c>
      <c r="R36">
        <v>500</v>
      </c>
      <c r="S36">
        <v>-1</v>
      </c>
      <c r="T36">
        <v>-1</v>
      </c>
      <c r="U36">
        <v>-1</v>
      </c>
      <c r="V36">
        <v>-1</v>
      </c>
      <c r="W36">
        <v>1</v>
      </c>
      <c r="X36">
        <v>999</v>
      </c>
      <c r="Y36">
        <v>0</v>
      </c>
      <c r="Z36">
        <v>0</v>
      </c>
      <c r="AA36">
        <v>-1</v>
      </c>
      <c r="AB36">
        <v>-1</v>
      </c>
    </row>
    <row r="37" spans="1:28">
      <c r="A37" s="3" t="str">
        <f t="shared" si="13"/>
        <v>#</v>
      </c>
      <c r="B37" s="3" t="str">
        <f>"武器外观-"&amp;CommonItem!B37</f>
        <v>武器外观-法师-无相·花颂剑（7天）</v>
      </c>
      <c r="C37">
        <v>13</v>
      </c>
      <c r="D37" s="3" t="str">
        <f>CommonItem!A37</f>
        <v>#</v>
      </c>
      <c r="E37">
        <v>1</v>
      </c>
      <c r="F37" s="3">
        <f t="shared" ref="F37:F52" si="15">F35</f>
        <v>460</v>
      </c>
      <c r="G37">
        <v>2</v>
      </c>
      <c r="H37" s="3">
        <f t="shared" ref="H37:H52" si="16">H35</f>
        <v>460</v>
      </c>
      <c r="I37">
        <v>-1</v>
      </c>
      <c r="J37">
        <v>-1</v>
      </c>
      <c r="K37">
        <v>-1</v>
      </c>
      <c r="L37">
        <v>-1</v>
      </c>
      <c r="M37">
        <v>0</v>
      </c>
      <c r="N37">
        <v>0</v>
      </c>
      <c r="O37">
        <v>0</v>
      </c>
      <c r="P37" s="3">
        <f t="shared" si="14"/>
        <v>0</v>
      </c>
      <c r="Q37" s="3">
        <f t="shared" si="14"/>
        <v>0</v>
      </c>
      <c r="R37">
        <v>500</v>
      </c>
      <c r="S37">
        <v>-1</v>
      </c>
      <c r="T37">
        <v>-1</v>
      </c>
      <c r="U37">
        <v>-1</v>
      </c>
      <c r="V37">
        <v>-1</v>
      </c>
      <c r="W37">
        <v>1</v>
      </c>
      <c r="X37">
        <v>999</v>
      </c>
      <c r="Y37">
        <v>0</v>
      </c>
      <c r="Z37">
        <v>0</v>
      </c>
      <c r="AA37">
        <v>-1</v>
      </c>
      <c r="AB37">
        <v>-1</v>
      </c>
    </row>
    <row r="38" spans="1:28">
      <c r="A38" s="3" t="str">
        <f t="shared" si="13"/>
        <v>#</v>
      </c>
      <c r="B38" s="3" t="str">
        <f>"武器外观-"&amp;CommonItem!B38</f>
        <v>武器外观-法师-无相·花颂剑（永久）</v>
      </c>
      <c r="C38">
        <v>13</v>
      </c>
      <c r="D38" s="3" t="str">
        <f>CommonItem!A38</f>
        <v>#</v>
      </c>
      <c r="E38">
        <v>1</v>
      </c>
      <c r="F38" s="3">
        <f t="shared" si="15"/>
        <v>1980</v>
      </c>
      <c r="G38">
        <v>2</v>
      </c>
      <c r="H38" s="3">
        <f t="shared" si="16"/>
        <v>1980</v>
      </c>
      <c r="I38">
        <v>-1</v>
      </c>
      <c r="J38">
        <v>-1</v>
      </c>
      <c r="K38">
        <v>-1</v>
      </c>
      <c r="L38">
        <v>-1</v>
      </c>
      <c r="M38">
        <v>0</v>
      </c>
      <c r="N38">
        <v>0</v>
      </c>
      <c r="O38">
        <v>0</v>
      </c>
      <c r="P38" s="3">
        <f t="shared" si="14"/>
        <v>0</v>
      </c>
      <c r="Q38" s="3">
        <f t="shared" si="14"/>
        <v>0</v>
      </c>
      <c r="R38">
        <v>500</v>
      </c>
      <c r="S38">
        <v>-1</v>
      </c>
      <c r="T38">
        <v>-1</v>
      </c>
      <c r="U38">
        <v>-1</v>
      </c>
      <c r="V38">
        <v>-1</v>
      </c>
      <c r="W38">
        <v>1</v>
      </c>
      <c r="X38">
        <v>999</v>
      </c>
      <c r="Y38">
        <v>0</v>
      </c>
      <c r="Z38">
        <v>0</v>
      </c>
      <c r="AA38">
        <v>-1</v>
      </c>
      <c r="AB38">
        <v>-1</v>
      </c>
    </row>
    <row r="39" spans="1:28">
      <c r="A39" s="3" t="str">
        <f t="shared" si="13"/>
        <v>#</v>
      </c>
      <c r="B39" s="3" t="str">
        <f>"武器外观-"&amp;CommonItem!B39</f>
        <v>武器外观-羽灵-无相·花颂环（7天）</v>
      </c>
      <c r="C39">
        <v>13</v>
      </c>
      <c r="D39" s="3" t="str">
        <f>CommonItem!A39</f>
        <v>#</v>
      </c>
      <c r="E39">
        <v>1</v>
      </c>
      <c r="F39" s="3">
        <f t="shared" si="15"/>
        <v>460</v>
      </c>
      <c r="G39">
        <v>2</v>
      </c>
      <c r="H39" s="3">
        <f t="shared" si="16"/>
        <v>460</v>
      </c>
      <c r="I39">
        <v>-1</v>
      </c>
      <c r="J39">
        <v>-1</v>
      </c>
      <c r="K39">
        <v>-1</v>
      </c>
      <c r="L39">
        <v>-1</v>
      </c>
      <c r="M39">
        <v>0</v>
      </c>
      <c r="N39">
        <v>0</v>
      </c>
      <c r="O39">
        <v>0</v>
      </c>
      <c r="P39" s="3">
        <f t="shared" si="14"/>
        <v>0</v>
      </c>
      <c r="Q39" s="3">
        <f t="shared" si="14"/>
        <v>0</v>
      </c>
      <c r="R39">
        <v>500</v>
      </c>
      <c r="S39">
        <v>-1</v>
      </c>
      <c r="T39">
        <v>-1</v>
      </c>
      <c r="U39">
        <v>-1</v>
      </c>
      <c r="V39">
        <v>-1</v>
      </c>
      <c r="W39">
        <v>1</v>
      </c>
      <c r="X39">
        <v>999</v>
      </c>
      <c r="Y39">
        <v>0</v>
      </c>
      <c r="Z39">
        <v>0</v>
      </c>
      <c r="AA39">
        <v>-1</v>
      </c>
      <c r="AB39">
        <v>-1</v>
      </c>
    </row>
    <row r="40" spans="1:28">
      <c r="A40" s="3" t="str">
        <f t="shared" si="13"/>
        <v>#</v>
      </c>
      <c r="B40" s="3" t="str">
        <f>"武器外观-"&amp;CommonItem!B40</f>
        <v>武器外观-羽灵-无相·花颂环（永久）</v>
      </c>
      <c r="C40">
        <v>13</v>
      </c>
      <c r="D40" s="3" t="str">
        <f>CommonItem!A40</f>
        <v>#</v>
      </c>
      <c r="E40">
        <v>1</v>
      </c>
      <c r="F40" s="3">
        <f t="shared" si="15"/>
        <v>1980</v>
      </c>
      <c r="G40">
        <v>2</v>
      </c>
      <c r="H40" s="3">
        <f t="shared" si="16"/>
        <v>1980</v>
      </c>
      <c r="I40">
        <v>-1</v>
      </c>
      <c r="J40">
        <v>-1</v>
      </c>
      <c r="K40">
        <v>-1</v>
      </c>
      <c r="L40">
        <v>-1</v>
      </c>
      <c r="M40">
        <v>0</v>
      </c>
      <c r="N40">
        <v>0</v>
      </c>
      <c r="O40">
        <v>0</v>
      </c>
      <c r="P40" s="3">
        <f t="shared" si="14"/>
        <v>0</v>
      </c>
      <c r="Q40" s="3">
        <f t="shared" si="14"/>
        <v>0</v>
      </c>
      <c r="R40">
        <v>500</v>
      </c>
      <c r="S40">
        <v>-1</v>
      </c>
      <c r="T40">
        <v>-1</v>
      </c>
      <c r="U40">
        <v>-1</v>
      </c>
      <c r="V40">
        <v>-1</v>
      </c>
      <c r="W40">
        <v>1</v>
      </c>
      <c r="X40">
        <v>999</v>
      </c>
      <c r="Y40">
        <v>0</v>
      </c>
      <c r="Z40">
        <v>0</v>
      </c>
      <c r="AA40">
        <v>-1</v>
      </c>
      <c r="AB40">
        <v>-1</v>
      </c>
    </row>
    <row r="41" spans="1:28">
      <c r="A41" s="3" t="str">
        <f t="shared" si="13"/>
        <v>#</v>
      </c>
      <c r="B41" s="3" t="str">
        <f>"武器外观-"&amp;CommonItem!B41</f>
        <v>武器外观-妖精-无相·花颂杖（7天）</v>
      </c>
      <c r="C41">
        <v>13</v>
      </c>
      <c r="D41" s="3" t="str">
        <f>CommonItem!A41</f>
        <v>#</v>
      </c>
      <c r="E41">
        <v>1</v>
      </c>
      <c r="F41" s="3">
        <f t="shared" si="15"/>
        <v>460</v>
      </c>
      <c r="G41">
        <v>2</v>
      </c>
      <c r="H41" s="3">
        <f t="shared" si="16"/>
        <v>460</v>
      </c>
      <c r="I41">
        <v>-1</v>
      </c>
      <c r="J41">
        <v>-1</v>
      </c>
      <c r="K41">
        <v>-1</v>
      </c>
      <c r="L41">
        <v>-1</v>
      </c>
      <c r="M41">
        <v>0</v>
      </c>
      <c r="N41">
        <v>0</v>
      </c>
      <c r="O41">
        <v>0</v>
      </c>
      <c r="P41" s="3">
        <f t="shared" si="14"/>
        <v>0</v>
      </c>
      <c r="Q41" s="3">
        <f t="shared" si="14"/>
        <v>0</v>
      </c>
      <c r="R41">
        <v>500</v>
      </c>
      <c r="S41">
        <v>-1</v>
      </c>
      <c r="T41">
        <v>-1</v>
      </c>
      <c r="U41">
        <v>-1</v>
      </c>
      <c r="V41">
        <v>-1</v>
      </c>
      <c r="W41">
        <v>1</v>
      </c>
      <c r="X41">
        <v>999</v>
      </c>
      <c r="Y41">
        <v>0</v>
      </c>
      <c r="Z41">
        <v>0</v>
      </c>
      <c r="AA41">
        <v>-1</v>
      </c>
      <c r="AB41">
        <v>-1</v>
      </c>
    </row>
    <row r="42" spans="1:28">
      <c r="A42" s="3" t="str">
        <f t="shared" si="13"/>
        <v>#</v>
      </c>
      <c r="B42" s="3" t="str">
        <f>"武器外观-"&amp;CommonItem!B42</f>
        <v>武器外观-妖精-无相·花颂杖（永久）</v>
      </c>
      <c r="C42">
        <v>13</v>
      </c>
      <c r="D42" s="3" t="str">
        <f>CommonItem!A42</f>
        <v>#</v>
      </c>
      <c r="E42">
        <v>1</v>
      </c>
      <c r="F42" s="3">
        <f t="shared" si="15"/>
        <v>1980</v>
      </c>
      <c r="G42">
        <v>2</v>
      </c>
      <c r="H42" s="3">
        <f t="shared" si="16"/>
        <v>1980</v>
      </c>
      <c r="I42">
        <v>-1</v>
      </c>
      <c r="J42">
        <v>-1</v>
      </c>
      <c r="K42">
        <v>-1</v>
      </c>
      <c r="L42">
        <v>-1</v>
      </c>
      <c r="M42">
        <v>0</v>
      </c>
      <c r="N42">
        <v>0</v>
      </c>
      <c r="O42">
        <v>0</v>
      </c>
      <c r="P42" s="3">
        <f t="shared" si="14"/>
        <v>0</v>
      </c>
      <c r="Q42" s="3">
        <f t="shared" si="14"/>
        <v>0</v>
      </c>
      <c r="R42">
        <v>500</v>
      </c>
      <c r="S42">
        <v>-1</v>
      </c>
      <c r="T42">
        <v>-1</v>
      </c>
      <c r="U42">
        <v>-1</v>
      </c>
      <c r="V42">
        <v>-1</v>
      </c>
      <c r="W42">
        <v>1</v>
      </c>
      <c r="X42">
        <v>999</v>
      </c>
      <c r="Y42">
        <v>0</v>
      </c>
      <c r="Z42">
        <v>0</v>
      </c>
      <c r="AA42">
        <v>-1</v>
      </c>
      <c r="AB42">
        <v>-1</v>
      </c>
    </row>
    <row r="43" spans="1:28">
      <c r="A43" s="3" t="str">
        <f t="shared" si="13"/>
        <v>#</v>
      </c>
      <c r="B43" s="3" t="str">
        <f>"武器外观-"&amp;CommonItem!B43</f>
        <v>武器外观-武侠-无相·花颂兵（7天）</v>
      </c>
      <c r="C43">
        <v>13</v>
      </c>
      <c r="D43" s="3" t="str">
        <f>CommonItem!A43</f>
        <v>#</v>
      </c>
      <c r="E43">
        <v>1</v>
      </c>
      <c r="F43" s="3">
        <f t="shared" si="15"/>
        <v>460</v>
      </c>
      <c r="G43">
        <v>2</v>
      </c>
      <c r="H43" s="3">
        <f t="shared" si="16"/>
        <v>460</v>
      </c>
      <c r="I43">
        <v>-1</v>
      </c>
      <c r="J43">
        <v>-1</v>
      </c>
      <c r="K43">
        <v>-1</v>
      </c>
      <c r="L43">
        <v>-1</v>
      </c>
      <c r="M43">
        <v>0</v>
      </c>
      <c r="N43">
        <v>0</v>
      </c>
      <c r="O43">
        <v>0</v>
      </c>
      <c r="P43" s="3">
        <f t="shared" si="14"/>
        <v>0</v>
      </c>
      <c r="Q43" s="3">
        <f t="shared" si="14"/>
        <v>0</v>
      </c>
      <c r="R43">
        <v>500</v>
      </c>
      <c r="S43">
        <v>-1</v>
      </c>
      <c r="T43">
        <v>-1</v>
      </c>
      <c r="U43">
        <v>-1</v>
      </c>
      <c r="V43">
        <v>-1</v>
      </c>
      <c r="W43">
        <v>1</v>
      </c>
      <c r="X43">
        <v>999</v>
      </c>
      <c r="Y43">
        <v>0</v>
      </c>
      <c r="Z43">
        <v>0</v>
      </c>
      <c r="AA43">
        <v>-1</v>
      </c>
      <c r="AB43">
        <v>-1</v>
      </c>
    </row>
    <row r="44" spans="1:28">
      <c r="A44" s="3" t="str">
        <f t="shared" si="13"/>
        <v>#</v>
      </c>
      <c r="B44" s="3" t="str">
        <f>"武器外观-"&amp;CommonItem!B44</f>
        <v>武器外观-武侠-无相·花颂兵（永久）</v>
      </c>
      <c r="C44">
        <v>13</v>
      </c>
      <c r="D44" s="3" t="str">
        <f>CommonItem!A44</f>
        <v>#</v>
      </c>
      <c r="E44">
        <v>1</v>
      </c>
      <c r="F44" s="3">
        <f t="shared" si="15"/>
        <v>1980</v>
      </c>
      <c r="G44">
        <v>2</v>
      </c>
      <c r="H44" s="3">
        <f t="shared" si="16"/>
        <v>1980</v>
      </c>
      <c r="I44">
        <v>-1</v>
      </c>
      <c r="J44">
        <v>-1</v>
      </c>
      <c r="K44">
        <v>-1</v>
      </c>
      <c r="L44">
        <v>-1</v>
      </c>
      <c r="M44">
        <v>0</v>
      </c>
      <c r="N44">
        <v>0</v>
      </c>
      <c r="O44">
        <v>0</v>
      </c>
      <c r="P44" s="3">
        <f t="shared" ref="P44:Q50" si="17">P43</f>
        <v>0</v>
      </c>
      <c r="Q44" s="3">
        <f t="shared" si="17"/>
        <v>0</v>
      </c>
      <c r="R44">
        <v>500</v>
      </c>
      <c r="S44">
        <v>-1</v>
      </c>
      <c r="T44">
        <v>-1</v>
      </c>
      <c r="U44">
        <v>-1</v>
      </c>
      <c r="V44">
        <v>-1</v>
      </c>
      <c r="W44">
        <v>1</v>
      </c>
      <c r="X44">
        <v>999</v>
      </c>
      <c r="Y44">
        <v>0</v>
      </c>
      <c r="Z44">
        <v>0</v>
      </c>
      <c r="AA44">
        <v>-1</v>
      </c>
      <c r="AB44">
        <v>-1</v>
      </c>
    </row>
    <row r="45" spans="1:28">
      <c r="A45" s="3" t="str">
        <f t="shared" si="13"/>
        <v>#</v>
      </c>
      <c r="B45" s="3" t="str">
        <f>"武器外观-"&amp;CommonItem!B45</f>
        <v>武器外观-妖刃-无相·花颂刃（7天）</v>
      </c>
      <c r="C45">
        <v>13</v>
      </c>
      <c r="D45" s="3" t="str">
        <f>CommonItem!A45</f>
        <v>#</v>
      </c>
      <c r="E45">
        <v>1</v>
      </c>
      <c r="F45" s="3">
        <f t="shared" si="15"/>
        <v>460</v>
      </c>
      <c r="G45">
        <v>2</v>
      </c>
      <c r="H45" s="3">
        <f t="shared" si="16"/>
        <v>460</v>
      </c>
      <c r="I45">
        <v>-1</v>
      </c>
      <c r="J45">
        <v>-1</v>
      </c>
      <c r="K45">
        <v>-1</v>
      </c>
      <c r="L45">
        <v>-1</v>
      </c>
      <c r="M45">
        <v>0</v>
      </c>
      <c r="N45">
        <v>0</v>
      </c>
      <c r="O45">
        <v>0</v>
      </c>
      <c r="P45" s="3">
        <f t="shared" si="17"/>
        <v>0</v>
      </c>
      <c r="Q45" s="3">
        <f t="shared" si="17"/>
        <v>0</v>
      </c>
      <c r="R45">
        <v>500</v>
      </c>
      <c r="S45">
        <v>-1</v>
      </c>
      <c r="T45">
        <v>-1</v>
      </c>
      <c r="U45">
        <v>-1</v>
      </c>
      <c r="V45">
        <v>-1</v>
      </c>
      <c r="W45">
        <v>1</v>
      </c>
      <c r="X45">
        <v>999</v>
      </c>
      <c r="Y45">
        <v>0</v>
      </c>
      <c r="Z45">
        <v>0</v>
      </c>
      <c r="AA45">
        <v>-1</v>
      </c>
      <c r="AB45">
        <v>-1</v>
      </c>
    </row>
    <row r="46" spans="1:28">
      <c r="A46" s="3" t="str">
        <f t="shared" si="13"/>
        <v>#</v>
      </c>
      <c r="B46" s="3" t="str">
        <f>"武器外观-"&amp;CommonItem!B46</f>
        <v>武器外观-妖刃-无相·花颂刃（永久）</v>
      </c>
      <c r="C46">
        <v>13</v>
      </c>
      <c r="D46" s="3" t="str">
        <f>CommonItem!A46</f>
        <v>#</v>
      </c>
      <c r="E46">
        <v>1</v>
      </c>
      <c r="F46" s="3">
        <f t="shared" si="15"/>
        <v>1980</v>
      </c>
      <c r="G46">
        <v>2</v>
      </c>
      <c r="H46" s="3">
        <f t="shared" si="16"/>
        <v>1980</v>
      </c>
      <c r="I46">
        <v>-1</v>
      </c>
      <c r="J46">
        <v>-1</v>
      </c>
      <c r="K46">
        <v>-1</v>
      </c>
      <c r="L46">
        <v>-1</v>
      </c>
      <c r="M46">
        <v>0</v>
      </c>
      <c r="N46">
        <v>0</v>
      </c>
      <c r="O46">
        <v>0</v>
      </c>
      <c r="P46" s="3">
        <f t="shared" si="17"/>
        <v>0</v>
      </c>
      <c r="Q46" s="3">
        <f t="shared" si="17"/>
        <v>0</v>
      </c>
      <c r="R46">
        <v>500</v>
      </c>
      <c r="S46">
        <v>-1</v>
      </c>
      <c r="T46">
        <v>-1</v>
      </c>
      <c r="U46">
        <v>-1</v>
      </c>
      <c r="V46">
        <v>-1</v>
      </c>
      <c r="W46">
        <v>1</v>
      </c>
      <c r="X46">
        <v>999</v>
      </c>
      <c r="Y46">
        <v>0</v>
      </c>
      <c r="Z46">
        <v>0</v>
      </c>
      <c r="AA46">
        <v>-1</v>
      </c>
      <c r="AB46">
        <v>-1</v>
      </c>
    </row>
    <row r="47" s="8" customFormat="1" spans="1:28">
      <c r="A47" s="50" t="str">
        <f t="shared" si="13"/>
        <v>#</v>
      </c>
      <c r="B47" s="50" t="str">
        <f>"武器外观-"&amp;CommonItem!B47</f>
        <v>武器外观-羽岚-无相·花颂书（7天）</v>
      </c>
      <c r="C47" s="8">
        <v>13</v>
      </c>
      <c r="D47" s="50" t="str">
        <f>CommonItem!A47</f>
        <v>#</v>
      </c>
      <c r="E47" s="8">
        <v>1</v>
      </c>
      <c r="F47" s="50">
        <f t="shared" si="15"/>
        <v>460</v>
      </c>
      <c r="G47" s="8">
        <v>2</v>
      </c>
      <c r="H47" s="50">
        <f t="shared" si="16"/>
        <v>460</v>
      </c>
      <c r="I47" s="8">
        <v>-1</v>
      </c>
      <c r="J47" s="8">
        <v>-1</v>
      </c>
      <c r="K47" s="8">
        <v>-1</v>
      </c>
      <c r="L47" s="8">
        <v>-1</v>
      </c>
      <c r="M47" s="8">
        <v>0</v>
      </c>
      <c r="N47" s="8">
        <v>0</v>
      </c>
      <c r="O47" s="8">
        <v>0</v>
      </c>
      <c r="P47" s="50">
        <f t="shared" si="17"/>
        <v>0</v>
      </c>
      <c r="Q47" s="50">
        <f t="shared" si="17"/>
        <v>0</v>
      </c>
      <c r="R47" s="8">
        <v>500</v>
      </c>
      <c r="S47" s="8">
        <v>-1</v>
      </c>
      <c r="T47" s="8">
        <v>-1</v>
      </c>
      <c r="U47" s="8">
        <v>-1</v>
      </c>
      <c r="V47" s="8">
        <v>-1</v>
      </c>
      <c r="W47" s="8">
        <v>1</v>
      </c>
      <c r="X47" s="8">
        <v>999</v>
      </c>
      <c r="Y47" s="8">
        <v>0</v>
      </c>
      <c r="Z47" s="8">
        <v>0</v>
      </c>
      <c r="AA47" s="8">
        <v>-1</v>
      </c>
      <c r="AB47" s="8">
        <v>-1</v>
      </c>
    </row>
    <row r="48" s="8" customFormat="1" spans="1:28">
      <c r="A48" s="50" t="str">
        <f t="shared" si="13"/>
        <v>#</v>
      </c>
      <c r="B48" s="50" t="str">
        <f>"武器外观-"&amp;CommonItem!B48</f>
        <v>武器外观-羽岚-无相·花颂书（永久）</v>
      </c>
      <c r="C48" s="8">
        <v>13</v>
      </c>
      <c r="D48" s="50" t="str">
        <f>CommonItem!A48</f>
        <v>#</v>
      </c>
      <c r="E48" s="8">
        <v>1</v>
      </c>
      <c r="F48" s="50">
        <f t="shared" si="15"/>
        <v>1980</v>
      </c>
      <c r="G48" s="8">
        <v>2</v>
      </c>
      <c r="H48" s="50">
        <f t="shared" si="16"/>
        <v>1980</v>
      </c>
      <c r="I48" s="8">
        <v>-1</v>
      </c>
      <c r="J48" s="8">
        <v>-1</v>
      </c>
      <c r="K48" s="8">
        <v>-1</v>
      </c>
      <c r="L48" s="8">
        <v>-1</v>
      </c>
      <c r="M48" s="8">
        <v>0</v>
      </c>
      <c r="N48" s="8">
        <v>0</v>
      </c>
      <c r="O48" s="8">
        <v>0</v>
      </c>
      <c r="P48" s="50">
        <f t="shared" si="17"/>
        <v>0</v>
      </c>
      <c r="Q48" s="50">
        <f t="shared" si="17"/>
        <v>0</v>
      </c>
      <c r="R48" s="8">
        <v>500</v>
      </c>
      <c r="S48" s="8">
        <v>-1</v>
      </c>
      <c r="T48" s="8">
        <v>-1</v>
      </c>
      <c r="U48" s="8">
        <v>-1</v>
      </c>
      <c r="V48" s="8">
        <v>-1</v>
      </c>
      <c r="W48" s="8">
        <v>1</v>
      </c>
      <c r="X48" s="8">
        <v>999</v>
      </c>
      <c r="Y48" s="8">
        <v>0</v>
      </c>
      <c r="Z48" s="8">
        <v>0</v>
      </c>
      <c r="AA48" s="8">
        <v>-1</v>
      </c>
      <c r="AB48" s="8">
        <v>-1</v>
      </c>
    </row>
    <row r="49" spans="1:28">
      <c r="A49" s="3" t="str">
        <f t="shared" si="13"/>
        <v>#</v>
      </c>
      <c r="B49" s="3" t="str">
        <f>"武器外观-"&amp;CommonItem!B49</f>
        <v>武器外观-刀刹-无相·花颂刀（7天）</v>
      </c>
      <c r="C49">
        <v>13</v>
      </c>
      <c r="D49" s="3" t="str">
        <f>CommonItem!A49</f>
        <v>#</v>
      </c>
      <c r="E49">
        <v>1</v>
      </c>
      <c r="F49" s="3">
        <f t="shared" si="15"/>
        <v>460</v>
      </c>
      <c r="G49">
        <v>2</v>
      </c>
      <c r="H49" s="3">
        <f t="shared" si="16"/>
        <v>460</v>
      </c>
      <c r="I49">
        <v>-1</v>
      </c>
      <c r="J49">
        <v>-1</v>
      </c>
      <c r="K49">
        <v>-1</v>
      </c>
      <c r="L49">
        <v>-1</v>
      </c>
      <c r="M49">
        <v>0</v>
      </c>
      <c r="N49">
        <v>0</v>
      </c>
      <c r="O49">
        <v>0</v>
      </c>
      <c r="P49" s="3">
        <f t="shared" si="17"/>
        <v>0</v>
      </c>
      <c r="Q49" s="3">
        <f t="shared" si="17"/>
        <v>0</v>
      </c>
      <c r="R49">
        <v>500</v>
      </c>
      <c r="S49">
        <v>-1</v>
      </c>
      <c r="T49">
        <v>-1</v>
      </c>
      <c r="U49">
        <v>-1</v>
      </c>
      <c r="V49">
        <v>-1</v>
      </c>
      <c r="W49">
        <v>1</v>
      </c>
      <c r="X49">
        <v>999</v>
      </c>
      <c r="Y49">
        <v>0</v>
      </c>
      <c r="Z49">
        <v>0</v>
      </c>
      <c r="AA49">
        <v>-1</v>
      </c>
      <c r="AB49">
        <v>-1</v>
      </c>
    </row>
    <row r="50" spans="1:28">
      <c r="A50" s="3" t="str">
        <f t="shared" si="13"/>
        <v>#</v>
      </c>
      <c r="B50" s="3" t="str">
        <f>"武器外观-"&amp;CommonItem!B50</f>
        <v>武器外观-刀刹-无相·花颂刀（永久）</v>
      </c>
      <c r="C50">
        <v>13</v>
      </c>
      <c r="D50" s="3" t="str">
        <f>CommonItem!A50</f>
        <v>#</v>
      </c>
      <c r="E50">
        <v>1</v>
      </c>
      <c r="F50" s="3">
        <f t="shared" si="15"/>
        <v>1980</v>
      </c>
      <c r="G50">
        <v>2</v>
      </c>
      <c r="H50" s="3">
        <f t="shared" si="16"/>
        <v>1980</v>
      </c>
      <c r="I50">
        <v>-1</v>
      </c>
      <c r="J50">
        <v>-1</v>
      </c>
      <c r="K50">
        <v>-1</v>
      </c>
      <c r="L50">
        <v>-1</v>
      </c>
      <c r="M50">
        <v>0</v>
      </c>
      <c r="N50">
        <v>0</v>
      </c>
      <c r="O50">
        <v>0</v>
      </c>
      <c r="P50" s="3">
        <f t="shared" si="17"/>
        <v>0</v>
      </c>
      <c r="Q50" s="3">
        <f t="shared" si="17"/>
        <v>0</v>
      </c>
      <c r="R50">
        <v>500</v>
      </c>
      <c r="S50">
        <v>-1</v>
      </c>
      <c r="T50">
        <v>-1</v>
      </c>
      <c r="U50">
        <v>-1</v>
      </c>
      <c r="V50">
        <v>-1</v>
      </c>
      <c r="W50">
        <v>1</v>
      </c>
      <c r="X50">
        <v>999</v>
      </c>
      <c r="Y50">
        <v>0</v>
      </c>
      <c r="Z50">
        <v>0</v>
      </c>
      <c r="AA50">
        <v>-1</v>
      </c>
      <c r="AB50">
        <v>-1</v>
      </c>
    </row>
    <row r="51" s="8" customFormat="1" spans="1:28">
      <c r="A51" s="50" t="str">
        <f t="shared" si="13"/>
        <v>#</v>
      </c>
      <c r="B51" s="50" t="str">
        <f>"武器外观-"&amp;CommonItem!B51</f>
        <v>武器外观-月仙-无相·花颂镰（7天）</v>
      </c>
      <c r="C51" s="8">
        <v>13</v>
      </c>
      <c r="D51" s="50" t="str">
        <f>CommonItem!A51</f>
        <v>#</v>
      </c>
      <c r="E51" s="8">
        <v>1</v>
      </c>
      <c r="F51" s="50">
        <f t="shared" si="15"/>
        <v>460</v>
      </c>
      <c r="G51" s="8">
        <v>2</v>
      </c>
      <c r="H51" s="50">
        <f t="shared" si="16"/>
        <v>460</v>
      </c>
      <c r="I51" s="8">
        <v>-1</v>
      </c>
      <c r="J51" s="8">
        <v>-1</v>
      </c>
      <c r="K51" s="8">
        <v>-1</v>
      </c>
      <c r="L51" s="8">
        <v>-1</v>
      </c>
      <c r="M51" s="8">
        <v>0</v>
      </c>
      <c r="N51" s="8">
        <v>0</v>
      </c>
      <c r="O51" s="8">
        <v>0</v>
      </c>
      <c r="P51" s="50">
        <f>P50</f>
        <v>0</v>
      </c>
      <c r="Q51" s="50">
        <f>Q50</f>
        <v>0</v>
      </c>
      <c r="R51" s="8">
        <v>500</v>
      </c>
      <c r="S51" s="8">
        <v>-1</v>
      </c>
      <c r="T51" s="8">
        <v>-1</v>
      </c>
      <c r="U51" s="8">
        <v>-1</v>
      </c>
      <c r="V51" s="8">
        <v>-1</v>
      </c>
      <c r="W51" s="8">
        <v>1</v>
      </c>
      <c r="X51" s="8">
        <v>999</v>
      </c>
      <c r="Y51" s="8">
        <v>0</v>
      </c>
      <c r="Z51" s="8">
        <v>0</v>
      </c>
      <c r="AA51" s="8">
        <v>-1</v>
      </c>
      <c r="AB51" s="8">
        <v>-1</v>
      </c>
    </row>
    <row r="52" s="8" customFormat="1" spans="1:28">
      <c r="A52" s="50" t="str">
        <f t="shared" si="13"/>
        <v>#</v>
      </c>
      <c r="B52" s="50" t="str">
        <f>"武器外观-"&amp;CommonItem!B52</f>
        <v>武器外观-月仙-无相·花颂镰（永久）</v>
      </c>
      <c r="C52" s="8">
        <v>13</v>
      </c>
      <c r="D52" s="50" t="str">
        <f>CommonItem!A52</f>
        <v>#</v>
      </c>
      <c r="E52" s="8">
        <v>1</v>
      </c>
      <c r="F52" s="50">
        <f t="shared" si="15"/>
        <v>1980</v>
      </c>
      <c r="G52" s="8">
        <v>2</v>
      </c>
      <c r="H52" s="50">
        <f t="shared" si="16"/>
        <v>1980</v>
      </c>
      <c r="I52" s="8">
        <v>-1</v>
      </c>
      <c r="J52" s="8">
        <v>-1</v>
      </c>
      <c r="K52" s="8">
        <v>-1</v>
      </c>
      <c r="L52" s="8">
        <v>-1</v>
      </c>
      <c r="M52" s="8">
        <v>0</v>
      </c>
      <c r="N52" s="8">
        <v>0</v>
      </c>
      <c r="O52" s="8">
        <v>0</v>
      </c>
      <c r="P52" s="50">
        <f>P51</f>
        <v>0</v>
      </c>
      <c r="Q52" s="50">
        <f>Q51</f>
        <v>0</v>
      </c>
      <c r="R52" s="8">
        <v>500</v>
      </c>
      <c r="S52" s="8">
        <v>-1</v>
      </c>
      <c r="T52" s="8">
        <v>-1</v>
      </c>
      <c r="U52" s="8">
        <v>-1</v>
      </c>
      <c r="V52" s="8">
        <v>-1</v>
      </c>
      <c r="W52" s="8">
        <v>1</v>
      </c>
      <c r="X52" s="8">
        <v>999</v>
      </c>
      <c r="Y52" s="8">
        <v>0</v>
      </c>
      <c r="Z52" s="8">
        <v>0</v>
      </c>
      <c r="AA52" s="8">
        <v>-1</v>
      </c>
      <c r="AB52" s="8">
        <v>-1</v>
      </c>
    </row>
  </sheetData>
  <pageMargins left="0.7" right="0.7" top="0.75" bottom="0.75" header="0.3" footer="0.3"/>
  <pageSetup paperSize="9" orientation="portrait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5"/>
  <sheetViews>
    <sheetView workbookViewId="0">
      <selection activeCell="J4" sqref="J1:J4"/>
    </sheetView>
  </sheetViews>
  <sheetFormatPr defaultColWidth="9" defaultRowHeight="14.25"/>
  <cols>
    <col min="2" max="2" width="27.5" customWidth="1"/>
    <col min="22" max="22" width="15.625" customWidth="1"/>
  </cols>
  <sheetData>
    <row r="1" s="1" customFormat="1" spans="1:23">
      <c r="A1" s="1" t="s">
        <v>312</v>
      </c>
      <c r="B1" s="1" t="s">
        <v>313</v>
      </c>
      <c r="C1" s="1" t="s">
        <v>617</v>
      </c>
      <c r="D1" s="1" t="s">
        <v>618</v>
      </c>
      <c r="E1" s="1" t="s">
        <v>619</v>
      </c>
      <c r="F1" s="1" t="s">
        <v>620</v>
      </c>
      <c r="G1" s="1" t="s">
        <v>621</v>
      </c>
      <c r="H1" s="1" t="s">
        <v>622</v>
      </c>
      <c r="I1" s="1" t="s">
        <v>623</v>
      </c>
      <c r="J1" s="28" t="s">
        <v>624</v>
      </c>
      <c r="K1" s="1" t="s">
        <v>625</v>
      </c>
      <c r="L1" s="1" t="s">
        <v>626</v>
      </c>
      <c r="M1" s="1" t="s">
        <v>627</v>
      </c>
      <c r="N1" s="1" t="s">
        <v>628</v>
      </c>
      <c r="O1" s="1" t="s">
        <v>629</v>
      </c>
      <c r="P1" s="1" t="s">
        <v>630</v>
      </c>
      <c r="Q1" s="1" t="s">
        <v>631</v>
      </c>
      <c r="R1" s="1" t="s">
        <v>632</v>
      </c>
      <c r="S1" s="1" t="s">
        <v>633</v>
      </c>
      <c r="T1" s="1" t="s">
        <v>634</v>
      </c>
      <c r="U1" s="1" t="s">
        <v>635</v>
      </c>
      <c r="V1" s="1" t="s">
        <v>636</v>
      </c>
      <c r="W1" s="1" t="s">
        <v>637</v>
      </c>
    </row>
    <row r="2" s="1" customFormat="1" spans="1:23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28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</row>
    <row r="3" s="1" customFormat="1" spans="1:10">
      <c r="A3" s="1" t="s">
        <v>638</v>
      </c>
      <c r="C3" s="1" t="s">
        <v>447</v>
      </c>
      <c r="J3" s="28"/>
    </row>
    <row r="4" s="1" customFormat="1" spans="1:23">
      <c r="A4" s="1" t="s">
        <v>448</v>
      </c>
      <c r="B4" s="1" t="s">
        <v>639</v>
      </c>
      <c r="C4" s="1" t="s">
        <v>640</v>
      </c>
      <c r="D4" s="1" t="s">
        <v>641</v>
      </c>
      <c r="E4" s="1" t="s">
        <v>642</v>
      </c>
      <c r="F4" s="1" t="s">
        <v>643</v>
      </c>
      <c r="G4" s="1" t="s">
        <v>644</v>
      </c>
      <c r="H4" s="1" t="s">
        <v>645</v>
      </c>
      <c r="I4" s="1" t="s">
        <v>646</v>
      </c>
      <c r="J4" s="28" t="s">
        <v>647</v>
      </c>
      <c r="K4" s="1" t="s">
        <v>648</v>
      </c>
      <c r="L4" s="1" t="s">
        <v>649</v>
      </c>
      <c r="M4" s="1" t="s">
        <v>650</v>
      </c>
      <c r="N4" s="1" t="s">
        <v>651</v>
      </c>
      <c r="O4" s="1" t="s">
        <v>652</v>
      </c>
      <c r="P4" s="1" t="s">
        <v>653</v>
      </c>
      <c r="Q4" s="1" t="s">
        <v>654</v>
      </c>
      <c r="R4" s="1" t="s">
        <v>655</v>
      </c>
      <c r="S4" s="1" t="s">
        <v>656</v>
      </c>
      <c r="T4" s="1" t="s">
        <v>657</v>
      </c>
      <c r="U4" s="1" t="s">
        <v>658</v>
      </c>
      <c r="V4" s="1" t="s">
        <v>659</v>
      </c>
      <c r="W4" s="1" t="s">
        <v>660</v>
      </c>
    </row>
    <row r="5" spans="1:23">
      <c r="A5" s="7" t="str">
        <f>IF(配置总览!$B$2="Main",IF(配置总览!$B$4="导出",配置总览!$H$9,"#"),"#")</f>
        <v>#</v>
      </c>
      <c r="B5" s="7" t="str">
        <f>配置总览!$H$4&amp;"："&amp;配置总览!$E$4</f>
        <v>A：蜜语轻舞·头</v>
      </c>
      <c r="C5">
        <v>0</v>
      </c>
      <c r="D5" s="16" t="str">
        <f>$F$5</f>
        <v>#</v>
      </c>
      <c r="E5" s="17" t="str">
        <f>$G$5</f>
        <v>#</v>
      </c>
      <c r="F5" s="15" t="str">
        <f>FashionData!A5</f>
        <v>#</v>
      </c>
      <c r="G5" s="14" t="str">
        <f>FashionData!A6</f>
        <v>#</v>
      </c>
      <c r="H5" s="16" t="str">
        <f>$F$5</f>
        <v>#</v>
      </c>
      <c r="I5" s="17" t="str">
        <f>$G$5</f>
        <v>#</v>
      </c>
      <c r="J5" s="16" t="str">
        <f>$F$5</f>
        <v>#</v>
      </c>
      <c r="K5" s="17" t="str">
        <f>$G$5</f>
        <v>#</v>
      </c>
      <c r="L5" s="16" t="str">
        <f>$F$5</f>
        <v>#</v>
      </c>
      <c r="M5">
        <v>-1</v>
      </c>
      <c r="N5" s="16" t="str">
        <f>$F$5</f>
        <v>#</v>
      </c>
      <c r="O5" s="17" t="str">
        <f>$G$5</f>
        <v>#</v>
      </c>
      <c r="P5" s="16" t="str">
        <f>$F$5</f>
        <v>#</v>
      </c>
      <c r="Q5" s="17" t="str">
        <f>$G$5</f>
        <v>#</v>
      </c>
      <c r="R5" s="16" t="str">
        <f>$F$5</f>
        <v>#</v>
      </c>
      <c r="S5" s="17" t="str">
        <f>$G$5</f>
        <v>#</v>
      </c>
      <c r="T5" s="16" t="str">
        <f>$F$5</f>
        <v>#</v>
      </c>
      <c r="U5" s="17" t="str">
        <f>$G$5</f>
        <v>#</v>
      </c>
      <c r="V5" s="16" t="str">
        <f>IF(配置总览!$B$2="Main",$F$5,"")</f>
        <v>#</v>
      </c>
      <c r="W5" s="17" t="str">
        <f>IF(配置总览!$B$2="Main",$G$5,"")</f>
        <v>#</v>
      </c>
    </row>
    <row r="6" spans="1:23">
      <c r="A6" s="7" t="str">
        <f>IF(配置总览!$B$2="Main",IF(配置总览!$B$18="导出",配置总览!$H$23,"#"),"#")</f>
        <v>#</v>
      </c>
      <c r="B6" s="7" t="str">
        <f>配置总览!$H$18&amp;"："&amp;配置总览!$E$18</f>
        <v>A：蜜语轻舞</v>
      </c>
      <c r="C6">
        <v>0</v>
      </c>
      <c r="D6" s="16" t="str">
        <f>$F$6</f>
        <v>#</v>
      </c>
      <c r="E6" s="17" t="str">
        <f>$G$6</f>
        <v>#</v>
      </c>
      <c r="F6" s="15" t="str">
        <f>FashionData!A7</f>
        <v>#</v>
      </c>
      <c r="G6" s="14" t="str">
        <f>FashionData!A8</f>
        <v>#</v>
      </c>
      <c r="H6" s="16" t="str">
        <f>$F$6</f>
        <v>#</v>
      </c>
      <c r="I6" s="17" t="str">
        <f>$G$6</f>
        <v>#</v>
      </c>
      <c r="J6" s="16" t="str">
        <f>$F$6</f>
        <v>#</v>
      </c>
      <c r="K6" s="17" t="str">
        <f>$G$6</f>
        <v>#</v>
      </c>
      <c r="L6" s="16" t="str">
        <f>$F$6</f>
        <v>#</v>
      </c>
      <c r="M6">
        <v>-1</v>
      </c>
      <c r="N6" s="16" t="str">
        <f>$F$6</f>
        <v>#</v>
      </c>
      <c r="O6" s="17" t="str">
        <f>$G$6</f>
        <v>#</v>
      </c>
      <c r="P6" s="16" t="str">
        <f>$F$6</f>
        <v>#</v>
      </c>
      <c r="Q6" s="17" t="str">
        <f>$G$6</f>
        <v>#</v>
      </c>
      <c r="R6" s="16" t="str">
        <f>$F$6</f>
        <v>#</v>
      </c>
      <c r="S6" s="17" t="str">
        <f>$G$6</f>
        <v>#</v>
      </c>
      <c r="T6" s="16" t="str">
        <f>$F$6</f>
        <v>#</v>
      </c>
      <c r="U6" s="17" t="str">
        <f>$G$6</f>
        <v>#</v>
      </c>
      <c r="V6" s="16" t="str">
        <f>IF(配置总览!$B$2="Main",$F$6,"")</f>
        <v>#</v>
      </c>
      <c r="W6" s="17" t="str">
        <f>IF(配置总览!$B$2="Main",$G$6,"")</f>
        <v>#</v>
      </c>
    </row>
    <row r="7" spans="1:23">
      <c r="A7" s="7" t="str">
        <f>IF(配置总览!$B$2="Main",IF(配置总览!$B$32="导出",配置总览!$H$37,"#"),"#")</f>
        <v>#</v>
      </c>
      <c r="B7" s="7" t="str">
        <f>配置总览!$H$32&amp;"："&amp;配置总览!$E$32</f>
        <v>S+：小狗蛇-吉祥如亿</v>
      </c>
      <c r="C7">
        <v>0</v>
      </c>
      <c r="D7" s="3" t="str">
        <f>FashionData!A9</f>
        <v>#</v>
      </c>
      <c r="E7" s="3" t="str">
        <f t="shared" ref="E7:U7" si="0">$D$7</f>
        <v>#</v>
      </c>
      <c r="F7" s="3" t="str">
        <f t="shared" si="0"/>
        <v>#</v>
      </c>
      <c r="G7" s="3" t="str">
        <f t="shared" si="0"/>
        <v>#</v>
      </c>
      <c r="H7" s="3" t="str">
        <f t="shared" si="0"/>
        <v>#</v>
      </c>
      <c r="I7" s="3" t="str">
        <f t="shared" si="0"/>
        <v>#</v>
      </c>
      <c r="J7" s="3" t="str">
        <f t="shared" si="0"/>
        <v>#</v>
      </c>
      <c r="K7" s="3" t="str">
        <f t="shared" si="0"/>
        <v>#</v>
      </c>
      <c r="L7" s="3" t="str">
        <f t="shared" si="0"/>
        <v>#</v>
      </c>
      <c r="M7">
        <v>-1</v>
      </c>
      <c r="N7" s="3" t="str">
        <f t="shared" si="0"/>
        <v>#</v>
      </c>
      <c r="O7" s="3" t="str">
        <f t="shared" si="0"/>
        <v>#</v>
      </c>
      <c r="P7" s="3" t="str">
        <f t="shared" si="0"/>
        <v>#</v>
      </c>
      <c r="Q7" s="3" t="str">
        <f t="shared" si="0"/>
        <v>#</v>
      </c>
      <c r="R7" s="3" t="str">
        <f t="shared" si="0"/>
        <v>#</v>
      </c>
      <c r="S7" s="3" t="str">
        <f t="shared" si="0"/>
        <v>#</v>
      </c>
      <c r="T7" s="3" t="str">
        <f t="shared" si="0"/>
        <v>#</v>
      </c>
      <c r="U7" s="3" t="str">
        <f t="shared" si="0"/>
        <v>#</v>
      </c>
      <c r="V7" s="3" t="str">
        <f>IF(配置总览!$B$2="Main",$D$7,"")</f>
        <v>#</v>
      </c>
      <c r="W7" s="3" t="str">
        <f>IF(配置总览!$B$2="Main",$D$7,"")</f>
        <v>#</v>
      </c>
    </row>
    <row r="8" spans="1:23">
      <c r="A8" s="7" t="str">
        <f>IF(配置总览!$B$2="Main",IF(配置总览!$B$46="导出",配置总览!$H$51,"#"),"#")</f>
        <v>#</v>
      </c>
      <c r="B8" s="7" t="str">
        <f>配置总览!$H$46&amp;"："&amp;配置总览!$E$46</f>
        <v>S：小飞猪</v>
      </c>
      <c r="C8">
        <v>0</v>
      </c>
      <c r="D8" s="3" t="str">
        <f>FashionData!A10</f>
        <v>#</v>
      </c>
      <c r="E8" s="3" t="str">
        <f>$D$8</f>
        <v>#</v>
      </c>
      <c r="F8" s="3" t="str">
        <f>$D$8</f>
        <v>#</v>
      </c>
      <c r="G8" s="3" t="str">
        <f>$D$8</f>
        <v>#</v>
      </c>
      <c r="H8" s="3" t="str">
        <f>$D$8</f>
        <v>#</v>
      </c>
      <c r="I8" s="3" t="str">
        <f>$D$8</f>
        <v>#</v>
      </c>
      <c r="J8" s="3" t="str">
        <f>$D$8</f>
        <v>#</v>
      </c>
      <c r="K8" s="3" t="str">
        <f>$D$8</f>
        <v>#</v>
      </c>
      <c r="L8" s="3" t="str">
        <f>$D$8</f>
        <v>#</v>
      </c>
      <c r="M8">
        <v>-1</v>
      </c>
      <c r="N8" s="3" t="str">
        <f t="shared" ref="N8:U8" si="1">$D$8</f>
        <v>#</v>
      </c>
      <c r="O8" s="3" t="str">
        <f t="shared" si="1"/>
        <v>#</v>
      </c>
      <c r="P8" s="3" t="str">
        <f t="shared" si="1"/>
        <v>#</v>
      </c>
      <c r="Q8" s="3" t="str">
        <f t="shared" si="1"/>
        <v>#</v>
      </c>
      <c r="R8" s="3" t="str">
        <f t="shared" si="1"/>
        <v>#</v>
      </c>
      <c r="S8" s="3" t="str">
        <f t="shared" si="1"/>
        <v>#</v>
      </c>
      <c r="T8" s="3" t="str">
        <f t="shared" si="1"/>
        <v>#</v>
      </c>
      <c r="U8" s="3" t="str">
        <f t="shared" si="1"/>
        <v>#</v>
      </c>
      <c r="V8" s="3" t="str">
        <f>IF(配置总览!$B$2="Main",$D$8,"")</f>
        <v>#</v>
      </c>
      <c r="W8" s="3" t="str">
        <f>IF(配置总览!$B$2="Main",$D$8,"")</f>
        <v>#</v>
      </c>
    </row>
    <row r="9" spans="1:23">
      <c r="A9" s="7" t="str">
        <f>IF(配置总览!$B$2="Main",IF(COUNTIF(配置总览!$B$60:$B$62,"导出")&gt;0,配置总览!$H$65,"#"),"#")</f>
        <v>#</v>
      </c>
      <c r="B9" s="41" t="str">
        <f>配置总览!$H$60&amp;"："&amp;配置总览!$E$60&amp;"，"&amp;配置总览!$E$61&amp;"，"&amp;配置总览!$E$62</f>
        <v>S：仙玉台，仙合翼，白玉仙</v>
      </c>
      <c r="C9" s="37">
        <v>0</v>
      </c>
      <c r="D9" s="13" t="str">
        <f>FashionData!A11</f>
        <v>#</v>
      </c>
      <c r="E9" s="25" t="str">
        <f>$D$9</f>
        <v>#</v>
      </c>
      <c r="F9" s="25" t="str">
        <f>$D$9</f>
        <v>#</v>
      </c>
      <c r="G9" s="25" t="str">
        <f>$D$9</f>
        <v>#</v>
      </c>
      <c r="H9" s="45" t="str">
        <f>FashionData!A12</f>
        <v>#</v>
      </c>
      <c r="I9" s="46" t="str">
        <f>$H$9</f>
        <v>#</v>
      </c>
      <c r="J9" s="46" t="str">
        <f>$H$9</f>
        <v>#</v>
      </c>
      <c r="K9" s="46" t="str">
        <f>$H$9</f>
        <v>#</v>
      </c>
      <c r="L9" s="47" t="str">
        <f>FashionData!A13</f>
        <v>#</v>
      </c>
      <c r="M9" s="37">
        <v>-1</v>
      </c>
      <c r="N9" s="48" t="str">
        <f>$L$9</f>
        <v>#</v>
      </c>
      <c r="O9" s="48" t="str">
        <f>$L$9</f>
        <v>#</v>
      </c>
      <c r="P9" s="25" t="str">
        <f>$D$9</f>
        <v>#</v>
      </c>
      <c r="Q9" s="25" t="str">
        <f>$D$9</f>
        <v>#</v>
      </c>
      <c r="R9" s="46" t="str">
        <f>$H$9</f>
        <v>#</v>
      </c>
      <c r="S9" s="46" t="str">
        <f>$H$9</f>
        <v>#</v>
      </c>
      <c r="T9" s="25" t="str">
        <f>$D$9</f>
        <v>#</v>
      </c>
      <c r="U9" s="25" t="str">
        <f>$D$9</f>
        <v>#</v>
      </c>
      <c r="V9" s="48" t="str">
        <f>IF(配置总览!$B$2="Main",$L$9,"")</f>
        <v>#</v>
      </c>
      <c r="W9" s="48" t="str">
        <f>IF(配置总览!$B$2="Main",$L$9,"")</f>
        <v>#</v>
      </c>
    </row>
    <row r="10" spans="1:23">
      <c r="A10" s="7" t="str">
        <f>IF(配置总览!$B$2="Main",IF(配置总览!$B$74="导出",配置总览!$H$79,"#"),"#")</f>
        <v>#</v>
      </c>
      <c r="B10" s="41" t="str">
        <f>配置总览!$H$74&amp;"："&amp;配置总览!$E$74</f>
        <v>A：野趣风尚</v>
      </c>
      <c r="C10">
        <v>0</v>
      </c>
      <c r="D10" s="7" t="str">
        <f>FashionData!A14</f>
        <v>#</v>
      </c>
      <c r="E10" s="3" t="str">
        <f t="shared" ref="E10:U10" si="2">$D$10</f>
        <v>#</v>
      </c>
      <c r="F10" s="3" t="str">
        <f t="shared" si="2"/>
        <v>#</v>
      </c>
      <c r="G10" s="3" t="str">
        <f t="shared" si="2"/>
        <v>#</v>
      </c>
      <c r="H10" s="3" t="str">
        <f t="shared" si="2"/>
        <v>#</v>
      </c>
      <c r="I10" s="3" t="str">
        <f t="shared" si="2"/>
        <v>#</v>
      </c>
      <c r="J10" s="3" t="str">
        <f t="shared" si="2"/>
        <v>#</v>
      </c>
      <c r="K10" s="3" t="str">
        <f t="shared" si="2"/>
        <v>#</v>
      </c>
      <c r="L10" s="3" t="str">
        <f t="shared" si="2"/>
        <v>#</v>
      </c>
      <c r="M10" s="3" t="str">
        <f t="shared" si="2"/>
        <v>#</v>
      </c>
      <c r="N10" s="3" t="str">
        <f t="shared" si="2"/>
        <v>#</v>
      </c>
      <c r="O10" s="3" t="str">
        <f t="shared" si="2"/>
        <v>#</v>
      </c>
      <c r="P10" s="3" t="str">
        <f t="shared" si="2"/>
        <v>#</v>
      </c>
      <c r="Q10" s="3" t="str">
        <f t="shared" si="2"/>
        <v>#</v>
      </c>
      <c r="R10" s="3" t="str">
        <f t="shared" si="2"/>
        <v>#</v>
      </c>
      <c r="S10" s="3" t="str">
        <f t="shared" si="2"/>
        <v>#</v>
      </c>
      <c r="T10" s="3" t="str">
        <f t="shared" si="2"/>
        <v>#</v>
      </c>
      <c r="U10" s="3" t="str">
        <f t="shared" si="2"/>
        <v>#</v>
      </c>
      <c r="V10" s="3" t="str">
        <f>IF(配置总览!$B$2="Main",$D$10,"")</f>
        <v>#</v>
      </c>
      <c r="W10" s="3" t="str">
        <f>IF(配置总览!$B$2="Main",$D$10,"")</f>
        <v>#</v>
      </c>
    </row>
    <row r="11" s="2" customFormat="1" spans="1:23">
      <c r="A11" s="7" t="str">
        <f>IF(配置总览!$B$2="Main",IF(配置总览!$B$88="导出",配置总览!$H$93,"#"),"#")</f>
        <v>#</v>
      </c>
      <c r="B11" s="41" t="str">
        <f>"B："&amp;配置总览!$E$88&amp;"·宿"</f>
        <v>B：星扇·宿</v>
      </c>
      <c r="C11" s="2">
        <v>0</v>
      </c>
      <c r="D11" s="7" t="str">
        <f>FashionData!A15</f>
        <v>#</v>
      </c>
      <c r="E11" s="3" t="str">
        <f>$D11</f>
        <v>#</v>
      </c>
      <c r="F11" s="3" t="str">
        <f t="shared" ref="F11:S11" si="3">$D11</f>
        <v>#</v>
      </c>
      <c r="G11" s="3" t="str">
        <f t="shared" si="3"/>
        <v>#</v>
      </c>
      <c r="H11" s="3" t="str">
        <f t="shared" si="3"/>
        <v>#</v>
      </c>
      <c r="I11" s="3" t="str">
        <f t="shared" si="3"/>
        <v>#</v>
      </c>
      <c r="J11" s="3" t="str">
        <f t="shared" si="3"/>
        <v>#</v>
      </c>
      <c r="K11" s="3" t="str">
        <f t="shared" si="3"/>
        <v>#</v>
      </c>
      <c r="L11" s="3" t="str">
        <f t="shared" si="3"/>
        <v>#</v>
      </c>
      <c r="M11" s="3" t="str">
        <f t="shared" si="3"/>
        <v>#</v>
      </c>
      <c r="N11" s="3" t="str">
        <f t="shared" si="3"/>
        <v>#</v>
      </c>
      <c r="O11" s="3" t="str">
        <f t="shared" si="3"/>
        <v>#</v>
      </c>
      <c r="P11" s="3" t="str">
        <f t="shared" si="3"/>
        <v>#</v>
      </c>
      <c r="Q11" s="3" t="str">
        <f t="shared" si="3"/>
        <v>#</v>
      </c>
      <c r="R11" s="3" t="str">
        <f t="shared" si="3"/>
        <v>#</v>
      </c>
      <c r="S11" s="3" t="str">
        <f t="shared" si="3"/>
        <v>#</v>
      </c>
      <c r="T11" s="3" t="str">
        <f t="shared" ref="T11:U14" si="4">$D11</f>
        <v>#</v>
      </c>
      <c r="U11" s="3" t="str">
        <f t="shared" si="4"/>
        <v>#</v>
      </c>
      <c r="V11" s="3" t="str">
        <f>IF(配置总览!$B$2="Main",$D11,"")</f>
        <v>#</v>
      </c>
      <c r="W11" s="3" t="str">
        <f>IF(配置总览!$B$2="Main",$D11,"")</f>
        <v>#</v>
      </c>
    </row>
    <row r="12" s="2" customFormat="1" spans="1:23">
      <c r="A12" s="3" t="str">
        <f>IF(配置总览!$B$2="Main",IFERROR(A11+1,"#"),"#")</f>
        <v>#</v>
      </c>
      <c r="B12" s="41" t="str">
        <f>"A："&amp;配置总览!$E$88&amp;"·星象"</f>
        <v>A：星扇·星象</v>
      </c>
      <c r="C12" s="2">
        <v>0</v>
      </c>
      <c r="D12" s="7" t="str">
        <f>FashionData!A16</f>
        <v>#</v>
      </c>
      <c r="E12" s="3" t="str">
        <f>$D12</f>
        <v>#</v>
      </c>
      <c r="F12" s="3" t="str">
        <f t="shared" ref="F12:S12" si="5">$D12</f>
        <v>#</v>
      </c>
      <c r="G12" s="3" t="str">
        <f t="shared" si="5"/>
        <v>#</v>
      </c>
      <c r="H12" s="3" t="str">
        <f t="shared" si="5"/>
        <v>#</v>
      </c>
      <c r="I12" s="3" t="str">
        <f t="shared" si="5"/>
        <v>#</v>
      </c>
      <c r="J12" s="3" t="str">
        <f t="shared" si="5"/>
        <v>#</v>
      </c>
      <c r="K12" s="3" t="str">
        <f t="shared" si="5"/>
        <v>#</v>
      </c>
      <c r="L12" s="3" t="str">
        <f t="shared" si="5"/>
        <v>#</v>
      </c>
      <c r="M12" s="3" t="str">
        <f t="shared" si="5"/>
        <v>#</v>
      </c>
      <c r="N12" s="3" t="str">
        <f t="shared" si="5"/>
        <v>#</v>
      </c>
      <c r="O12" s="3" t="str">
        <f t="shared" si="5"/>
        <v>#</v>
      </c>
      <c r="P12" s="3" t="str">
        <f t="shared" si="5"/>
        <v>#</v>
      </c>
      <c r="Q12" s="3" t="str">
        <f t="shared" si="5"/>
        <v>#</v>
      </c>
      <c r="R12" s="3" t="str">
        <f t="shared" si="5"/>
        <v>#</v>
      </c>
      <c r="S12" s="3" t="str">
        <f t="shared" si="5"/>
        <v>#</v>
      </c>
      <c r="T12" s="3" t="str">
        <f t="shared" si="4"/>
        <v>#</v>
      </c>
      <c r="U12" s="3" t="str">
        <f t="shared" si="4"/>
        <v>#</v>
      </c>
      <c r="V12" s="3" t="str">
        <f>IF(配置总览!$B$2="Main",$D12,"")</f>
        <v>#</v>
      </c>
      <c r="W12" s="3" t="str">
        <f>IF(配置总览!$B$2="Main",$D12,"")</f>
        <v>#</v>
      </c>
    </row>
    <row r="13" s="2" customFormat="1" spans="1:23">
      <c r="A13" s="3" t="str">
        <f>IF(配置总览!$B$2="Main",IFERROR(A12+1,"#"),"#")</f>
        <v>#</v>
      </c>
      <c r="B13" s="41" t="str">
        <f>"S："&amp;配置总览!$E$88&amp;"·天垣"</f>
        <v>S：星扇·天垣</v>
      </c>
      <c r="C13" s="2">
        <v>0</v>
      </c>
      <c r="D13" s="7" t="str">
        <f>FashionData!A17</f>
        <v>#</v>
      </c>
      <c r="E13" s="3" t="str">
        <f>$D13</f>
        <v>#</v>
      </c>
      <c r="F13" s="3" t="str">
        <f t="shared" ref="F13:S13" si="6">$D13</f>
        <v>#</v>
      </c>
      <c r="G13" s="3" t="str">
        <f t="shared" si="6"/>
        <v>#</v>
      </c>
      <c r="H13" s="3" t="str">
        <f t="shared" si="6"/>
        <v>#</v>
      </c>
      <c r="I13" s="3" t="str">
        <f t="shared" si="6"/>
        <v>#</v>
      </c>
      <c r="J13" s="3" t="str">
        <f t="shared" si="6"/>
        <v>#</v>
      </c>
      <c r="K13" s="3" t="str">
        <f t="shared" si="6"/>
        <v>#</v>
      </c>
      <c r="L13" s="3" t="str">
        <f t="shared" si="6"/>
        <v>#</v>
      </c>
      <c r="M13" s="3" t="str">
        <f t="shared" si="6"/>
        <v>#</v>
      </c>
      <c r="N13" s="3" t="str">
        <f t="shared" si="6"/>
        <v>#</v>
      </c>
      <c r="O13" s="3" t="str">
        <f t="shared" si="6"/>
        <v>#</v>
      </c>
      <c r="P13" s="3" t="str">
        <f t="shared" si="6"/>
        <v>#</v>
      </c>
      <c r="Q13" s="3" t="str">
        <f t="shared" si="6"/>
        <v>#</v>
      </c>
      <c r="R13" s="3" t="str">
        <f t="shared" si="6"/>
        <v>#</v>
      </c>
      <c r="S13" s="3" t="str">
        <f t="shared" si="6"/>
        <v>#</v>
      </c>
      <c r="T13" s="3" t="str">
        <f t="shared" si="4"/>
        <v>#</v>
      </c>
      <c r="U13" s="3" t="str">
        <f t="shared" si="4"/>
        <v>#</v>
      </c>
      <c r="V13" s="3" t="str">
        <f>IF(配置总览!$B$2="Main",$D13,"")</f>
        <v>#</v>
      </c>
      <c r="W13" s="3" t="str">
        <f>IF(配置总览!$B$2="Main",$D13,"")</f>
        <v>#</v>
      </c>
    </row>
    <row r="14" s="2" customFormat="1" spans="1:23">
      <c r="A14" s="3" t="str">
        <f>IF(配置总览!$B$2="Main",IFERROR(A13+1,"#"),"#")</f>
        <v>#</v>
      </c>
      <c r="B14" s="41" t="str">
        <f>"S+："&amp;配置总览!$E$88&amp;"·天星引"</f>
        <v>S+：星扇·天星引</v>
      </c>
      <c r="C14" s="2">
        <v>0</v>
      </c>
      <c r="D14" s="7" t="str">
        <f>FashionData!A18</f>
        <v>#</v>
      </c>
      <c r="E14" s="3" t="str">
        <f>$D14</f>
        <v>#</v>
      </c>
      <c r="F14" s="3" t="str">
        <f t="shared" ref="F14:S14" si="7">$D14</f>
        <v>#</v>
      </c>
      <c r="G14" s="3" t="str">
        <f t="shared" si="7"/>
        <v>#</v>
      </c>
      <c r="H14" s="3" t="str">
        <f t="shared" si="7"/>
        <v>#</v>
      </c>
      <c r="I14" s="3" t="str">
        <f t="shared" si="7"/>
        <v>#</v>
      </c>
      <c r="J14" s="3" t="str">
        <f t="shared" si="7"/>
        <v>#</v>
      </c>
      <c r="K14" s="3" t="str">
        <f t="shared" si="7"/>
        <v>#</v>
      </c>
      <c r="L14" s="3" t="str">
        <f t="shared" si="7"/>
        <v>#</v>
      </c>
      <c r="M14" s="3" t="str">
        <f t="shared" si="7"/>
        <v>#</v>
      </c>
      <c r="N14" s="3" t="str">
        <f t="shared" si="7"/>
        <v>#</v>
      </c>
      <c r="O14" s="3" t="str">
        <f t="shared" si="7"/>
        <v>#</v>
      </c>
      <c r="P14" s="3" t="str">
        <f t="shared" si="7"/>
        <v>#</v>
      </c>
      <c r="Q14" s="3" t="str">
        <f t="shared" si="7"/>
        <v>#</v>
      </c>
      <c r="R14" s="3" t="str">
        <f t="shared" si="7"/>
        <v>#</v>
      </c>
      <c r="S14" s="3" t="str">
        <f t="shared" si="7"/>
        <v>#</v>
      </c>
      <c r="T14" s="3" t="str">
        <f t="shared" si="4"/>
        <v>#</v>
      </c>
      <c r="U14" s="3" t="str">
        <f t="shared" si="4"/>
        <v>#</v>
      </c>
      <c r="V14" s="3" t="str">
        <f>IF(配置总览!$B$2="Main",$D14,"")</f>
        <v>#</v>
      </c>
      <c r="W14" s="3" t="str">
        <f>IF(配置总览!$B$2="Main",$D14,"")</f>
        <v>#</v>
      </c>
    </row>
    <row r="15" spans="1:23">
      <c r="A15" s="7" t="str">
        <f>IF(配置总览!$B$2="Main",IF(配置总览!$B$102="导出",配置总览!$H$107,"#"),"#")</f>
        <v>#</v>
      </c>
      <c r="B15" s="7" t="str">
        <f>配置总览!$H$102&amp;"："&amp;配置总览!$E$102&amp;"-武器外观"</f>
        <v>S+：无相·花颂-武器外观</v>
      </c>
      <c r="C15">
        <v>0</v>
      </c>
      <c r="D15" s="13" t="str">
        <f>FashionData!$A$19</f>
        <v>#</v>
      </c>
      <c r="E15" s="13" t="str">
        <f>FashionData!$A$19</f>
        <v>#</v>
      </c>
      <c r="F15" s="13" t="str">
        <f>FashionData!$A$23</f>
        <v>#</v>
      </c>
      <c r="G15" s="13" t="str">
        <f>FashionData!$A$23</f>
        <v>#</v>
      </c>
      <c r="H15" s="13" t="str">
        <f>FashionData!$A$20</f>
        <v>#</v>
      </c>
      <c r="I15" s="13" t="str">
        <f>FashionData!$A$20</f>
        <v>#</v>
      </c>
      <c r="J15" s="13" t="str">
        <f>FashionData!$A$22</f>
        <v>#</v>
      </c>
      <c r="K15" s="13" t="str">
        <f>FashionData!$A$22</f>
        <v>#</v>
      </c>
      <c r="L15" s="13" t="str">
        <f>FashionData!$A$24</f>
        <v>#</v>
      </c>
      <c r="M15">
        <v>-1</v>
      </c>
      <c r="N15" s="13" t="str">
        <f>FashionData!$A$21</f>
        <v>#</v>
      </c>
      <c r="O15" s="13" t="str">
        <f>FashionData!$A$21</f>
        <v>#</v>
      </c>
      <c r="P15" s="13" t="str">
        <f>FashionData!$A$25</f>
        <v>#</v>
      </c>
      <c r="Q15" s="13" t="str">
        <f>FashionData!$A$25</f>
        <v>#</v>
      </c>
      <c r="R15" s="13" t="str">
        <f>FashionData!$A$26</f>
        <v>#</v>
      </c>
      <c r="S15" s="13" t="str">
        <f>FashionData!$A$26</f>
        <v>#</v>
      </c>
      <c r="T15" s="13" t="str">
        <f>FashionData!$A$28</f>
        <v>#</v>
      </c>
      <c r="U15" s="13" t="str">
        <f>FashionData!$A$28</f>
        <v>#</v>
      </c>
      <c r="V15" s="13" t="str">
        <f>IF(配置总览!$B$2="Main",FashionData!$A$27,"")</f>
        <v>#</v>
      </c>
      <c r="W15" s="13" t="str">
        <f>IF(配置总览!$B$2="Main",FashionData!$A$27,"")</f>
        <v>#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8"/>
  <sheetViews>
    <sheetView workbookViewId="0">
      <selection activeCell="D34" sqref="D34"/>
    </sheetView>
  </sheetViews>
  <sheetFormatPr defaultColWidth="9" defaultRowHeight="14.25"/>
  <cols>
    <col min="2" max="2" width="25" customWidth="1"/>
    <col min="3" max="3" width="51" customWidth="1"/>
    <col min="4" max="4" width="12.875" customWidth="1"/>
    <col min="11" max="11" width="49.625" customWidth="1"/>
    <col min="12" max="12" width="50.25" customWidth="1"/>
  </cols>
  <sheetData>
    <row r="1" s="1" customFormat="1" spans="1:35">
      <c r="A1" s="1" t="s">
        <v>312</v>
      </c>
      <c r="B1" s="1" t="s">
        <v>313</v>
      </c>
      <c r="C1" s="1" t="s">
        <v>389</v>
      </c>
      <c r="D1" s="1" t="s">
        <v>661</v>
      </c>
      <c r="E1" s="1" t="s">
        <v>662</v>
      </c>
      <c r="F1" s="1" t="s">
        <v>663</v>
      </c>
      <c r="G1" s="1" t="s">
        <v>664</v>
      </c>
      <c r="H1" s="1" t="s">
        <v>407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580</v>
      </c>
      <c r="O1" s="1" t="s">
        <v>670</v>
      </c>
      <c r="P1" s="1" t="s">
        <v>671</v>
      </c>
      <c r="Q1" s="1" t="s">
        <v>672</v>
      </c>
      <c r="R1" s="1" t="s">
        <v>673</v>
      </c>
      <c r="S1" s="1" t="s">
        <v>674</v>
      </c>
      <c r="T1" s="1" t="s">
        <v>675</v>
      </c>
      <c r="U1" s="1" t="s">
        <v>676</v>
      </c>
      <c r="V1" s="1" t="s">
        <v>677</v>
      </c>
      <c r="W1" s="1" t="s">
        <v>678</v>
      </c>
      <c r="X1" s="1" t="s">
        <v>679</v>
      </c>
      <c r="Y1" s="1" t="s">
        <v>680</v>
      </c>
      <c r="Z1" s="1" t="s">
        <v>681</v>
      </c>
      <c r="AA1" s="1" t="s">
        <v>682</v>
      </c>
      <c r="AB1" s="1" t="s">
        <v>683</v>
      </c>
      <c r="AC1" s="1" t="s">
        <v>684</v>
      </c>
      <c r="AD1" s="1" t="s">
        <v>685</v>
      </c>
      <c r="AE1" s="1" t="s">
        <v>686</v>
      </c>
      <c r="AF1" s="1" t="s">
        <v>687</v>
      </c>
      <c r="AG1" s="1" t="s">
        <v>688</v>
      </c>
      <c r="AH1" s="1" t="s">
        <v>689</v>
      </c>
      <c r="AI1" s="1" t="s">
        <v>690</v>
      </c>
    </row>
    <row r="2" s="1" customFormat="1" spans="1:35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316</v>
      </c>
      <c r="J2" s="1" t="s">
        <v>316</v>
      </c>
      <c r="K2" s="1" t="s">
        <v>316</v>
      </c>
      <c r="L2" s="1" t="s">
        <v>316</v>
      </c>
      <c r="M2" s="1" t="s">
        <v>315</v>
      </c>
      <c r="N2" s="1" t="s">
        <v>315</v>
      </c>
      <c r="O2" s="1" t="s">
        <v>315</v>
      </c>
      <c r="P2" s="1" t="s">
        <v>316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316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316</v>
      </c>
      <c r="AD2" s="1" t="s">
        <v>316</v>
      </c>
      <c r="AE2" s="1" t="s">
        <v>315</v>
      </c>
      <c r="AF2" s="1" t="s">
        <v>315</v>
      </c>
      <c r="AG2" s="1" t="s">
        <v>315</v>
      </c>
      <c r="AH2" s="1" t="s">
        <v>315</v>
      </c>
      <c r="AI2" s="1" t="s">
        <v>315</v>
      </c>
    </row>
    <row r="3" s="1" customFormat="1" spans="1:1">
      <c r="A3" s="1" t="s">
        <v>590</v>
      </c>
    </row>
    <row r="4" s="1" customFormat="1" spans="1:35">
      <c r="A4" s="1" t="s">
        <v>448</v>
      </c>
      <c r="B4" s="1" t="s">
        <v>691</v>
      </c>
      <c r="C4" s="1" t="s">
        <v>692</v>
      </c>
      <c r="D4" s="1" t="s">
        <v>693</v>
      </c>
      <c r="E4" s="1" t="s">
        <v>694</v>
      </c>
      <c r="F4" s="1" t="s">
        <v>695</v>
      </c>
      <c r="G4" s="1" t="s">
        <v>696</v>
      </c>
      <c r="H4" s="1" t="s">
        <v>697</v>
      </c>
      <c r="I4" s="1" t="s">
        <v>698</v>
      </c>
      <c r="J4" s="1" t="s">
        <v>699</v>
      </c>
      <c r="K4" s="1" t="s">
        <v>700</v>
      </c>
      <c r="L4" s="1" t="s">
        <v>701</v>
      </c>
      <c r="M4" s="1" t="s">
        <v>702</v>
      </c>
      <c r="N4" s="1" t="s">
        <v>703</v>
      </c>
      <c r="O4" s="1" t="s">
        <v>704</v>
      </c>
      <c r="P4" s="1" t="s">
        <v>705</v>
      </c>
      <c r="Q4" s="1" t="s">
        <v>259</v>
      </c>
      <c r="R4" s="1" t="s">
        <v>706</v>
      </c>
      <c r="S4" s="1" t="s">
        <v>707</v>
      </c>
      <c r="T4" s="1" t="s">
        <v>708</v>
      </c>
      <c r="U4" s="1" t="s">
        <v>709</v>
      </c>
      <c r="V4" s="1" t="s">
        <v>710</v>
      </c>
      <c r="W4" s="1" t="s">
        <v>711</v>
      </c>
      <c r="X4" s="1" t="s">
        <v>712</v>
      </c>
      <c r="Y4" s="1" t="s">
        <v>713</v>
      </c>
      <c r="Z4" s="1" t="s">
        <v>714</v>
      </c>
      <c r="AA4" s="1" t="s">
        <v>715</v>
      </c>
      <c r="AB4" s="1" t="s">
        <v>716</v>
      </c>
      <c r="AC4" s="1" t="s">
        <v>717</v>
      </c>
      <c r="AD4" s="1" t="s">
        <v>718</v>
      </c>
      <c r="AE4" s="1" t="s">
        <v>719</v>
      </c>
      <c r="AF4" s="1" t="s">
        <v>720</v>
      </c>
      <c r="AG4" s="1" t="s">
        <v>721</v>
      </c>
      <c r="AH4" s="1" t="s">
        <v>722</v>
      </c>
      <c r="AI4" s="1" t="s">
        <v>723</v>
      </c>
    </row>
    <row r="5" spans="1:35">
      <c r="A5" s="7" t="str">
        <f>IF(配置总览!$B$4="导出",5000+配置总览!H6*2-1,"#")</f>
        <v>#</v>
      </c>
      <c r="B5" s="7" t="str">
        <f>配置总览!H4&amp;"："&amp;C5&amp;"（男）"</f>
        <v>A：蜜语轻舞·头（男）</v>
      </c>
      <c r="C5" s="7" t="str">
        <f>配置总览!E4</f>
        <v>蜜语轻舞·头</v>
      </c>
      <c r="D5" s="7" t="str">
        <f>配置总览!E7</f>
        <v>蜜蜂只想bee*happy，不忘生活中的甜蜜时刻。</v>
      </c>
      <c r="E5">
        <v>1</v>
      </c>
      <c r="F5">
        <v>-1</v>
      </c>
      <c r="G5" s="42" t="str">
        <f>IF(配置总览!B2="Main",ItemVisual!A5,IF(配置总览!B2="资14",ItemVisual!#REF!))</f>
        <v>#</v>
      </c>
      <c r="H5">
        <v>0</v>
      </c>
      <c r="I5" t="s">
        <v>724</v>
      </c>
      <c r="J5" t="s">
        <v>724</v>
      </c>
      <c r="K5" s="7" t="str">
        <f>"PWicon_WaiGuan/"&amp;配置总览!N6</f>
        <v>PWicon_WaiGuan/shizhuang_icon_head_miyuqingwu_nan</v>
      </c>
      <c r="L5" s="7" t="str">
        <f>"PWicon_WaiGuan/"&amp;配置总览!N7</f>
        <v>PWicon_WaiGuan/shizhuang_icon_head_miyuqingwu_nv</v>
      </c>
      <c r="M5" s="7">
        <f>配置总览!K4</f>
        <v>1</v>
      </c>
      <c r="N5" s="7">
        <f>配置总览!$H$7</f>
        <v>2797</v>
      </c>
      <c r="O5">
        <v>-1</v>
      </c>
      <c r="P5" t="s">
        <v>725</v>
      </c>
      <c r="Q5" s="7">
        <f>VLOOKUP(V5,信息辅助!$D$4:$G$7,4,0)</f>
        <v>15</v>
      </c>
      <c r="R5" s="7">
        <f>配置总览!K4</f>
        <v>1</v>
      </c>
      <c r="S5" s="3">
        <f>R5</f>
        <v>1</v>
      </c>
      <c r="T5" s="7">
        <f>VLOOKUP(V5,信息辅助!$D$4:$G$7,2,0)</f>
        <v>24561</v>
      </c>
      <c r="U5" s="7">
        <f>VLOOKUP(V5,信息辅助!$D$4:$G$7,3,0)</f>
        <v>5</v>
      </c>
      <c r="V5" s="7">
        <f>配置总览!I4</f>
        <v>2</v>
      </c>
      <c r="W5" t="s">
        <v>726</v>
      </c>
      <c r="X5">
        <v>5075</v>
      </c>
      <c r="Y5">
        <v>5077</v>
      </c>
      <c r="Z5">
        <v>10</v>
      </c>
      <c r="AA5">
        <v>20</v>
      </c>
      <c r="AB5" s="7">
        <f>配置总览!$K$6</f>
        <v>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0</v>
      </c>
      <c r="AI5">
        <v>0</v>
      </c>
    </row>
    <row r="6" spans="1:35">
      <c r="A6" s="3" t="str">
        <f>IFERROR(A5+1,"#")</f>
        <v>#</v>
      </c>
      <c r="B6" s="7" t="str">
        <f>配置总览!H4&amp;"："&amp;C6&amp;"（女）"</f>
        <v>A：蜜语轻舞·头（女）</v>
      </c>
      <c r="C6" s="3" t="str">
        <f>C5</f>
        <v>蜜语轻舞·头</v>
      </c>
      <c r="D6" s="3" t="str">
        <f>D5</f>
        <v>蜜蜂只想bee*happy，不忘生活中的甜蜜时刻。</v>
      </c>
      <c r="E6">
        <v>1</v>
      </c>
      <c r="F6">
        <v>-1</v>
      </c>
      <c r="G6" s="43" t="str">
        <f>G5</f>
        <v>#</v>
      </c>
      <c r="H6">
        <v>1</v>
      </c>
      <c r="I6" t="s">
        <v>724</v>
      </c>
      <c r="J6" t="s">
        <v>724</v>
      </c>
      <c r="K6" s="3" t="str">
        <f>K5</f>
        <v>PWicon_WaiGuan/shizhuang_icon_head_miyuqingwu_nan</v>
      </c>
      <c r="L6" s="3" t="str">
        <f>L5</f>
        <v>PWicon_WaiGuan/shizhuang_icon_head_miyuqingwu_nv</v>
      </c>
      <c r="M6" s="3">
        <f>M5</f>
        <v>1</v>
      </c>
      <c r="N6" s="3">
        <f>N5</f>
        <v>2797</v>
      </c>
      <c r="O6">
        <v>-1</v>
      </c>
      <c r="P6" t="s">
        <v>725</v>
      </c>
      <c r="Q6" s="3">
        <f>Q5</f>
        <v>15</v>
      </c>
      <c r="R6" s="3">
        <f>R5</f>
        <v>1</v>
      </c>
      <c r="S6" s="3">
        <f t="shared" ref="S6:S8" si="0">R6</f>
        <v>1</v>
      </c>
      <c r="T6" s="3">
        <f>T5</f>
        <v>24561</v>
      </c>
      <c r="U6" s="3">
        <f t="shared" ref="U6:V8" si="1">U5</f>
        <v>5</v>
      </c>
      <c r="V6" s="3">
        <f t="shared" si="1"/>
        <v>2</v>
      </c>
      <c r="W6" t="s">
        <v>726</v>
      </c>
      <c r="X6">
        <v>5075</v>
      </c>
      <c r="Y6">
        <v>5077</v>
      </c>
      <c r="Z6">
        <v>10</v>
      </c>
      <c r="AA6">
        <v>20</v>
      </c>
      <c r="AB6" s="3">
        <f>AB5</f>
        <v>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0</v>
      </c>
      <c r="AI6">
        <v>0</v>
      </c>
    </row>
    <row r="7" spans="1:35">
      <c r="A7" s="7" t="str">
        <f>IF(配置总览!$B$18="导出",6000+配置总览!$H$20*2-1,"#")</f>
        <v>#</v>
      </c>
      <c r="B7" s="7" t="str">
        <f>配置总览!H18&amp;"："&amp;C7&amp;"（男）"</f>
        <v>A：蜜语轻舞（男）</v>
      </c>
      <c r="C7" s="7" t="str">
        <f>配置总览!E18</f>
        <v>蜜语轻舞</v>
      </c>
      <c r="D7" s="7" t="str">
        <f>配置总览!E21</f>
        <v>蜜蜂只想bee*happy，不忘生活中的甜蜜时刻。</v>
      </c>
      <c r="E7">
        <v>2</v>
      </c>
      <c r="F7">
        <v>-1</v>
      </c>
      <c r="G7" s="42" t="str">
        <f>IF(配置总览!B2="Main",ItemVisual!A6,IF(配置总览!B2="资14",ItemVisual!#REF!))</f>
        <v>#</v>
      </c>
      <c r="H7">
        <v>0</v>
      </c>
      <c r="I7" t="s">
        <v>724</v>
      </c>
      <c r="J7" t="s">
        <v>724</v>
      </c>
      <c r="K7" s="7" t="str">
        <f>"PWicon_WaiGuan/"&amp;配置总览!N20</f>
        <v>PWicon_WaiGuan/shizhuang_icon_miyuqingwu_nan</v>
      </c>
      <c r="L7" s="7" t="str">
        <f>"PWicon_WaiGuan/"&amp;配置总览!N21</f>
        <v>PWicon_WaiGuan/shizhuang_icon_miyuqingwu_nv</v>
      </c>
      <c r="M7" s="7">
        <f>配置总览!K18</f>
        <v>1</v>
      </c>
      <c r="N7" s="7">
        <f>配置总览!$H$21</f>
        <v>2797</v>
      </c>
      <c r="O7">
        <v>1</v>
      </c>
      <c r="P7" t="s">
        <v>725</v>
      </c>
      <c r="Q7" s="7">
        <f>VLOOKUP(V7,信息辅助!$D$8:$G$11,4,0)</f>
        <v>50</v>
      </c>
      <c r="R7" s="7">
        <f>配置总览!K18</f>
        <v>1</v>
      </c>
      <c r="S7" s="3">
        <f t="shared" si="0"/>
        <v>1</v>
      </c>
      <c r="T7" s="7">
        <f>VLOOKUP(V7,信息辅助!$D$8:$G$11,2,0)</f>
        <v>24561</v>
      </c>
      <c r="U7" s="7">
        <f>VLOOKUP(V7,信息辅助!$D$8:$G$11,3,0)</f>
        <v>10</v>
      </c>
      <c r="V7" s="7">
        <f>配置总览!I18</f>
        <v>2</v>
      </c>
      <c r="W7" t="s">
        <v>726</v>
      </c>
      <c r="X7">
        <v>5075</v>
      </c>
      <c r="Y7">
        <v>5077</v>
      </c>
      <c r="Z7">
        <v>10</v>
      </c>
      <c r="AA7">
        <v>20</v>
      </c>
      <c r="AB7" s="7">
        <f>配置总览!$K$20</f>
        <v>4</v>
      </c>
      <c r="AC7">
        <v>-1</v>
      </c>
      <c r="AD7">
        <v>-1</v>
      </c>
      <c r="AE7">
        <v>-1</v>
      </c>
      <c r="AF7" s="7">
        <f>配置总览!$N$26</f>
        <v>-1</v>
      </c>
      <c r="AG7" s="7">
        <f>配置总览!$N$25</f>
        <v>-1</v>
      </c>
      <c r="AH7" s="7">
        <f>IF(AF7&gt;0,5,0)</f>
        <v>0</v>
      </c>
      <c r="AI7">
        <v>0</v>
      </c>
    </row>
    <row r="8" spans="1:35">
      <c r="A8" s="3" t="str">
        <f>IFERROR(A7+1,"#")</f>
        <v>#</v>
      </c>
      <c r="B8" s="7" t="str">
        <f>配置总览!H18&amp;"："&amp;C8&amp;"（女）"</f>
        <v>A：蜜语轻舞（女）</v>
      </c>
      <c r="C8" s="3" t="str">
        <f>C7</f>
        <v>蜜语轻舞</v>
      </c>
      <c r="D8" s="3" t="str">
        <f t="shared" ref="D8:D13" si="2">D7</f>
        <v>蜜蜂只想bee*happy，不忘生活中的甜蜜时刻。</v>
      </c>
      <c r="E8">
        <v>2</v>
      </c>
      <c r="F8">
        <v>-1</v>
      </c>
      <c r="G8" s="43" t="str">
        <f>G7</f>
        <v>#</v>
      </c>
      <c r="H8">
        <v>1</v>
      </c>
      <c r="I8" t="s">
        <v>724</v>
      </c>
      <c r="J8" t="s">
        <v>724</v>
      </c>
      <c r="K8" s="3" t="str">
        <f>K7</f>
        <v>PWicon_WaiGuan/shizhuang_icon_miyuqingwu_nan</v>
      </c>
      <c r="L8" s="3" t="str">
        <f>L7</f>
        <v>PWicon_WaiGuan/shizhuang_icon_miyuqingwu_nv</v>
      </c>
      <c r="M8" s="3">
        <f>M7</f>
        <v>1</v>
      </c>
      <c r="N8" s="3">
        <f>N7</f>
        <v>2797</v>
      </c>
      <c r="O8">
        <v>1</v>
      </c>
      <c r="P8" t="s">
        <v>725</v>
      </c>
      <c r="Q8" s="3">
        <f>Q7</f>
        <v>50</v>
      </c>
      <c r="R8" s="3">
        <f t="shared" ref="R8" si="3">R7</f>
        <v>1</v>
      </c>
      <c r="S8" s="3">
        <f t="shared" si="0"/>
        <v>1</v>
      </c>
      <c r="T8" s="3">
        <f>T7</f>
        <v>24561</v>
      </c>
      <c r="U8" s="3">
        <f t="shared" si="1"/>
        <v>10</v>
      </c>
      <c r="V8" s="3">
        <f t="shared" si="1"/>
        <v>2</v>
      </c>
      <c r="W8" t="s">
        <v>726</v>
      </c>
      <c r="X8">
        <v>5075</v>
      </c>
      <c r="Y8">
        <v>5077</v>
      </c>
      <c r="Z8">
        <v>10</v>
      </c>
      <c r="AA8">
        <v>20</v>
      </c>
      <c r="AB8" s="3">
        <f>AB7</f>
        <v>4</v>
      </c>
      <c r="AC8">
        <v>-1</v>
      </c>
      <c r="AD8">
        <v>-1</v>
      </c>
      <c r="AE8">
        <v>-1</v>
      </c>
      <c r="AF8" s="7">
        <f>配置总览!$N$27</f>
        <v>-1</v>
      </c>
      <c r="AG8" s="3">
        <f t="shared" ref="AG8:AH8" si="4">AG7</f>
        <v>-1</v>
      </c>
      <c r="AH8" s="3">
        <f t="shared" si="4"/>
        <v>0</v>
      </c>
      <c r="AI8">
        <v>0</v>
      </c>
    </row>
    <row r="9" spans="1:35">
      <c r="A9" s="7" t="str">
        <f>IF(配置总览!$B$32="导出",7000+配置总览!H34,"#")</f>
        <v>#</v>
      </c>
      <c r="B9" s="7" t="str">
        <f>配置总览!H32&amp;"："&amp;C9</f>
        <v>S+：小狗蛇-吉祥如亿</v>
      </c>
      <c r="C9" s="7" t="str">
        <f>配置总览!E32</f>
        <v>小狗蛇-吉祥如亿</v>
      </c>
      <c r="D9" s="7" t="str">
        <f>配置总览!E35</f>
        <v>小狗蛇坐骑，灵动可爱寓意祥，伴你左右好运亿长，吉祥如意行四方。</v>
      </c>
      <c r="E9">
        <v>7</v>
      </c>
      <c r="F9" s="7" t="str">
        <f>MountBase!A5</f>
        <v>#</v>
      </c>
      <c r="G9">
        <v>-1</v>
      </c>
      <c r="H9">
        <v>-1</v>
      </c>
      <c r="I9" t="s">
        <v>724</v>
      </c>
      <c r="J9" t="s">
        <v>724</v>
      </c>
      <c r="K9" s="7" t="str">
        <f>"PWicon_WaiGuan/"&amp;配置总览!N34</f>
        <v>PWicon_WaiGuan/icon_zuoqi_zhaocaimaoxiaogoushe</v>
      </c>
      <c r="L9" s="3" t="str">
        <f>K9</f>
        <v>PWicon_WaiGuan/icon_zuoqi_zhaocaimaoxiaogoushe</v>
      </c>
      <c r="M9">
        <v>0</v>
      </c>
      <c r="N9" s="7">
        <f>配置总览!$H$35</f>
        <v>914</v>
      </c>
      <c r="O9">
        <v>-1</v>
      </c>
      <c r="P9" t="s">
        <v>725</v>
      </c>
      <c r="Q9" s="7">
        <f>VLOOKUP(V9,信息辅助!$D$12:$G$15,4,0)</f>
        <v>100</v>
      </c>
      <c r="R9">
        <v>0</v>
      </c>
      <c r="S9">
        <v>0</v>
      </c>
      <c r="T9">
        <v>0</v>
      </c>
      <c r="U9">
        <v>0</v>
      </c>
      <c r="V9" s="7">
        <f>配置总览!I32</f>
        <v>4</v>
      </c>
      <c r="W9" t="s">
        <v>726</v>
      </c>
      <c r="X9">
        <v>5075</v>
      </c>
      <c r="Y9">
        <v>5077</v>
      </c>
      <c r="Z9">
        <v>10</v>
      </c>
      <c r="AA9">
        <v>20</v>
      </c>
      <c r="AB9">
        <v>2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0</v>
      </c>
      <c r="AI9">
        <v>0</v>
      </c>
    </row>
    <row r="10" spans="1:35">
      <c r="A10" s="9" t="str">
        <f>IF(配置总览!$B$46="导出",8000+配置总览!H48,"#")</f>
        <v>#</v>
      </c>
      <c r="B10" s="7" t="str">
        <f>配置总览!H46&amp;"："&amp;C10</f>
        <v>S：小飞猪</v>
      </c>
      <c r="C10" s="7" t="str">
        <f>配置总览!E46</f>
        <v>小飞猪</v>
      </c>
      <c r="D10" s="7" t="str">
        <f>配置总览!E49</f>
        <v>我会飞！你行你飞呀！</v>
      </c>
      <c r="E10">
        <v>8</v>
      </c>
      <c r="F10" s="7" t="str">
        <f>AircraftBase!$A$5</f>
        <v>#</v>
      </c>
      <c r="G10">
        <v>-1</v>
      </c>
      <c r="H10">
        <v>-1</v>
      </c>
      <c r="I10" t="s">
        <v>724</v>
      </c>
      <c r="J10" t="s">
        <v>724</v>
      </c>
      <c r="K10" s="7" t="str">
        <f>"PWicon_WaiGuan/"&amp;配置总览!N48</f>
        <v>PWicon_WaiGuan/icon_feixingqi_feitianzhu</v>
      </c>
      <c r="L10" s="3" t="str">
        <f t="shared" ref="L10:L18" si="5">K10</f>
        <v>PWicon_WaiGuan/icon_feixingqi_feitianzhu</v>
      </c>
      <c r="M10">
        <v>0</v>
      </c>
      <c r="N10" s="7">
        <f>配置总览!$H$49</f>
        <v>1887</v>
      </c>
      <c r="O10">
        <v>-1</v>
      </c>
      <c r="P10" t="s">
        <v>725</v>
      </c>
      <c r="Q10" s="7">
        <f>VLOOKUP(V10,信息辅助!$D$16:$G$19,4,0)</f>
        <v>150</v>
      </c>
      <c r="R10">
        <v>0</v>
      </c>
      <c r="S10">
        <v>0</v>
      </c>
      <c r="T10">
        <v>0</v>
      </c>
      <c r="U10">
        <v>0</v>
      </c>
      <c r="V10" s="7">
        <f>配置总览!I46</f>
        <v>3</v>
      </c>
      <c r="W10" t="s">
        <v>726</v>
      </c>
      <c r="X10">
        <v>5075</v>
      </c>
      <c r="Y10">
        <v>5077</v>
      </c>
      <c r="Z10">
        <v>10</v>
      </c>
      <c r="AA10">
        <v>20</v>
      </c>
      <c r="AB10">
        <v>4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0</v>
      </c>
      <c r="AI10">
        <v>0</v>
      </c>
    </row>
    <row r="11" spans="1:35">
      <c r="A11" s="41" t="str">
        <f>IF(配置总览!$B$60="导出",8000+配置总览!H62,"#")</f>
        <v>#</v>
      </c>
      <c r="B11" s="7" t="str">
        <f>配置总览!$H$60&amp;"："&amp;"妖族-"&amp;C11</f>
        <v>S：妖族-仙玉台</v>
      </c>
      <c r="C11" s="41" t="str">
        <f>配置总览!E60</f>
        <v>仙玉台</v>
      </c>
      <c r="D11" s="7" t="str">
        <f>配置总览!E65</f>
        <v>花根花朵胥攒簇，#r莫恨无端浪与名。#r借问世间一切法，#r孰非百合幻而成。</v>
      </c>
      <c r="E11" s="37">
        <v>8</v>
      </c>
      <c r="F11" s="44" t="str">
        <f>AircraftBase!A6</f>
        <v>#</v>
      </c>
      <c r="G11" s="37">
        <v>-1</v>
      </c>
      <c r="H11" s="37">
        <v>-1</v>
      </c>
      <c r="I11" s="37" t="s">
        <v>724</v>
      </c>
      <c r="J11" s="37" t="s">
        <v>724</v>
      </c>
      <c r="K11" s="7" t="str">
        <f>"PWicon_WaiGuan/"&amp;配置总览!N60</f>
        <v>PWicon_WaiGuan/icon_feixingqi_baihe2</v>
      </c>
      <c r="L11" s="3" t="str">
        <f t="shared" si="5"/>
        <v>PWicon_WaiGuan/icon_feixingqi_baihe2</v>
      </c>
      <c r="M11" s="37">
        <v>0</v>
      </c>
      <c r="N11" s="41">
        <f>配置总览!$H$63</f>
        <v>1899</v>
      </c>
      <c r="O11" s="37">
        <v>-1</v>
      </c>
      <c r="P11" s="37" t="s">
        <v>725</v>
      </c>
      <c r="Q11" s="7">
        <f>VLOOKUP(V11,信息辅助!$D$16:$G$19,4,0)</f>
        <v>150</v>
      </c>
      <c r="R11">
        <v>0</v>
      </c>
      <c r="S11" s="37">
        <v>0</v>
      </c>
      <c r="T11" s="37">
        <v>0</v>
      </c>
      <c r="U11" s="37">
        <v>0</v>
      </c>
      <c r="V11" s="7">
        <f>配置总览!I60</f>
        <v>3</v>
      </c>
      <c r="W11" s="37" t="s">
        <v>727</v>
      </c>
      <c r="X11" s="37">
        <v>5075</v>
      </c>
      <c r="Y11" s="37">
        <v>5077</v>
      </c>
      <c r="Z11" s="37">
        <v>10</v>
      </c>
      <c r="AA11" s="37">
        <v>20</v>
      </c>
      <c r="AB11" s="37">
        <v>2</v>
      </c>
      <c r="AC11" s="37">
        <v>-1</v>
      </c>
      <c r="AD11" s="37">
        <v>-1</v>
      </c>
      <c r="AE11" s="37">
        <v>-1</v>
      </c>
      <c r="AF11" s="37">
        <v>-1</v>
      </c>
      <c r="AG11" s="37">
        <v>-1</v>
      </c>
      <c r="AH11" s="37">
        <v>0</v>
      </c>
      <c r="AI11">
        <v>0</v>
      </c>
    </row>
    <row r="12" spans="1:35">
      <c r="A12" s="41" t="str">
        <f>IF(配置总览!$B$61="导出",8000+配置总览!H62+配置总览!A63,"#")</f>
        <v>#</v>
      </c>
      <c r="B12" s="7" t="str">
        <f>配置总览!$H$60&amp;"："&amp;"羽族-"&amp;C12</f>
        <v>S：羽族-仙合翼</v>
      </c>
      <c r="C12" s="41" t="str">
        <f>配置总览!E61</f>
        <v>仙合翼</v>
      </c>
      <c r="D12" s="3" t="str">
        <f t="shared" si="2"/>
        <v>花根花朵胥攒簇，#r莫恨无端浪与名。#r借问世间一切法，#r孰非百合幻而成。</v>
      </c>
      <c r="E12" s="37">
        <v>8</v>
      </c>
      <c r="F12" s="3" t="str">
        <f t="shared" ref="F12:F13" si="6">IFERROR(F11+1,"#")</f>
        <v>#</v>
      </c>
      <c r="G12" s="37">
        <v>-1</v>
      </c>
      <c r="H12" s="37">
        <v>-1</v>
      </c>
      <c r="I12" s="37" t="s">
        <v>724</v>
      </c>
      <c r="J12" s="37" t="s">
        <v>724</v>
      </c>
      <c r="K12" s="7" t="str">
        <f>"PWicon_WaiGuan/"&amp;配置总览!N61</f>
        <v>PWicon_WaiGuan/icon_feixingqi_haiyangzhixin</v>
      </c>
      <c r="L12" s="3" t="str">
        <f t="shared" si="5"/>
        <v>PWicon_WaiGuan/icon_feixingqi_haiyangzhixin</v>
      </c>
      <c r="M12" s="37">
        <v>0</v>
      </c>
      <c r="N12" s="3">
        <f>N11</f>
        <v>1899</v>
      </c>
      <c r="O12" s="37">
        <v>-1</v>
      </c>
      <c r="P12" s="37" t="s">
        <v>725</v>
      </c>
      <c r="Q12" s="3">
        <f t="shared" ref="Q12:Q13" si="7">Q11</f>
        <v>150</v>
      </c>
      <c r="R12">
        <v>0</v>
      </c>
      <c r="S12" s="37">
        <v>0</v>
      </c>
      <c r="T12" s="37">
        <v>0</v>
      </c>
      <c r="U12" s="37">
        <v>0</v>
      </c>
      <c r="V12" s="3">
        <f>V11</f>
        <v>3</v>
      </c>
      <c r="W12" s="37" t="s">
        <v>728</v>
      </c>
      <c r="X12" s="37">
        <v>5075</v>
      </c>
      <c r="Y12" s="37">
        <v>5077</v>
      </c>
      <c r="Z12" s="37">
        <v>10</v>
      </c>
      <c r="AA12" s="37">
        <v>20</v>
      </c>
      <c r="AB12" s="37">
        <v>2</v>
      </c>
      <c r="AC12" s="37">
        <v>-1</v>
      </c>
      <c r="AD12" s="37">
        <v>-1</v>
      </c>
      <c r="AE12" s="37">
        <v>-1</v>
      </c>
      <c r="AF12" s="37">
        <v>-1</v>
      </c>
      <c r="AG12" s="37">
        <v>-1</v>
      </c>
      <c r="AH12" s="37">
        <v>0</v>
      </c>
      <c r="AI12">
        <v>0</v>
      </c>
    </row>
    <row r="13" spans="1:35">
      <c r="A13" s="41" t="str">
        <f>IF(配置总览!$B$62="导出",8000+配置总览!H62+配置总览!A64,"#")</f>
        <v>#</v>
      </c>
      <c r="B13" s="7" t="str">
        <f>配置总览!$H$60&amp;"："&amp;"人族-"&amp;C13</f>
        <v>S：人族-白玉仙</v>
      </c>
      <c r="C13" s="41" t="str">
        <f>配置总览!E62</f>
        <v>白玉仙</v>
      </c>
      <c r="D13" s="3" t="str">
        <f t="shared" si="2"/>
        <v>花根花朵胥攒簇，#r莫恨无端浪与名。#r借问世间一切法，#r孰非百合幻而成。</v>
      </c>
      <c r="E13" s="37">
        <v>8</v>
      </c>
      <c r="F13" s="3" t="str">
        <f t="shared" si="6"/>
        <v>#</v>
      </c>
      <c r="G13" s="37">
        <v>-1</v>
      </c>
      <c r="H13" s="37">
        <v>-1</v>
      </c>
      <c r="I13" s="37" t="s">
        <v>724</v>
      </c>
      <c r="J13" s="37" t="s">
        <v>724</v>
      </c>
      <c r="K13" s="7" t="str">
        <f>"PWicon_WaiGuan/"&amp;配置总览!N62</f>
        <v>PWicon_WaiGuan/icon_feixingqi_baihe1</v>
      </c>
      <c r="L13" s="3" t="str">
        <f t="shared" si="5"/>
        <v>PWicon_WaiGuan/icon_feixingqi_baihe1</v>
      </c>
      <c r="M13" s="37">
        <v>0</v>
      </c>
      <c r="N13" s="3">
        <f>N12</f>
        <v>1899</v>
      </c>
      <c r="O13" s="37">
        <v>-1</v>
      </c>
      <c r="P13" s="37" t="s">
        <v>725</v>
      </c>
      <c r="Q13" s="3">
        <f t="shared" si="7"/>
        <v>150</v>
      </c>
      <c r="R13">
        <v>0</v>
      </c>
      <c r="S13" s="37">
        <v>0</v>
      </c>
      <c r="T13" s="37">
        <v>0</v>
      </c>
      <c r="U13" s="37">
        <v>0</v>
      </c>
      <c r="V13" s="3">
        <f>V12</f>
        <v>3</v>
      </c>
      <c r="W13" s="37" t="s">
        <v>728</v>
      </c>
      <c r="X13" s="37">
        <v>5075</v>
      </c>
      <c r="Y13" s="37">
        <v>5077</v>
      </c>
      <c r="Z13" s="37">
        <v>10</v>
      </c>
      <c r="AA13" s="37">
        <v>20</v>
      </c>
      <c r="AB13" s="37">
        <v>2</v>
      </c>
      <c r="AC13" s="37">
        <v>-1</v>
      </c>
      <c r="AD13" s="37">
        <v>-1</v>
      </c>
      <c r="AE13" s="37">
        <v>-1</v>
      </c>
      <c r="AF13" s="37">
        <v>-1</v>
      </c>
      <c r="AG13" s="37">
        <v>-1</v>
      </c>
      <c r="AH13" s="37">
        <v>0</v>
      </c>
      <c r="AI13">
        <v>0</v>
      </c>
    </row>
    <row r="14" spans="1:35">
      <c r="A14" s="7" t="str">
        <f>IF(配置总览!$B$74="导出",4000+配置总览!H76,"#")</f>
        <v>#</v>
      </c>
      <c r="B14" s="7" t="str">
        <f>配置总览!H74&amp;"："&amp;C14</f>
        <v>A：野趣风尚</v>
      </c>
      <c r="C14" s="41" t="str">
        <f>配置总览!$E$74</f>
        <v>野趣风尚</v>
      </c>
      <c r="D14" s="7" t="str">
        <f>配置总览!E77</f>
        <v>背包很小，快乐很满！</v>
      </c>
      <c r="E14">
        <v>4</v>
      </c>
      <c r="F14">
        <v>-1</v>
      </c>
      <c r="G14" s="42" t="str">
        <f>IF(配置总览!$B$2="Main",ItemVisual!A7,IF(配置总览!$B$2="资14",ItemVisual!#REF!))</f>
        <v>#</v>
      </c>
      <c r="H14">
        <v>-1</v>
      </c>
      <c r="I14" t="s">
        <v>724</v>
      </c>
      <c r="J14" t="s">
        <v>724</v>
      </c>
      <c r="K14" s="7" t="str">
        <f>"PWicon_WaiGuan/"&amp;配置总览!N76</f>
        <v>PWicon_WaiGuan/icon_beishi_yequfengshang</v>
      </c>
      <c r="L14" s="3" t="str">
        <f t="shared" si="5"/>
        <v>PWicon_WaiGuan/icon_beishi_yequfengshang</v>
      </c>
      <c r="M14">
        <v>0</v>
      </c>
      <c r="N14" s="7">
        <f>配置总览!$H$77</f>
        <v>2983</v>
      </c>
      <c r="O14">
        <v>-1</v>
      </c>
      <c r="P14" t="s">
        <v>725</v>
      </c>
      <c r="Q14" s="7">
        <f>VLOOKUP(V14,信息辅助!$D$24:$G$27,4,0)</f>
        <v>25</v>
      </c>
      <c r="R14">
        <v>0</v>
      </c>
      <c r="S14">
        <v>0</v>
      </c>
      <c r="T14">
        <v>0</v>
      </c>
      <c r="U14">
        <v>0</v>
      </c>
      <c r="V14" s="7">
        <f>配置总览!I74</f>
        <v>2</v>
      </c>
      <c r="W14" t="s">
        <v>726</v>
      </c>
      <c r="X14">
        <v>5075</v>
      </c>
      <c r="Y14">
        <v>5077</v>
      </c>
      <c r="Z14">
        <v>10</v>
      </c>
      <c r="AA14">
        <v>20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0</v>
      </c>
      <c r="AI14">
        <v>0</v>
      </c>
    </row>
    <row r="15" s="2" customFormat="1" spans="1:35">
      <c r="A15" s="7" t="str">
        <f>IF(配置总览!$B$88="导出",4000+配置总览!H90,"#")</f>
        <v>#</v>
      </c>
      <c r="B15" s="7" t="str">
        <f>"B："&amp;C15</f>
        <v>B：星扇·宿</v>
      </c>
      <c r="C15" s="41" t="str">
        <f>配置总览!$E$88&amp;"·宿"</f>
        <v>星扇·宿</v>
      </c>
      <c r="D15" s="41" t="str">
        <f>"解锁"&amp;配置总览!$E$89&amp;"后获得。#r#r时序突破后解锁更高形态，在天星秘器形态预览可查看所有外观形态。"</f>
        <v>解锁天渊星扇后获得。#r#r时序突破后解锁更高形态，在天星秘器形态预览可查看所有外观形态。</v>
      </c>
      <c r="E15" s="2">
        <v>4</v>
      </c>
      <c r="F15" s="2">
        <v>-1</v>
      </c>
      <c r="G15" s="42" t="str">
        <f>IF(配置总览!$B$2="Main",ItemVisual!A8,IF(配置总览!$B$2="资14",ItemVisual!#REF!))</f>
        <v>#</v>
      </c>
      <c r="H15" s="2">
        <v>-1</v>
      </c>
      <c r="I15" s="2" t="s">
        <v>724</v>
      </c>
      <c r="J15" s="2" t="s">
        <v>724</v>
      </c>
      <c r="K15" s="7" t="str">
        <f>"PWicon_WaiGuan/"&amp;配置总览!N90</f>
        <v>PWicon_WaiGuan/icon_tianyuanxingshan_su</v>
      </c>
      <c r="L15" s="3" t="str">
        <f t="shared" si="5"/>
        <v>PWicon_WaiGuan/icon_tianyuanxingshan_su</v>
      </c>
      <c r="M15" s="2">
        <v>0</v>
      </c>
      <c r="N15" s="2">
        <v>999</v>
      </c>
      <c r="O15" s="2">
        <v>-1</v>
      </c>
      <c r="P15" s="2" t="s">
        <v>725</v>
      </c>
      <c r="Q15" s="2">
        <v>15</v>
      </c>
      <c r="R15" s="2">
        <v>0</v>
      </c>
      <c r="S15" s="2">
        <v>0</v>
      </c>
      <c r="T15" s="2">
        <v>0</v>
      </c>
      <c r="U15" s="2">
        <v>0</v>
      </c>
      <c r="V15" s="2">
        <v>1</v>
      </c>
      <c r="W15" s="2" t="s">
        <v>726</v>
      </c>
      <c r="X15" s="2">
        <v>5075</v>
      </c>
      <c r="Y15" s="2">
        <v>5077</v>
      </c>
      <c r="Z15" s="2">
        <v>10</v>
      </c>
      <c r="AA15" s="2">
        <v>20</v>
      </c>
      <c r="AB15" s="2">
        <v>0</v>
      </c>
      <c r="AC15" s="2">
        <v>-1</v>
      </c>
      <c r="AD15" s="2">
        <v>-1</v>
      </c>
      <c r="AE15" s="2">
        <v>-1</v>
      </c>
      <c r="AF15" s="2">
        <v>-1</v>
      </c>
      <c r="AG15" s="2">
        <v>-1</v>
      </c>
      <c r="AH15" s="2">
        <v>0</v>
      </c>
      <c r="AI15">
        <v>0</v>
      </c>
    </row>
    <row r="16" s="2" customFormat="1" spans="1:35">
      <c r="A16" s="3" t="str">
        <f t="shared" ref="A16:A18" si="8">IFERROR(A15+1,"#")</f>
        <v>#</v>
      </c>
      <c r="B16" s="7" t="str">
        <f>"A："&amp;C16</f>
        <v>A：星扇·星象</v>
      </c>
      <c r="C16" s="41" t="str">
        <f>配置总览!$E$88&amp;"·星象"</f>
        <v>星扇·星象</v>
      </c>
      <c r="D16" s="41" t="str">
        <f>配置总览!$E$89&amp;"达到时序三·时辰后获得。#r#r时序突破后解锁更高形态，在天星秘器形态预览可查看所有外观形态。"</f>
        <v>天渊星扇达到时序三·时辰后获得。#r#r时序突破后解锁更高形态，在天星秘器形态预览可查看所有外观形态。</v>
      </c>
      <c r="E16" s="2">
        <v>4</v>
      </c>
      <c r="F16" s="2">
        <v>-1</v>
      </c>
      <c r="G16" s="42" t="str">
        <f>IF(配置总览!$B$2="Main",ItemVisual!A9,IF(配置总览!$B$2="资14",ItemVisual!#REF!))</f>
        <v>#</v>
      </c>
      <c r="H16" s="2">
        <v>-1</v>
      </c>
      <c r="I16" s="2" t="s">
        <v>724</v>
      </c>
      <c r="J16" s="2" t="s">
        <v>724</v>
      </c>
      <c r="K16" s="7" t="str">
        <f>"PWicon_WaiGuan/"&amp;配置总览!N91</f>
        <v>PWicon_WaiGuan/icon_tianyuanxingshan_xingxiang</v>
      </c>
      <c r="L16" s="3" t="str">
        <f t="shared" si="5"/>
        <v>PWicon_WaiGuan/icon_tianyuanxingshan_xingxiang</v>
      </c>
      <c r="M16" s="2">
        <v>0</v>
      </c>
      <c r="N16" s="2">
        <v>999</v>
      </c>
      <c r="O16" s="2">
        <v>-1</v>
      </c>
      <c r="P16" s="2" t="s">
        <v>725</v>
      </c>
      <c r="Q16" s="2">
        <v>25</v>
      </c>
      <c r="R16" s="2">
        <v>0</v>
      </c>
      <c r="S16" s="2">
        <v>0</v>
      </c>
      <c r="T16" s="2">
        <v>0</v>
      </c>
      <c r="U16" s="2">
        <v>0</v>
      </c>
      <c r="V16" s="2">
        <v>2</v>
      </c>
      <c r="W16" s="2" t="s">
        <v>726</v>
      </c>
      <c r="X16" s="2">
        <v>5075</v>
      </c>
      <c r="Y16" s="2">
        <v>5077</v>
      </c>
      <c r="Z16" s="2">
        <v>10</v>
      </c>
      <c r="AA16" s="2">
        <v>20</v>
      </c>
      <c r="AB16" s="2">
        <v>0</v>
      </c>
      <c r="AC16" s="2">
        <v>-1</v>
      </c>
      <c r="AD16" s="2">
        <v>-1</v>
      </c>
      <c r="AE16" s="2">
        <v>-1</v>
      </c>
      <c r="AF16" s="2">
        <v>-1</v>
      </c>
      <c r="AG16" s="2">
        <v>-1</v>
      </c>
      <c r="AH16" s="2">
        <v>0</v>
      </c>
      <c r="AI16">
        <v>0</v>
      </c>
    </row>
    <row r="17" s="2" customFormat="1" spans="1:35">
      <c r="A17" s="3" t="str">
        <f t="shared" si="8"/>
        <v>#</v>
      </c>
      <c r="B17" s="7" t="str">
        <f>"S："&amp;C17</f>
        <v>S：星扇·天垣</v>
      </c>
      <c r="C17" s="41" t="str">
        <f>配置总览!$E$88&amp;"·天垣"</f>
        <v>星扇·天垣</v>
      </c>
      <c r="D17" s="41" t="str">
        <f>配置总览!$E$89&amp;"达到时序五·候天后获得。#r#r时序突破后解锁更高形态，在天星秘器形态预览可查看所有外观形态。"</f>
        <v>天渊星扇达到时序五·候天后获得。#r#r时序突破后解锁更高形态，在天星秘器形态预览可查看所有外观形态。</v>
      </c>
      <c r="E17" s="2">
        <v>4</v>
      </c>
      <c r="F17" s="2">
        <v>-1</v>
      </c>
      <c r="G17" s="42" t="str">
        <f>IF(配置总览!$B$2="Main",ItemVisual!A10,IF(配置总览!$B$2="资14",ItemVisual!#REF!))</f>
        <v>#</v>
      </c>
      <c r="H17" s="2">
        <v>-1</v>
      </c>
      <c r="I17" s="2" t="s">
        <v>724</v>
      </c>
      <c r="J17" s="2" t="s">
        <v>724</v>
      </c>
      <c r="K17" s="7" t="str">
        <f>"PWicon_WaiGuan/"&amp;配置总览!N92</f>
        <v>PWicon_WaiGuan/icon_tianyuanxingshan_tianyuan</v>
      </c>
      <c r="L17" s="3" t="str">
        <f t="shared" si="5"/>
        <v>PWicon_WaiGuan/icon_tianyuanxingshan_tianyuan</v>
      </c>
      <c r="M17" s="2">
        <v>0</v>
      </c>
      <c r="N17" s="2">
        <v>999</v>
      </c>
      <c r="O17" s="2">
        <v>-1</v>
      </c>
      <c r="P17" s="2" t="s">
        <v>725</v>
      </c>
      <c r="Q17" s="2">
        <v>50</v>
      </c>
      <c r="R17" s="2">
        <v>0</v>
      </c>
      <c r="S17" s="2">
        <v>0</v>
      </c>
      <c r="T17" s="2">
        <v>0</v>
      </c>
      <c r="U17" s="2">
        <v>0</v>
      </c>
      <c r="V17" s="2">
        <v>3</v>
      </c>
      <c r="W17" s="2" t="s">
        <v>726</v>
      </c>
      <c r="X17" s="2">
        <v>5075</v>
      </c>
      <c r="Y17" s="2">
        <v>5077</v>
      </c>
      <c r="Z17" s="2">
        <v>10</v>
      </c>
      <c r="AA17" s="2">
        <v>20</v>
      </c>
      <c r="AB17" s="2">
        <v>0</v>
      </c>
      <c r="AC17" s="2">
        <v>-1</v>
      </c>
      <c r="AD17" s="2">
        <v>-1</v>
      </c>
      <c r="AE17" s="2">
        <v>-1</v>
      </c>
      <c r="AF17" s="2">
        <v>-1</v>
      </c>
      <c r="AG17" s="2">
        <v>-1</v>
      </c>
      <c r="AH17" s="2">
        <v>0</v>
      </c>
      <c r="AI17">
        <v>0</v>
      </c>
    </row>
    <row r="18" s="2" customFormat="1" spans="1:35">
      <c r="A18" s="3" t="str">
        <f t="shared" si="8"/>
        <v>#</v>
      </c>
      <c r="B18" s="7" t="str">
        <f>"S+："&amp;C18</f>
        <v>S+：星扇·天星引</v>
      </c>
      <c r="C18" s="41" t="str">
        <f>配置总览!$E$88&amp;"·天星引"</f>
        <v>星扇·天星引</v>
      </c>
      <c r="D18" s="41" t="str">
        <f>配置总览!$E$89&amp;"达到时序八·阴阳后获得。#r#r时序突破后解锁更高形态，在天星秘器形态预览可查看所有外观形态。"</f>
        <v>天渊星扇达到时序八·阴阳后获得。#r#r时序突破后解锁更高形态，在天星秘器形态预览可查看所有外观形态。</v>
      </c>
      <c r="E18" s="2">
        <v>4</v>
      </c>
      <c r="F18" s="2">
        <v>-1</v>
      </c>
      <c r="G18" s="42" t="str">
        <f>IF(配置总览!$B$2="Main",ItemVisual!A11,IF(配置总览!$B$2="资14",ItemVisual!#REF!))</f>
        <v>#</v>
      </c>
      <c r="H18" s="2">
        <v>-1</v>
      </c>
      <c r="I18" s="2" t="s">
        <v>724</v>
      </c>
      <c r="J18" s="2" t="s">
        <v>724</v>
      </c>
      <c r="K18" s="7" t="str">
        <f>"PWicon_WaiGuan/"&amp;配置总览!N93</f>
        <v>PWicon_WaiGuan/icon_tianyuanxingshan_tianxingyin</v>
      </c>
      <c r="L18" s="3" t="str">
        <f t="shared" si="5"/>
        <v>PWicon_WaiGuan/icon_tianyuanxingshan_tianxingyin</v>
      </c>
      <c r="M18" s="2">
        <v>0</v>
      </c>
      <c r="N18" s="2">
        <v>999</v>
      </c>
      <c r="O18" s="2">
        <v>-1</v>
      </c>
      <c r="P18" s="2" t="s">
        <v>725</v>
      </c>
      <c r="Q18" s="2">
        <v>90</v>
      </c>
      <c r="R18" s="2">
        <v>0</v>
      </c>
      <c r="S18" s="2">
        <v>0</v>
      </c>
      <c r="T18" s="2">
        <v>0</v>
      </c>
      <c r="U18" s="2">
        <v>0</v>
      </c>
      <c r="V18" s="2">
        <v>4</v>
      </c>
      <c r="W18" s="2" t="s">
        <v>726</v>
      </c>
      <c r="X18" s="2">
        <v>5075</v>
      </c>
      <c r="Y18" s="2">
        <v>5077</v>
      </c>
      <c r="Z18" s="2">
        <v>10</v>
      </c>
      <c r="AA18" s="2">
        <v>20</v>
      </c>
      <c r="AB18" s="2">
        <v>0</v>
      </c>
      <c r="AC18" s="2">
        <v>-1</v>
      </c>
      <c r="AD18" s="2">
        <v>-1</v>
      </c>
      <c r="AE18" s="2">
        <v>-1</v>
      </c>
      <c r="AF18" s="2">
        <v>-1</v>
      </c>
      <c r="AG18" s="2">
        <v>-1</v>
      </c>
      <c r="AH18" s="2">
        <v>0</v>
      </c>
      <c r="AI18">
        <v>0</v>
      </c>
    </row>
    <row r="19" spans="1:35">
      <c r="A19" s="7" t="str">
        <f>IF(配置总览!$B$102="导出",3000+配置总览!H104*20-19,"#")</f>
        <v>#</v>
      </c>
      <c r="B19" s="7" t="str">
        <f>配置总览!$H$102&amp;"："&amp;"妖兽-"&amp;C19</f>
        <v>S+：妖兽-无相·花颂锤</v>
      </c>
      <c r="C19" s="7" t="str">
        <f>配置总览!$E$102&amp;"锤"</f>
        <v>无相·花颂锤</v>
      </c>
      <c r="D19" s="7" t="str">
        <f>配置总览!E105</f>
        <v>穿戴后即可激活【虚空花径】专属传送特效，移动时飘落永恒花瓣烙印</v>
      </c>
      <c r="E19">
        <v>3</v>
      </c>
      <c r="F19">
        <v>-1</v>
      </c>
      <c r="G19" s="42" t="str">
        <f>IF(配置总览!B2="Main",ItemVisual!A12,IF(配置总览!B2="资14",ItemVisual!#REF!))</f>
        <v>#</v>
      </c>
      <c r="H19">
        <v>-1</v>
      </c>
      <c r="I19" t="s">
        <v>724</v>
      </c>
      <c r="J19" t="s">
        <v>724</v>
      </c>
      <c r="K19" s="7" t="str">
        <f>"PWicon_WaiGuan/"&amp;配置总览!N102</f>
        <v>PWicon_WaiGuan/icon_weapon_wuxianghuasong_chui</v>
      </c>
      <c r="L19" s="3" t="str">
        <f t="shared" ref="L19:L28" si="9">K19</f>
        <v>PWicon_WaiGuan/icon_weapon_wuxianghuasong_chui</v>
      </c>
      <c r="M19">
        <v>0</v>
      </c>
      <c r="N19" s="7">
        <f>配置总览!$H$105</f>
        <v>1862</v>
      </c>
      <c r="O19">
        <v>1</v>
      </c>
      <c r="P19" t="s">
        <v>725</v>
      </c>
      <c r="Q19" s="7">
        <f>VLOOKUP(V19,信息辅助!$D$20:$G$23,4,0)</f>
        <v>250</v>
      </c>
      <c r="R19">
        <v>0</v>
      </c>
      <c r="S19">
        <v>0</v>
      </c>
      <c r="T19">
        <v>0</v>
      </c>
      <c r="U19">
        <v>0</v>
      </c>
      <c r="V19" s="7">
        <f>配置总览!I102</f>
        <v>4</v>
      </c>
      <c r="W19" t="s">
        <v>726</v>
      </c>
      <c r="X19">
        <v>5075</v>
      </c>
      <c r="Y19">
        <v>5077</v>
      </c>
      <c r="Z19">
        <v>10</v>
      </c>
      <c r="AA19">
        <v>20</v>
      </c>
      <c r="AB19">
        <v>2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0</v>
      </c>
      <c r="AI19">
        <v>0</v>
      </c>
    </row>
    <row r="20" spans="1:35">
      <c r="A20" s="3" t="str">
        <f t="shared" ref="A20:A28" si="10">IFERROR(A19+1,"#")</f>
        <v>#</v>
      </c>
      <c r="B20" s="7" t="str">
        <f>配置总览!$H$102&amp;"："&amp;"羽芒-"&amp;C20</f>
        <v>S+：羽芒-无相·花颂弓</v>
      </c>
      <c r="C20" s="7" t="str">
        <f>配置总览!$E$102&amp;"弓"</f>
        <v>无相·花颂弓</v>
      </c>
      <c r="D20" s="3" t="str">
        <f t="shared" ref="D20:D28" si="11">D19</f>
        <v>穿戴后即可激活【虚空花径】专属传送特效，移动时飘落永恒花瓣烙印</v>
      </c>
      <c r="E20">
        <v>3</v>
      </c>
      <c r="F20">
        <v>-1</v>
      </c>
      <c r="G20" s="43" t="str">
        <f t="shared" ref="G20:G28" si="12">G19</f>
        <v>#</v>
      </c>
      <c r="H20">
        <v>-1</v>
      </c>
      <c r="I20" t="s">
        <v>724</v>
      </c>
      <c r="J20" t="s">
        <v>724</v>
      </c>
      <c r="K20" s="7" t="str">
        <f>"PWicon_WaiGuan/"&amp;配置总览!N103</f>
        <v>PWicon_WaiGuan/icon_weapon_wuxianghuasong_gong</v>
      </c>
      <c r="L20" s="3" t="str">
        <f t="shared" si="9"/>
        <v>PWicon_WaiGuan/icon_weapon_wuxianghuasong_gong</v>
      </c>
      <c r="M20">
        <v>0</v>
      </c>
      <c r="N20" s="3">
        <f>N19</f>
        <v>1862</v>
      </c>
      <c r="O20">
        <v>1</v>
      </c>
      <c r="P20" t="s">
        <v>725</v>
      </c>
      <c r="Q20" s="3">
        <f t="shared" ref="Q20:Q28" si="13">Q19</f>
        <v>250</v>
      </c>
      <c r="R20">
        <v>0</v>
      </c>
      <c r="S20">
        <v>0</v>
      </c>
      <c r="T20">
        <v>0</v>
      </c>
      <c r="U20">
        <v>0</v>
      </c>
      <c r="V20" s="3">
        <f t="shared" ref="V20:V28" si="14">V19</f>
        <v>4</v>
      </c>
      <c r="W20" t="s">
        <v>726</v>
      </c>
      <c r="X20">
        <v>5075</v>
      </c>
      <c r="Y20">
        <v>5077</v>
      </c>
      <c r="Z20">
        <v>10</v>
      </c>
      <c r="AA20">
        <v>20</v>
      </c>
      <c r="AB20">
        <v>2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0</v>
      </c>
      <c r="AI20">
        <v>0</v>
      </c>
    </row>
    <row r="21" spans="1:35">
      <c r="A21" s="3" t="str">
        <f t="shared" si="10"/>
        <v>#</v>
      </c>
      <c r="B21" s="7" t="str">
        <f>配置总览!$H$102&amp;"："&amp;"法师-"&amp;C21</f>
        <v>S+：法师-无相·花颂剑</v>
      </c>
      <c r="C21" s="7" t="str">
        <f>配置总览!$E$102&amp;"剑"</f>
        <v>无相·花颂剑</v>
      </c>
      <c r="D21" s="3" t="str">
        <f t="shared" si="11"/>
        <v>穿戴后即可激活【虚空花径】专属传送特效，移动时飘落永恒花瓣烙印</v>
      </c>
      <c r="E21">
        <v>3</v>
      </c>
      <c r="F21">
        <v>-1</v>
      </c>
      <c r="G21" s="43" t="str">
        <f t="shared" si="12"/>
        <v>#</v>
      </c>
      <c r="H21">
        <v>-1</v>
      </c>
      <c r="I21" t="s">
        <v>724</v>
      </c>
      <c r="J21" t="s">
        <v>724</v>
      </c>
      <c r="K21" s="7" t="str">
        <f>"PWicon_WaiGuan/"&amp;配置总览!N104</f>
        <v>PWicon_WaiGuan/icon_weapon_wuxianghuasong_jian</v>
      </c>
      <c r="L21" s="3" t="str">
        <f t="shared" si="9"/>
        <v>PWicon_WaiGuan/icon_weapon_wuxianghuasong_jian</v>
      </c>
      <c r="M21">
        <v>0</v>
      </c>
      <c r="N21" s="3">
        <f t="shared" ref="N20:N28" si="15">N20</f>
        <v>1862</v>
      </c>
      <c r="O21">
        <v>1</v>
      </c>
      <c r="P21" t="s">
        <v>725</v>
      </c>
      <c r="Q21" s="3">
        <f t="shared" si="13"/>
        <v>250</v>
      </c>
      <c r="R21">
        <v>0</v>
      </c>
      <c r="S21">
        <v>0</v>
      </c>
      <c r="T21">
        <v>0</v>
      </c>
      <c r="U21">
        <v>0</v>
      </c>
      <c r="V21" s="3">
        <f t="shared" si="14"/>
        <v>4</v>
      </c>
      <c r="W21" t="s">
        <v>726</v>
      </c>
      <c r="X21">
        <v>5075</v>
      </c>
      <c r="Y21">
        <v>5077</v>
      </c>
      <c r="Z21">
        <v>10</v>
      </c>
      <c r="AA21">
        <v>20</v>
      </c>
      <c r="AB21">
        <v>2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0</v>
      </c>
      <c r="AI21">
        <v>0</v>
      </c>
    </row>
    <row r="22" spans="1:35">
      <c r="A22" s="3" t="str">
        <f t="shared" si="10"/>
        <v>#</v>
      </c>
      <c r="B22" s="7" t="str">
        <f>配置总览!$H$102&amp;"："&amp;"羽灵-"&amp;C22</f>
        <v>S+：羽灵-无相·花颂环</v>
      </c>
      <c r="C22" s="7" t="str">
        <f>配置总览!$E$102&amp;"环"</f>
        <v>无相·花颂环</v>
      </c>
      <c r="D22" s="3" t="str">
        <f t="shared" si="11"/>
        <v>穿戴后即可激活【虚空花径】专属传送特效，移动时飘落永恒花瓣烙印</v>
      </c>
      <c r="E22">
        <v>3</v>
      </c>
      <c r="F22">
        <v>-1</v>
      </c>
      <c r="G22" s="43" t="str">
        <f t="shared" si="12"/>
        <v>#</v>
      </c>
      <c r="H22">
        <v>-1</v>
      </c>
      <c r="I22" t="s">
        <v>724</v>
      </c>
      <c r="J22" t="s">
        <v>724</v>
      </c>
      <c r="K22" s="7" t="str">
        <f>"PWicon_WaiGuan/"&amp;配置总览!N105</f>
        <v>PWicon_WaiGuan/icon_weapon_wuxianghuasong_huan</v>
      </c>
      <c r="L22" s="3" t="str">
        <f t="shared" si="9"/>
        <v>PWicon_WaiGuan/icon_weapon_wuxianghuasong_huan</v>
      </c>
      <c r="M22">
        <v>0</v>
      </c>
      <c r="N22" s="3">
        <f t="shared" si="15"/>
        <v>1862</v>
      </c>
      <c r="O22">
        <v>1</v>
      </c>
      <c r="P22" t="s">
        <v>725</v>
      </c>
      <c r="Q22" s="3">
        <f t="shared" si="13"/>
        <v>250</v>
      </c>
      <c r="R22">
        <v>0</v>
      </c>
      <c r="S22">
        <v>0</v>
      </c>
      <c r="T22">
        <v>0</v>
      </c>
      <c r="U22">
        <v>0</v>
      </c>
      <c r="V22" s="3">
        <f t="shared" si="14"/>
        <v>4</v>
      </c>
      <c r="W22" t="s">
        <v>726</v>
      </c>
      <c r="X22">
        <v>5075</v>
      </c>
      <c r="Y22">
        <v>5077</v>
      </c>
      <c r="Z22">
        <v>10</v>
      </c>
      <c r="AA22">
        <v>20</v>
      </c>
      <c r="AB22">
        <v>2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0</v>
      </c>
      <c r="AI22">
        <v>0</v>
      </c>
    </row>
    <row r="23" spans="1:35">
      <c r="A23" s="3" t="str">
        <f t="shared" si="10"/>
        <v>#</v>
      </c>
      <c r="B23" s="7" t="str">
        <f>配置总览!$H$102&amp;"："&amp;"妖精-"&amp;C23</f>
        <v>S+：妖精-无相·花颂杖</v>
      </c>
      <c r="C23" s="7" t="str">
        <f>配置总览!$E$102&amp;"杖"</f>
        <v>无相·花颂杖</v>
      </c>
      <c r="D23" s="3" t="str">
        <f t="shared" si="11"/>
        <v>穿戴后即可激活【虚空花径】专属传送特效，移动时飘落永恒花瓣烙印</v>
      </c>
      <c r="E23">
        <v>3</v>
      </c>
      <c r="F23">
        <v>-1</v>
      </c>
      <c r="G23" s="43" t="str">
        <f t="shared" si="12"/>
        <v>#</v>
      </c>
      <c r="H23">
        <v>-1</v>
      </c>
      <c r="I23" t="s">
        <v>724</v>
      </c>
      <c r="J23" t="s">
        <v>724</v>
      </c>
      <c r="K23" s="7" t="str">
        <f>"PWicon_WaiGuan/"&amp;配置总览!N106</f>
        <v>PWicon_WaiGuan/icon_weapon_wuxianghuasong_zhang</v>
      </c>
      <c r="L23" s="3" t="str">
        <f t="shared" si="9"/>
        <v>PWicon_WaiGuan/icon_weapon_wuxianghuasong_zhang</v>
      </c>
      <c r="M23">
        <v>0</v>
      </c>
      <c r="N23" s="3">
        <f t="shared" si="15"/>
        <v>1862</v>
      </c>
      <c r="O23">
        <v>1</v>
      </c>
      <c r="P23" t="s">
        <v>725</v>
      </c>
      <c r="Q23" s="3">
        <f t="shared" si="13"/>
        <v>250</v>
      </c>
      <c r="R23">
        <v>0</v>
      </c>
      <c r="S23">
        <v>0</v>
      </c>
      <c r="T23">
        <v>0</v>
      </c>
      <c r="U23">
        <v>0</v>
      </c>
      <c r="V23" s="3">
        <f t="shared" si="14"/>
        <v>4</v>
      </c>
      <c r="W23" t="s">
        <v>726</v>
      </c>
      <c r="X23">
        <v>5075</v>
      </c>
      <c r="Y23">
        <v>5077</v>
      </c>
      <c r="Z23">
        <v>10</v>
      </c>
      <c r="AA23">
        <v>20</v>
      </c>
      <c r="AB23">
        <v>2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0</v>
      </c>
      <c r="AI23">
        <v>0</v>
      </c>
    </row>
    <row r="24" spans="1:35">
      <c r="A24" s="3" t="str">
        <f t="shared" si="10"/>
        <v>#</v>
      </c>
      <c r="B24" s="7" t="str">
        <f>配置总览!$H$102&amp;"："&amp;"武侠-"&amp;C24</f>
        <v>S+：武侠-无相·花颂兵</v>
      </c>
      <c r="C24" s="7" t="str">
        <f>配置总览!$E$102&amp;"兵"</f>
        <v>无相·花颂兵</v>
      </c>
      <c r="D24" s="3" t="str">
        <f t="shared" si="11"/>
        <v>穿戴后即可激活【虚空花径】专属传送特效，移动时飘落永恒花瓣烙印</v>
      </c>
      <c r="E24">
        <v>3</v>
      </c>
      <c r="F24">
        <v>-1</v>
      </c>
      <c r="G24" s="43" t="str">
        <f t="shared" si="12"/>
        <v>#</v>
      </c>
      <c r="H24">
        <v>-1</v>
      </c>
      <c r="I24" t="s">
        <v>724</v>
      </c>
      <c r="J24" t="s">
        <v>724</v>
      </c>
      <c r="K24" s="7" t="str">
        <f>"PWicon_WaiGuan/"&amp;配置总览!N107</f>
        <v>PWicon_WaiGuan/icon_weapon_wuxianghuasong_fu</v>
      </c>
      <c r="L24" s="3" t="str">
        <f t="shared" si="9"/>
        <v>PWicon_WaiGuan/icon_weapon_wuxianghuasong_fu</v>
      </c>
      <c r="M24">
        <v>0</v>
      </c>
      <c r="N24" s="3">
        <f t="shared" si="15"/>
        <v>1862</v>
      </c>
      <c r="O24">
        <v>1</v>
      </c>
      <c r="P24" t="s">
        <v>725</v>
      </c>
      <c r="Q24" s="3">
        <f t="shared" si="13"/>
        <v>250</v>
      </c>
      <c r="R24">
        <v>0</v>
      </c>
      <c r="S24">
        <v>0</v>
      </c>
      <c r="T24">
        <v>0</v>
      </c>
      <c r="U24">
        <v>0</v>
      </c>
      <c r="V24" s="3">
        <f t="shared" si="14"/>
        <v>4</v>
      </c>
      <c r="W24" t="s">
        <v>726</v>
      </c>
      <c r="X24">
        <v>5075</v>
      </c>
      <c r="Y24">
        <v>5077</v>
      </c>
      <c r="Z24">
        <v>10</v>
      </c>
      <c r="AA24">
        <v>20</v>
      </c>
      <c r="AB24">
        <v>2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0</v>
      </c>
      <c r="AI24">
        <v>0</v>
      </c>
    </row>
    <row r="25" spans="1:35">
      <c r="A25" s="3" t="str">
        <f t="shared" si="10"/>
        <v>#</v>
      </c>
      <c r="B25" s="7" t="str">
        <f>配置总览!$H$102&amp;"："&amp;"妖刃-"&amp;C25</f>
        <v>S+：妖刃-无相·花颂刃</v>
      </c>
      <c r="C25" s="7" t="str">
        <f>配置总览!$E$102&amp;"刃"</f>
        <v>无相·花颂刃</v>
      </c>
      <c r="D25" s="3" t="str">
        <f t="shared" si="11"/>
        <v>穿戴后即可激活【虚空花径】专属传送特效，移动时飘落永恒花瓣烙印</v>
      </c>
      <c r="E25">
        <v>3</v>
      </c>
      <c r="F25">
        <v>-1</v>
      </c>
      <c r="G25" s="43" t="str">
        <f t="shared" si="12"/>
        <v>#</v>
      </c>
      <c r="H25">
        <v>-1</v>
      </c>
      <c r="I25" t="s">
        <v>724</v>
      </c>
      <c r="J25" t="s">
        <v>724</v>
      </c>
      <c r="K25" s="7" t="str">
        <f>"PWicon_WaiGuan/"&amp;配置总览!N108</f>
        <v>PWicon_WaiGuan/icon_weapon_wuxianghuasong_ren</v>
      </c>
      <c r="L25" s="3" t="str">
        <f t="shared" si="9"/>
        <v>PWicon_WaiGuan/icon_weapon_wuxianghuasong_ren</v>
      </c>
      <c r="M25">
        <v>0</v>
      </c>
      <c r="N25" s="3">
        <f t="shared" si="15"/>
        <v>1862</v>
      </c>
      <c r="O25">
        <v>1</v>
      </c>
      <c r="P25" t="s">
        <v>725</v>
      </c>
      <c r="Q25" s="3">
        <f t="shared" si="13"/>
        <v>250</v>
      </c>
      <c r="R25">
        <v>0</v>
      </c>
      <c r="S25">
        <v>0</v>
      </c>
      <c r="T25">
        <v>0</v>
      </c>
      <c r="U25">
        <v>0</v>
      </c>
      <c r="V25" s="3">
        <f t="shared" si="14"/>
        <v>4</v>
      </c>
      <c r="W25" t="s">
        <v>726</v>
      </c>
      <c r="X25">
        <v>5075</v>
      </c>
      <c r="Y25">
        <v>5077</v>
      </c>
      <c r="Z25">
        <v>10</v>
      </c>
      <c r="AA25">
        <v>20</v>
      </c>
      <c r="AB25">
        <v>2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0</v>
      </c>
      <c r="AI25">
        <v>0</v>
      </c>
    </row>
    <row r="26" spans="1:35">
      <c r="A26" s="3" t="str">
        <f t="shared" si="10"/>
        <v>#</v>
      </c>
      <c r="B26" s="7" t="str">
        <f>配置总览!$H$102&amp;"："&amp;"羽岚-"&amp;C26</f>
        <v>S+：羽岚-无相·花颂书</v>
      </c>
      <c r="C26" s="7" t="str">
        <f>配置总览!$E$102&amp;"书"</f>
        <v>无相·花颂书</v>
      </c>
      <c r="D26" s="3" t="str">
        <f t="shared" si="11"/>
        <v>穿戴后即可激活【虚空花径】专属传送特效，移动时飘落永恒花瓣烙印</v>
      </c>
      <c r="E26">
        <v>3</v>
      </c>
      <c r="F26">
        <v>-1</v>
      </c>
      <c r="G26" s="43" t="str">
        <f t="shared" si="12"/>
        <v>#</v>
      </c>
      <c r="H26">
        <v>-1</v>
      </c>
      <c r="I26" t="s">
        <v>724</v>
      </c>
      <c r="J26" t="s">
        <v>724</v>
      </c>
      <c r="K26" s="7" t="str">
        <f>"PWicon_WaiGuan/"&amp;配置总览!N109</f>
        <v>PWicon_WaiGuan/icon_weapon_wuxianghuasong_shu</v>
      </c>
      <c r="L26" s="3" t="str">
        <f t="shared" si="9"/>
        <v>PWicon_WaiGuan/icon_weapon_wuxianghuasong_shu</v>
      </c>
      <c r="M26">
        <v>0</v>
      </c>
      <c r="N26" s="3">
        <f t="shared" si="15"/>
        <v>1862</v>
      </c>
      <c r="O26">
        <v>1</v>
      </c>
      <c r="P26" t="s">
        <v>725</v>
      </c>
      <c r="Q26" s="3">
        <f t="shared" si="13"/>
        <v>250</v>
      </c>
      <c r="R26">
        <v>0</v>
      </c>
      <c r="S26">
        <v>0</v>
      </c>
      <c r="T26">
        <v>0</v>
      </c>
      <c r="U26">
        <v>0</v>
      </c>
      <c r="V26" s="3">
        <f t="shared" si="14"/>
        <v>4</v>
      </c>
      <c r="W26" t="s">
        <v>726</v>
      </c>
      <c r="X26">
        <v>5075</v>
      </c>
      <c r="Y26">
        <v>5077</v>
      </c>
      <c r="Z26">
        <v>10</v>
      </c>
      <c r="AA26">
        <v>20</v>
      </c>
      <c r="AB26">
        <v>2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0</v>
      </c>
      <c r="AI26">
        <v>0</v>
      </c>
    </row>
    <row r="27" spans="1:35">
      <c r="A27" s="3" t="str">
        <f t="shared" si="10"/>
        <v>#</v>
      </c>
      <c r="B27" s="7" t="str">
        <f>配置总览!$H$102&amp;"："&amp;"刀刹-"&amp;C27</f>
        <v>S+：刀刹-无相·花颂刀</v>
      </c>
      <c r="C27" s="7" t="str">
        <f>配置总览!$E$102&amp;"刀"</f>
        <v>无相·花颂刀</v>
      </c>
      <c r="D27" s="3" t="str">
        <f t="shared" si="11"/>
        <v>穿戴后即可激活【虚空花径】专属传送特效，移动时飘落永恒花瓣烙印</v>
      </c>
      <c r="E27">
        <v>3</v>
      </c>
      <c r="F27">
        <v>-1</v>
      </c>
      <c r="G27" s="43" t="str">
        <f t="shared" si="12"/>
        <v>#</v>
      </c>
      <c r="H27">
        <v>-1</v>
      </c>
      <c r="I27" t="s">
        <v>724</v>
      </c>
      <c r="J27" t="s">
        <v>724</v>
      </c>
      <c r="K27" s="7" t="str">
        <f>"PWicon_WaiGuan/"&amp;配置总览!N110</f>
        <v>PWicon_WaiGuan/icon_weapon_wuxianghuasong_dao</v>
      </c>
      <c r="L27" s="3" t="str">
        <f t="shared" si="9"/>
        <v>PWicon_WaiGuan/icon_weapon_wuxianghuasong_dao</v>
      </c>
      <c r="M27">
        <v>0</v>
      </c>
      <c r="N27" s="3">
        <f t="shared" si="15"/>
        <v>1862</v>
      </c>
      <c r="O27">
        <v>1</v>
      </c>
      <c r="P27" t="s">
        <v>725</v>
      </c>
      <c r="Q27" s="3">
        <f t="shared" si="13"/>
        <v>250</v>
      </c>
      <c r="R27">
        <v>0</v>
      </c>
      <c r="S27">
        <v>0</v>
      </c>
      <c r="T27">
        <v>0</v>
      </c>
      <c r="U27">
        <v>0</v>
      </c>
      <c r="V27" s="3">
        <f t="shared" si="14"/>
        <v>4</v>
      </c>
      <c r="W27" t="s">
        <v>726</v>
      </c>
      <c r="X27">
        <v>5075</v>
      </c>
      <c r="Y27">
        <v>5077</v>
      </c>
      <c r="Z27">
        <v>10</v>
      </c>
      <c r="AA27">
        <v>20</v>
      </c>
      <c r="AB27">
        <v>2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0</v>
      </c>
      <c r="AI27">
        <v>0</v>
      </c>
    </row>
    <row r="28" spans="1:35">
      <c r="A28" s="3" t="str">
        <f t="shared" si="10"/>
        <v>#</v>
      </c>
      <c r="B28" s="7" t="str">
        <f>配置总览!$H$102&amp;"："&amp;"月仙-"&amp;C28</f>
        <v>S+：月仙-无相·花颂镰</v>
      </c>
      <c r="C28" s="7" t="str">
        <f>配置总览!$E$102&amp;"镰"</f>
        <v>无相·花颂镰</v>
      </c>
      <c r="D28" s="3" t="str">
        <f t="shared" si="11"/>
        <v>穿戴后即可激活【虚空花径】专属传送特效，移动时飘落永恒花瓣烙印</v>
      </c>
      <c r="E28">
        <v>3</v>
      </c>
      <c r="F28">
        <v>-1</v>
      </c>
      <c r="G28" s="43" t="str">
        <f t="shared" si="12"/>
        <v>#</v>
      </c>
      <c r="H28">
        <v>-1</v>
      </c>
      <c r="I28" t="s">
        <v>724</v>
      </c>
      <c r="J28" t="s">
        <v>724</v>
      </c>
      <c r="K28" s="7" t="str">
        <f>"PWicon_WaiGuan/"&amp;配置总览!N111</f>
        <v>PWicon_WaiGuan/icon_weapon_wuxianghuasong_lian</v>
      </c>
      <c r="L28" s="3" t="str">
        <f t="shared" si="9"/>
        <v>PWicon_WaiGuan/icon_weapon_wuxianghuasong_lian</v>
      </c>
      <c r="M28">
        <v>0</v>
      </c>
      <c r="N28" s="3">
        <f t="shared" si="15"/>
        <v>1862</v>
      </c>
      <c r="O28">
        <v>1</v>
      </c>
      <c r="P28" t="s">
        <v>725</v>
      </c>
      <c r="Q28" s="3">
        <f t="shared" si="13"/>
        <v>250</v>
      </c>
      <c r="R28">
        <v>0</v>
      </c>
      <c r="S28">
        <v>0</v>
      </c>
      <c r="T28">
        <v>0</v>
      </c>
      <c r="U28">
        <v>0</v>
      </c>
      <c r="V28" s="3">
        <f t="shared" si="14"/>
        <v>4</v>
      </c>
      <c r="W28" t="s">
        <v>726</v>
      </c>
      <c r="X28">
        <v>5075</v>
      </c>
      <c r="Y28">
        <v>5077</v>
      </c>
      <c r="Z28">
        <v>10</v>
      </c>
      <c r="AA28">
        <v>20</v>
      </c>
      <c r="AB28">
        <v>2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0</v>
      </c>
      <c r="AI28">
        <v>0</v>
      </c>
    </row>
  </sheetData>
  <pageMargins left="0.7" right="0.7" top="0.75" bottom="0.75" header="0.3" footer="0.3"/>
  <pageSetup paperSize="9" orientation="portrait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I5" sqref="I5"/>
    </sheetView>
  </sheetViews>
  <sheetFormatPr defaultColWidth="9" defaultRowHeight="14.25"/>
  <cols>
    <col min="2" max="2" width="25" customWidth="1"/>
  </cols>
  <sheetData>
    <row r="1" s="1" customFormat="1" spans="1:10">
      <c r="A1" s="1" t="s">
        <v>312</v>
      </c>
      <c r="B1" s="1" t="s">
        <v>313</v>
      </c>
      <c r="C1" s="1" t="s">
        <v>729</v>
      </c>
      <c r="D1" s="1" t="s">
        <v>730</v>
      </c>
      <c r="E1" s="1" t="s">
        <v>731</v>
      </c>
      <c r="F1" s="1" t="s">
        <v>732</v>
      </c>
      <c r="G1" s="1" t="s">
        <v>733</v>
      </c>
      <c r="H1" s="1" t="s">
        <v>734</v>
      </c>
      <c r="I1" s="1" t="s">
        <v>735</v>
      </c>
      <c r="J1" s="1" t="s">
        <v>736</v>
      </c>
    </row>
    <row r="2" s="1" customFormat="1" spans="1:10">
      <c r="A2" s="1" t="s">
        <v>315</v>
      </c>
      <c r="B2" s="1" t="s">
        <v>316</v>
      </c>
      <c r="C2" s="1" t="s">
        <v>589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</row>
    <row r="3" s="1" customFormat="1" spans="1:1">
      <c r="A3" s="1" t="s">
        <v>590</v>
      </c>
    </row>
    <row r="4" s="1" customFormat="1" spans="1:10">
      <c r="A4" s="1" t="s">
        <v>448</v>
      </c>
      <c r="B4" s="1" t="s">
        <v>691</v>
      </c>
      <c r="C4" s="1" t="s">
        <v>737</v>
      </c>
      <c r="D4" s="1" t="s">
        <v>738</v>
      </c>
      <c r="E4" s="1" t="s">
        <v>739</v>
      </c>
      <c r="F4" s="1" t="s">
        <v>740</v>
      </c>
      <c r="G4" s="1" t="s">
        <v>741</v>
      </c>
      <c r="H4" s="1" t="s">
        <v>742</v>
      </c>
      <c r="I4" s="1" t="s">
        <v>10</v>
      </c>
      <c r="J4" s="1" t="s">
        <v>743</v>
      </c>
    </row>
    <row r="5" spans="1:10">
      <c r="A5" s="7" t="str">
        <f>IF(配置总览!$B$4="导出",5000+配置总览!H6*2-1,"#")</f>
        <v>#</v>
      </c>
      <c r="B5" s="7" t="str">
        <f>FashionData!B5</f>
        <v>A：蜜语轻舞·头（男）</v>
      </c>
      <c r="C5" s="7">
        <f>配置总览!H14</f>
        <v>0</v>
      </c>
      <c r="D5" s="7" t="str">
        <f>YuanBaoShop!A5</f>
        <v>#</v>
      </c>
      <c r="E5">
        <v>-1</v>
      </c>
      <c r="F5" s="7" t="e">
        <f t="shared" ref="F5:F11" si="0">D5+1</f>
        <v>#VALUE!</v>
      </c>
      <c r="G5" s="7">
        <f>配置总览!$H$12</f>
        <v>0</v>
      </c>
      <c r="H5" s="7">
        <f>配置总览!$H$11</f>
        <v>0</v>
      </c>
      <c r="I5" s="7">
        <f>VLOOKUP(配置总览!E6,StrDictionary!$C$111:$D$211,2,0)</f>
        <v>23402</v>
      </c>
      <c r="J5">
        <v>0</v>
      </c>
    </row>
    <row r="6" spans="1:10">
      <c r="A6" s="3" t="str">
        <f>IFERROR(A5+1,"#")</f>
        <v>#</v>
      </c>
      <c r="B6" s="7" t="str">
        <f>FashionData!B6</f>
        <v>A：蜜语轻舞·头（女）</v>
      </c>
      <c r="C6" s="3">
        <f>C5</f>
        <v>0</v>
      </c>
      <c r="D6" s="7" t="e">
        <f>D5+2</f>
        <v>#VALUE!</v>
      </c>
      <c r="E6">
        <v>-1</v>
      </c>
      <c r="F6" s="7" t="e">
        <f>F5+2</f>
        <v>#VALUE!</v>
      </c>
      <c r="G6" s="3">
        <f>G5</f>
        <v>0</v>
      </c>
      <c r="H6" s="3">
        <f>H5</f>
        <v>0</v>
      </c>
      <c r="I6" s="3">
        <f>I5</f>
        <v>23402</v>
      </c>
      <c r="J6">
        <v>0</v>
      </c>
    </row>
    <row r="7" spans="1:10">
      <c r="A7" s="7" t="str">
        <f>IF(配置总览!$B$18="导出",6000+配置总览!$H$20*2-1,"#")</f>
        <v>#</v>
      </c>
      <c r="B7" s="7" t="str">
        <f>FashionData!B7</f>
        <v>A：蜜语轻舞（男）</v>
      </c>
      <c r="C7" s="7">
        <f>配置总览!H28</f>
        <v>0</v>
      </c>
      <c r="D7" s="7" t="str">
        <f>YuanBaoShop!A9</f>
        <v>#</v>
      </c>
      <c r="E7">
        <v>-1</v>
      </c>
      <c r="F7" s="7" t="e">
        <f t="shared" si="0"/>
        <v>#VALUE!</v>
      </c>
      <c r="G7" s="7">
        <f>配置总览!H26</f>
        <v>0</v>
      </c>
      <c r="H7" s="7">
        <f>配置总览!H25</f>
        <v>0</v>
      </c>
      <c r="I7" s="7">
        <f>VLOOKUP(配置总览!E20,StrDictionary!$C$111:$D$211,2,0)</f>
        <v>23402</v>
      </c>
      <c r="J7">
        <v>0</v>
      </c>
    </row>
    <row r="8" spans="1:10">
      <c r="A8" s="3" t="str">
        <f>IFERROR(A7+1,"#")</f>
        <v>#</v>
      </c>
      <c r="B8" s="7" t="str">
        <f>FashionData!B8</f>
        <v>A：蜜语轻舞（女）</v>
      </c>
      <c r="C8" s="3">
        <f>C7</f>
        <v>0</v>
      </c>
      <c r="D8" s="7" t="e">
        <f t="shared" ref="D8:D13" si="1">D7+2</f>
        <v>#VALUE!</v>
      </c>
      <c r="E8">
        <v>-1</v>
      </c>
      <c r="F8" s="7" t="e">
        <f t="shared" ref="F8:F13" si="2">F7+2</f>
        <v>#VALUE!</v>
      </c>
      <c r="G8" s="3">
        <f>G7</f>
        <v>0</v>
      </c>
      <c r="H8" s="3">
        <f>H7</f>
        <v>0</v>
      </c>
      <c r="I8" s="3">
        <f>I7</f>
        <v>23402</v>
      </c>
      <c r="J8">
        <v>0</v>
      </c>
    </row>
    <row r="9" spans="1:10">
      <c r="A9" s="7" t="str">
        <f>IF(配置总览!$B$32="导出",7000+配置总览!H34,"#")</f>
        <v>#</v>
      </c>
      <c r="B9" s="7" t="str">
        <f>FashionData!B9</f>
        <v>S+：小狗蛇-吉祥如亿</v>
      </c>
      <c r="C9" s="7">
        <f>配置总览!H42</f>
        <v>0</v>
      </c>
      <c r="D9" s="7" t="str">
        <f>YuanBaoShop!A13</f>
        <v>#</v>
      </c>
      <c r="E9">
        <v>-1</v>
      </c>
      <c r="F9" s="7" t="e">
        <f t="shared" si="0"/>
        <v>#VALUE!</v>
      </c>
      <c r="G9" s="7">
        <f>配置总览!H40</f>
        <v>0</v>
      </c>
      <c r="H9" s="7">
        <f>配置总览!H39</f>
        <v>0</v>
      </c>
      <c r="I9" s="7">
        <f>VLOOKUP(配置总览!E34,StrDictionary!$C$111:$D$211,2,0)</f>
        <v>23401</v>
      </c>
      <c r="J9">
        <v>0</v>
      </c>
    </row>
    <row r="10" spans="1:10">
      <c r="A10" s="9" t="str">
        <f>IF(配置总览!$B$46="导出",8000+配置总览!H48,"#")</f>
        <v>#</v>
      </c>
      <c r="B10" s="7" t="str">
        <f>FashionData!B10</f>
        <v>S：小飞猪</v>
      </c>
      <c r="C10" s="7">
        <f>配置总览!H56</f>
        <v>1</v>
      </c>
      <c r="D10" s="7" t="str">
        <f>YuanBaoShop!A15</f>
        <v>#</v>
      </c>
      <c r="E10">
        <v>-1</v>
      </c>
      <c r="F10" s="7" t="e">
        <f t="shared" si="0"/>
        <v>#VALUE!</v>
      </c>
      <c r="G10" s="7">
        <f>配置总览!H54</f>
        <v>1</v>
      </c>
      <c r="H10" s="7">
        <f>配置总览!H53</f>
        <v>0</v>
      </c>
      <c r="I10" s="7">
        <f>VLOOKUP(配置总览!E48,StrDictionary!$C$111:$D$211,2,0)</f>
        <v>23401</v>
      </c>
      <c r="J10">
        <v>0</v>
      </c>
    </row>
    <row r="11" spans="1:10">
      <c r="A11" s="41" t="str">
        <f>IF(配置总览!$B$60="导出",8000+配置总览!H62,"#")</f>
        <v>#</v>
      </c>
      <c r="B11" s="7" t="str">
        <f>FashionData!B11</f>
        <v>S：妖族-仙玉台</v>
      </c>
      <c r="C11" s="7">
        <f>配置总览!H70</f>
        <v>1</v>
      </c>
      <c r="D11" s="7" t="str">
        <f>YuanBaoShop!A17</f>
        <v>#</v>
      </c>
      <c r="E11" s="37">
        <v>-1</v>
      </c>
      <c r="F11" s="7" t="e">
        <f t="shared" si="0"/>
        <v>#VALUE!</v>
      </c>
      <c r="G11" s="7">
        <f>配置总览!H68</f>
        <v>0</v>
      </c>
      <c r="H11" s="7">
        <f>配置总览!H67</f>
        <v>0</v>
      </c>
      <c r="I11" s="7">
        <f>VLOOKUP(配置总览!E64,StrDictionary!$C$111:$D$211,2,0)</f>
        <v>23447</v>
      </c>
      <c r="J11">
        <v>0</v>
      </c>
    </row>
    <row r="12" spans="1:10">
      <c r="A12" s="41" t="str">
        <f>IF(配置总览!$B$61="导出",8000+配置总览!H62+配置总览!A63,"#")</f>
        <v>#</v>
      </c>
      <c r="B12" s="7" t="str">
        <f>FashionData!B12</f>
        <v>S：羽族-仙合翼</v>
      </c>
      <c r="C12" s="3">
        <f>C11</f>
        <v>1</v>
      </c>
      <c r="D12" s="3" t="e">
        <f t="shared" si="1"/>
        <v>#VALUE!</v>
      </c>
      <c r="E12" s="37">
        <v>-1</v>
      </c>
      <c r="F12" s="3" t="e">
        <f t="shared" si="2"/>
        <v>#VALUE!</v>
      </c>
      <c r="G12" s="3">
        <f>G11</f>
        <v>0</v>
      </c>
      <c r="H12" s="3">
        <f>H11</f>
        <v>0</v>
      </c>
      <c r="I12" s="3">
        <f>I11</f>
        <v>23447</v>
      </c>
      <c r="J12">
        <v>0</v>
      </c>
    </row>
    <row r="13" spans="1:10">
      <c r="A13" s="41" t="str">
        <f>IF(配置总览!$B$62="导出",8000+配置总览!H62+配置总览!A64,"#")</f>
        <v>#</v>
      </c>
      <c r="B13" s="7" t="str">
        <f>FashionData!B13</f>
        <v>S：人族-白玉仙</v>
      </c>
      <c r="C13" s="3">
        <f>C12</f>
        <v>1</v>
      </c>
      <c r="D13" s="3" t="e">
        <f t="shared" si="1"/>
        <v>#VALUE!</v>
      </c>
      <c r="E13" s="37">
        <v>-1</v>
      </c>
      <c r="F13" s="3" t="e">
        <f t="shared" si="2"/>
        <v>#VALUE!</v>
      </c>
      <c r="G13" s="3">
        <f>G12</f>
        <v>0</v>
      </c>
      <c r="H13" s="3">
        <f>H12</f>
        <v>0</v>
      </c>
      <c r="I13" s="3">
        <f>I12</f>
        <v>23447</v>
      </c>
      <c r="J13">
        <v>0</v>
      </c>
    </row>
    <row r="14" spans="1:10">
      <c r="A14" s="7" t="str">
        <f>IF(配置总览!$B$74="导出",4000+配置总览!H76,"#")</f>
        <v>#</v>
      </c>
      <c r="B14" s="7" t="str">
        <f>FashionData!B14</f>
        <v>A：野趣风尚</v>
      </c>
      <c r="C14" s="7">
        <f>配置总览!H84</f>
        <v>0</v>
      </c>
      <c r="D14" s="7" t="str">
        <f>YuanBaoShop!A23</f>
        <v>#</v>
      </c>
      <c r="E14">
        <v>-1</v>
      </c>
      <c r="F14" s="3" t="e">
        <f t="shared" ref="F14:F19" si="3">D14+1</f>
        <v>#VALUE!</v>
      </c>
      <c r="G14" s="7">
        <f>配置总览!H82</f>
        <v>0</v>
      </c>
      <c r="H14" s="7">
        <f>配置总览!H81</f>
        <v>0</v>
      </c>
      <c r="I14" s="7">
        <f>VLOOKUP(配置总览!E76,StrDictionary!$C$111:$D$211,2,0)</f>
        <v>23471</v>
      </c>
      <c r="J14">
        <v>0</v>
      </c>
    </row>
    <row r="15" s="2" customFormat="1" spans="1:10">
      <c r="A15" s="7" t="str">
        <f>IF(配置总览!$B$88="导出",4000+配置总览!H90,"#")</f>
        <v>#</v>
      </c>
      <c r="B15" s="7" t="str">
        <f>FashionData!B15</f>
        <v>B：星扇·宿</v>
      </c>
      <c r="C15" s="2">
        <v>-2</v>
      </c>
      <c r="D15" s="7" t="str">
        <f>YuanBaoShop!A25</f>
        <v>#</v>
      </c>
      <c r="E15" s="2">
        <v>-1</v>
      </c>
      <c r="F15" s="3" t="e">
        <f t="shared" si="3"/>
        <v>#VALUE!</v>
      </c>
      <c r="G15" s="2">
        <v>0</v>
      </c>
      <c r="H15" s="2">
        <v>0</v>
      </c>
      <c r="I15" s="2">
        <v>23421</v>
      </c>
      <c r="J15">
        <v>0</v>
      </c>
    </row>
    <row r="16" s="2" customFormat="1" spans="1:10">
      <c r="A16" s="3" t="str">
        <f t="shared" ref="A16:A18" si="4">IFERROR(A15+1,"#")</f>
        <v>#</v>
      </c>
      <c r="B16" s="7" t="str">
        <f>FashionData!B16</f>
        <v>A：星扇·星象</v>
      </c>
      <c r="C16" s="2">
        <v>-2</v>
      </c>
      <c r="D16" s="3" t="e">
        <f t="shared" ref="D16:D18" si="5">D15+2</f>
        <v>#VALUE!</v>
      </c>
      <c r="E16" s="2">
        <v>-1</v>
      </c>
      <c r="F16" s="3" t="e">
        <f t="shared" si="3"/>
        <v>#VALUE!</v>
      </c>
      <c r="G16" s="2">
        <v>0</v>
      </c>
      <c r="H16" s="2">
        <v>0</v>
      </c>
      <c r="I16" s="2">
        <v>23421</v>
      </c>
      <c r="J16">
        <v>0</v>
      </c>
    </row>
    <row r="17" s="2" customFormat="1" spans="1:10">
      <c r="A17" s="3" t="str">
        <f t="shared" si="4"/>
        <v>#</v>
      </c>
      <c r="B17" s="7" t="str">
        <f>FashionData!B17</f>
        <v>S：星扇·天垣</v>
      </c>
      <c r="C17" s="2">
        <v>-2</v>
      </c>
      <c r="D17" s="3" t="e">
        <f t="shared" si="5"/>
        <v>#VALUE!</v>
      </c>
      <c r="E17" s="2">
        <v>-1</v>
      </c>
      <c r="F17" s="3" t="e">
        <f t="shared" si="3"/>
        <v>#VALUE!</v>
      </c>
      <c r="G17" s="2">
        <v>0</v>
      </c>
      <c r="H17" s="2">
        <v>0</v>
      </c>
      <c r="I17" s="2">
        <v>23421</v>
      </c>
      <c r="J17">
        <v>0</v>
      </c>
    </row>
    <row r="18" s="2" customFormat="1" spans="1:10">
      <c r="A18" s="3" t="str">
        <f t="shared" si="4"/>
        <v>#</v>
      </c>
      <c r="B18" s="7" t="str">
        <f>FashionData!B18</f>
        <v>S+：星扇·天星引</v>
      </c>
      <c r="C18" s="2">
        <v>-2</v>
      </c>
      <c r="D18" s="3" t="e">
        <f t="shared" si="5"/>
        <v>#VALUE!</v>
      </c>
      <c r="E18" s="2">
        <v>-1</v>
      </c>
      <c r="F18" s="3" t="e">
        <f t="shared" si="3"/>
        <v>#VALUE!</v>
      </c>
      <c r="G18" s="2">
        <v>0</v>
      </c>
      <c r="H18" s="2">
        <v>0</v>
      </c>
      <c r="I18" s="2">
        <v>23421</v>
      </c>
      <c r="J18">
        <v>0</v>
      </c>
    </row>
    <row r="19" spans="1:10">
      <c r="A19" s="7" t="str">
        <f>IF(配置总览!$B$102="导出",3000+配置总览!H104*20-19,"#")</f>
        <v>#</v>
      </c>
      <c r="B19" s="7" t="str">
        <f>FashionData!B19</f>
        <v>S+：妖兽-无相·花颂锤</v>
      </c>
      <c r="C19" s="7">
        <f>配置总览!H112</f>
        <v>1</v>
      </c>
      <c r="D19" s="7" t="str">
        <f>YuanBaoShop!A33</f>
        <v>#</v>
      </c>
      <c r="E19">
        <v>-1</v>
      </c>
      <c r="F19" s="7" t="e">
        <f t="shared" si="3"/>
        <v>#VALUE!</v>
      </c>
      <c r="G19" s="7">
        <f>配置总览!H110</f>
        <v>0</v>
      </c>
      <c r="H19" s="7">
        <f>配置总览!H109</f>
        <v>0</v>
      </c>
      <c r="I19" s="7">
        <f>VLOOKUP(配置总览!E104,StrDictionary!$C$111:$D$211,2,0)</f>
        <v>23401</v>
      </c>
      <c r="J19">
        <v>0</v>
      </c>
    </row>
    <row r="20" spans="1:10">
      <c r="A20" s="3" t="str">
        <f t="shared" ref="A20:A28" si="6">IFERROR(A19+1,"#")</f>
        <v>#</v>
      </c>
      <c r="B20" s="7" t="str">
        <f>FashionData!B20</f>
        <v>S+：羽芒-无相·花颂弓</v>
      </c>
      <c r="C20" s="3">
        <f t="shared" ref="C20:C28" si="7">C19</f>
        <v>1</v>
      </c>
      <c r="D20" s="3" t="e">
        <f t="shared" ref="D20:D28" si="8">D19+2</f>
        <v>#VALUE!</v>
      </c>
      <c r="E20">
        <v>-1</v>
      </c>
      <c r="F20" s="3" t="e">
        <f t="shared" ref="F20:F28" si="9">F19+2</f>
        <v>#VALUE!</v>
      </c>
      <c r="G20" s="3">
        <f t="shared" ref="G20:G28" si="10">G19</f>
        <v>0</v>
      </c>
      <c r="H20" s="3">
        <f t="shared" ref="H20:H28" si="11">H19</f>
        <v>0</v>
      </c>
      <c r="I20" s="3">
        <f t="shared" ref="I20:I28" si="12">I19</f>
        <v>23401</v>
      </c>
      <c r="J20">
        <v>0</v>
      </c>
    </row>
    <row r="21" spans="1:10">
      <c r="A21" s="3" t="str">
        <f t="shared" si="6"/>
        <v>#</v>
      </c>
      <c r="B21" s="7" t="str">
        <f>FashionData!B21</f>
        <v>S+：法师-无相·花颂剑</v>
      </c>
      <c r="C21" s="3">
        <f t="shared" si="7"/>
        <v>1</v>
      </c>
      <c r="D21" s="3" t="e">
        <f t="shared" si="8"/>
        <v>#VALUE!</v>
      </c>
      <c r="E21">
        <v>-1</v>
      </c>
      <c r="F21" s="3" t="e">
        <f t="shared" si="9"/>
        <v>#VALUE!</v>
      </c>
      <c r="G21" s="3">
        <f t="shared" si="10"/>
        <v>0</v>
      </c>
      <c r="H21" s="3">
        <f t="shared" si="11"/>
        <v>0</v>
      </c>
      <c r="I21" s="3">
        <f t="shared" si="12"/>
        <v>23401</v>
      </c>
      <c r="J21">
        <v>0</v>
      </c>
    </row>
    <row r="22" spans="1:10">
      <c r="A22" s="3" t="str">
        <f t="shared" si="6"/>
        <v>#</v>
      </c>
      <c r="B22" s="7" t="str">
        <f>FashionData!B22</f>
        <v>S+：羽灵-无相·花颂环</v>
      </c>
      <c r="C22" s="3">
        <f t="shared" si="7"/>
        <v>1</v>
      </c>
      <c r="D22" s="3" t="e">
        <f t="shared" si="8"/>
        <v>#VALUE!</v>
      </c>
      <c r="E22">
        <v>-1</v>
      </c>
      <c r="F22" s="3" t="e">
        <f t="shared" si="9"/>
        <v>#VALUE!</v>
      </c>
      <c r="G22" s="3">
        <f t="shared" si="10"/>
        <v>0</v>
      </c>
      <c r="H22" s="3">
        <f t="shared" si="11"/>
        <v>0</v>
      </c>
      <c r="I22" s="3">
        <f t="shared" si="12"/>
        <v>23401</v>
      </c>
      <c r="J22">
        <v>0</v>
      </c>
    </row>
    <row r="23" spans="1:10">
      <c r="A23" s="3" t="str">
        <f t="shared" si="6"/>
        <v>#</v>
      </c>
      <c r="B23" s="7" t="str">
        <f>FashionData!B23</f>
        <v>S+：妖精-无相·花颂杖</v>
      </c>
      <c r="C23" s="3">
        <f t="shared" si="7"/>
        <v>1</v>
      </c>
      <c r="D23" s="3" t="e">
        <f t="shared" si="8"/>
        <v>#VALUE!</v>
      </c>
      <c r="E23">
        <v>-1</v>
      </c>
      <c r="F23" s="3" t="e">
        <f t="shared" si="9"/>
        <v>#VALUE!</v>
      </c>
      <c r="G23" s="3">
        <f t="shared" si="10"/>
        <v>0</v>
      </c>
      <c r="H23" s="3">
        <f t="shared" si="11"/>
        <v>0</v>
      </c>
      <c r="I23" s="3">
        <f t="shared" si="12"/>
        <v>23401</v>
      </c>
      <c r="J23">
        <v>0</v>
      </c>
    </row>
    <row r="24" spans="1:10">
      <c r="A24" s="3" t="str">
        <f t="shared" si="6"/>
        <v>#</v>
      </c>
      <c r="B24" s="7" t="str">
        <f>FashionData!B24</f>
        <v>S+：武侠-无相·花颂兵</v>
      </c>
      <c r="C24" s="3">
        <f t="shared" si="7"/>
        <v>1</v>
      </c>
      <c r="D24" s="3" t="e">
        <f t="shared" si="8"/>
        <v>#VALUE!</v>
      </c>
      <c r="E24">
        <v>-1</v>
      </c>
      <c r="F24" s="3" t="e">
        <f t="shared" si="9"/>
        <v>#VALUE!</v>
      </c>
      <c r="G24" s="3">
        <f t="shared" si="10"/>
        <v>0</v>
      </c>
      <c r="H24" s="3">
        <f t="shared" si="11"/>
        <v>0</v>
      </c>
      <c r="I24" s="3">
        <f t="shared" si="12"/>
        <v>23401</v>
      </c>
      <c r="J24">
        <v>0</v>
      </c>
    </row>
    <row r="25" spans="1:10">
      <c r="A25" s="3" t="str">
        <f t="shared" si="6"/>
        <v>#</v>
      </c>
      <c r="B25" s="7" t="str">
        <f>FashionData!B25</f>
        <v>S+：妖刃-无相·花颂刃</v>
      </c>
      <c r="C25" s="3">
        <f t="shared" si="7"/>
        <v>1</v>
      </c>
      <c r="D25" s="3" t="e">
        <f t="shared" si="8"/>
        <v>#VALUE!</v>
      </c>
      <c r="E25">
        <v>-1</v>
      </c>
      <c r="F25" s="3" t="e">
        <f t="shared" si="9"/>
        <v>#VALUE!</v>
      </c>
      <c r="G25" s="3">
        <f t="shared" si="10"/>
        <v>0</v>
      </c>
      <c r="H25" s="3">
        <f t="shared" si="11"/>
        <v>0</v>
      </c>
      <c r="I25" s="3">
        <f t="shared" si="12"/>
        <v>23401</v>
      </c>
      <c r="J25">
        <v>0</v>
      </c>
    </row>
    <row r="26" spans="1:10">
      <c r="A26" s="3" t="str">
        <f t="shared" si="6"/>
        <v>#</v>
      </c>
      <c r="B26" s="7" t="str">
        <f>FashionData!B26</f>
        <v>S+：羽岚-无相·花颂书</v>
      </c>
      <c r="C26" s="3">
        <f t="shared" si="7"/>
        <v>1</v>
      </c>
      <c r="D26" s="3" t="e">
        <f t="shared" si="8"/>
        <v>#VALUE!</v>
      </c>
      <c r="E26">
        <v>-1</v>
      </c>
      <c r="F26" s="3" t="e">
        <f t="shared" si="9"/>
        <v>#VALUE!</v>
      </c>
      <c r="G26" s="3">
        <f t="shared" si="10"/>
        <v>0</v>
      </c>
      <c r="H26" s="3">
        <f t="shared" si="11"/>
        <v>0</v>
      </c>
      <c r="I26" s="3">
        <f t="shared" si="12"/>
        <v>23401</v>
      </c>
      <c r="J26">
        <v>0</v>
      </c>
    </row>
    <row r="27" spans="1:10">
      <c r="A27" s="3" t="str">
        <f t="shared" si="6"/>
        <v>#</v>
      </c>
      <c r="B27" s="7" t="str">
        <f>FashionData!B27</f>
        <v>S+：刀刹-无相·花颂刀</v>
      </c>
      <c r="C27" s="3">
        <f t="shared" si="7"/>
        <v>1</v>
      </c>
      <c r="D27" s="3" t="e">
        <f t="shared" si="8"/>
        <v>#VALUE!</v>
      </c>
      <c r="E27">
        <v>-1</v>
      </c>
      <c r="F27" s="3" t="e">
        <f t="shared" si="9"/>
        <v>#VALUE!</v>
      </c>
      <c r="G27" s="3">
        <f t="shared" si="10"/>
        <v>0</v>
      </c>
      <c r="H27" s="3">
        <f t="shared" si="11"/>
        <v>0</v>
      </c>
      <c r="I27" s="3">
        <f t="shared" si="12"/>
        <v>23401</v>
      </c>
      <c r="J27">
        <v>0</v>
      </c>
    </row>
    <row r="28" spans="1:10">
      <c r="A28" s="3" t="str">
        <f t="shared" si="6"/>
        <v>#</v>
      </c>
      <c r="B28" s="7" t="str">
        <f>FashionData!B28</f>
        <v>S+：月仙-无相·花颂镰</v>
      </c>
      <c r="C28" s="3">
        <f t="shared" si="7"/>
        <v>1</v>
      </c>
      <c r="D28" s="3" t="e">
        <f t="shared" si="8"/>
        <v>#VALUE!</v>
      </c>
      <c r="E28">
        <v>-1</v>
      </c>
      <c r="F28" s="3" t="e">
        <f t="shared" si="9"/>
        <v>#VALUE!</v>
      </c>
      <c r="G28" s="3">
        <f t="shared" si="10"/>
        <v>0</v>
      </c>
      <c r="H28" s="3">
        <f t="shared" si="11"/>
        <v>0</v>
      </c>
      <c r="I28" s="3">
        <f t="shared" si="12"/>
        <v>23401</v>
      </c>
      <c r="J28">
        <v>0</v>
      </c>
    </row>
  </sheetData>
  <pageMargins left="0.7" right="0.7" top="0.75" bottom="0.75" header="0.3" footer="0.3"/>
  <pageSetup paperSize="9" orientation="portrait" verticalDpi="300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workbookViewId="0">
      <selection activeCell="I5" sqref="I5"/>
    </sheetView>
  </sheetViews>
  <sheetFormatPr defaultColWidth="9" defaultRowHeight="14.25"/>
  <cols>
    <col min="2" max="2" width="15.5" customWidth="1"/>
    <col min="3" max="3" width="11" customWidth="1"/>
  </cols>
  <sheetData>
    <row r="1" s="1" customFormat="1" spans="1:31">
      <c r="A1" s="1" t="s">
        <v>312</v>
      </c>
      <c r="B1" s="1" t="s">
        <v>313</v>
      </c>
      <c r="C1" s="1" t="s">
        <v>389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  <c r="I1" s="1" t="s">
        <v>749</v>
      </c>
      <c r="J1" s="1" t="s">
        <v>396</v>
      </c>
      <c r="K1" s="1" t="s">
        <v>750</v>
      </c>
      <c r="L1" s="1" t="s">
        <v>751</v>
      </c>
      <c r="M1" s="1" t="s">
        <v>752</v>
      </c>
      <c r="N1" s="1" t="s">
        <v>753</v>
      </c>
      <c r="O1" s="1" t="s">
        <v>754</v>
      </c>
      <c r="P1" s="1" t="s">
        <v>755</v>
      </c>
      <c r="Q1" s="1" t="s">
        <v>756</v>
      </c>
      <c r="R1" s="1" t="s">
        <v>757</v>
      </c>
      <c r="S1" s="1" t="s">
        <v>758</v>
      </c>
      <c r="T1" s="1" t="s">
        <v>759</v>
      </c>
      <c r="U1" s="1" t="s">
        <v>760</v>
      </c>
      <c r="V1" s="1" t="s">
        <v>761</v>
      </c>
      <c r="W1" s="1" t="s">
        <v>762</v>
      </c>
      <c r="X1" s="1" t="s">
        <v>763</v>
      </c>
      <c r="Y1" s="1" t="s">
        <v>764</v>
      </c>
      <c r="Z1" s="1" t="s">
        <v>765</v>
      </c>
      <c r="AA1" s="1" t="s">
        <v>766</v>
      </c>
      <c r="AB1" s="1" t="s">
        <v>767</v>
      </c>
      <c r="AC1" s="1" t="s">
        <v>768</v>
      </c>
      <c r="AD1" s="1" t="s">
        <v>769</v>
      </c>
      <c r="AE1" s="1" t="s">
        <v>770</v>
      </c>
    </row>
    <row r="2" s="1" customFormat="1" spans="1:31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316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445</v>
      </c>
    </row>
    <row r="3" s="1" customFormat="1" spans="1:1">
      <c r="A3" s="1" t="s">
        <v>771</v>
      </c>
    </row>
    <row r="4" s="1" customFormat="1" spans="1:31">
      <c r="A4" s="1" t="s">
        <v>448</v>
      </c>
      <c r="B4" s="1" t="s">
        <v>536</v>
      </c>
      <c r="C4" s="1" t="s">
        <v>450</v>
      </c>
      <c r="D4" s="1" t="s">
        <v>772</v>
      </c>
      <c r="E4" s="1" t="s">
        <v>773</v>
      </c>
      <c r="F4" s="1" t="s">
        <v>774</v>
      </c>
      <c r="G4" s="1" t="s">
        <v>775</v>
      </c>
      <c r="H4" s="1" t="s">
        <v>776</v>
      </c>
      <c r="I4" s="1" t="s">
        <v>777</v>
      </c>
      <c r="J4" s="1" t="s">
        <v>778</v>
      </c>
      <c r="K4" s="1" t="s">
        <v>779</v>
      </c>
      <c r="L4" s="1" t="s">
        <v>780</v>
      </c>
      <c r="M4" s="1" t="s">
        <v>781</v>
      </c>
      <c r="N4" s="1" t="s">
        <v>782</v>
      </c>
      <c r="O4" s="1" t="s">
        <v>783</v>
      </c>
      <c r="P4" s="1" t="s">
        <v>784</v>
      </c>
      <c r="Q4" s="1" t="s">
        <v>785</v>
      </c>
      <c r="R4" s="1" t="s">
        <v>786</v>
      </c>
      <c r="S4" s="1" t="s">
        <v>787</v>
      </c>
      <c r="T4" s="1" t="s">
        <v>788</v>
      </c>
      <c r="U4" s="1" t="s">
        <v>789</v>
      </c>
      <c r="V4" s="1" t="s">
        <v>790</v>
      </c>
      <c r="W4" s="1" t="s">
        <v>791</v>
      </c>
      <c r="X4" s="1" t="s">
        <v>792</v>
      </c>
      <c r="Y4" s="1" t="s">
        <v>793</v>
      </c>
      <c r="Z4" s="1" t="s">
        <v>794</v>
      </c>
      <c r="AA4" s="1" t="s">
        <v>795</v>
      </c>
      <c r="AB4" s="1" t="s">
        <v>796</v>
      </c>
      <c r="AC4" s="1" t="s">
        <v>797</v>
      </c>
      <c r="AD4" s="1" t="s">
        <v>798</v>
      </c>
      <c r="AE4" s="1" t="s">
        <v>799</v>
      </c>
    </row>
    <row r="5" spans="1:31">
      <c r="A5" s="35" t="str">
        <f>IF(配置总览!$B$32="导出",114+配置总览!H34,"#")</f>
        <v>#</v>
      </c>
      <c r="B5" s="6" t="str">
        <f>FashionData!B9</f>
        <v>S+：小狗蛇-吉祥如亿</v>
      </c>
      <c r="C5" s="6" t="str">
        <f>FashionData!C9</f>
        <v>小狗蛇-吉祥如亿</v>
      </c>
      <c r="D5" s="3" t="str">
        <f>C5</f>
        <v>小狗蛇-吉祥如亿</v>
      </c>
      <c r="E5" s="7" t="str">
        <f>配置总览!$K$32</f>
        <v>单人坐骑</v>
      </c>
      <c r="F5" s="6" t="str">
        <f>A5</f>
        <v>#</v>
      </c>
      <c r="G5" s="7">
        <f>VLOOKUP(配置总览!$I$32,$F$12:$I$15,G11,0)</f>
        <v>120</v>
      </c>
      <c r="H5">
        <v>0</v>
      </c>
      <c r="I5" s="7">
        <f>VLOOKUP(配置总览!$I$32,$F$12:$I$15,I11,0)</f>
        <v>53203</v>
      </c>
      <c r="K5" s="7">
        <f>IF(E5="双人坐骑",2,1)</f>
        <v>1</v>
      </c>
      <c r="AD5">
        <v>1</v>
      </c>
      <c r="AE5">
        <v>0</v>
      </c>
    </row>
    <row r="11" ht="16.5" spans="7:9">
      <c r="G11" s="32">
        <v>2</v>
      </c>
      <c r="H11" s="32">
        <v>3</v>
      </c>
      <c r="I11" s="32">
        <v>4</v>
      </c>
    </row>
    <row r="12" ht="16.5" spans="6:9">
      <c r="F12" s="32">
        <v>4</v>
      </c>
      <c r="G12">
        <v>120</v>
      </c>
      <c r="H12">
        <v>0</v>
      </c>
      <c r="I12">
        <v>53203</v>
      </c>
    </row>
    <row r="13" ht="16.5" spans="6:9">
      <c r="F13" s="32">
        <v>3</v>
      </c>
      <c r="G13">
        <v>100</v>
      </c>
      <c r="H13">
        <v>0</v>
      </c>
      <c r="I13">
        <v>53202</v>
      </c>
    </row>
    <row r="14" ht="16.5" spans="6:9">
      <c r="F14" s="32">
        <v>2</v>
      </c>
      <c r="G14">
        <v>100</v>
      </c>
      <c r="H14">
        <v>0</v>
      </c>
      <c r="I14">
        <v>53202</v>
      </c>
    </row>
    <row r="15" ht="16.5" spans="6:9">
      <c r="F15" s="32">
        <v>1</v>
      </c>
      <c r="G15">
        <v>70</v>
      </c>
      <c r="H15">
        <v>0</v>
      </c>
      <c r="I15">
        <v>53201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32"/>
  <sheetViews>
    <sheetView workbookViewId="0">
      <selection activeCell="S5" sqref="S5"/>
    </sheetView>
  </sheetViews>
  <sheetFormatPr defaultColWidth="9" defaultRowHeight="14.25"/>
  <cols>
    <col min="1" max="1" width="5.5" customWidth="1"/>
    <col min="2" max="2" width="12.75" customWidth="1"/>
    <col min="3" max="3" width="13" customWidth="1"/>
    <col min="5" max="5" width="22.625" customWidth="1"/>
    <col min="6" max="6" width="19.625" customWidth="1"/>
    <col min="7" max="7" width="16" customWidth="1"/>
    <col min="15" max="15" width="14.75" customWidth="1"/>
    <col min="16" max="16" width="19" customWidth="1"/>
    <col min="17" max="17" width="13.125" customWidth="1"/>
    <col min="18" max="18" width="10" customWidth="1"/>
    <col min="19" max="19" width="12.75" customWidth="1"/>
    <col min="20" max="20" width="10.375" customWidth="1"/>
    <col min="21" max="21" width="7.5" customWidth="1"/>
    <col min="22" max="22" width="6.75" customWidth="1"/>
    <col min="23" max="23" width="7.5" customWidth="1"/>
    <col min="24" max="24" width="20.125" customWidth="1"/>
    <col min="25" max="25" width="19.875" customWidth="1"/>
    <col min="26" max="26" width="16.5" customWidth="1"/>
    <col min="41" max="41" width="12" customWidth="1"/>
    <col min="54" max="54" width="9" customWidth="1"/>
  </cols>
  <sheetData>
    <row r="1" s="29" customFormat="1" spans="1:43">
      <c r="A1" s="1" t="s">
        <v>312</v>
      </c>
      <c r="B1" s="1" t="s">
        <v>313</v>
      </c>
      <c r="C1" s="1" t="s">
        <v>800</v>
      </c>
      <c r="D1" s="1" t="s">
        <v>801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806</v>
      </c>
      <c r="J1" s="1" t="s">
        <v>807</v>
      </c>
      <c r="K1" s="1" t="s">
        <v>808</v>
      </c>
      <c r="L1" s="1" t="s">
        <v>809</v>
      </c>
      <c r="M1" s="1" t="s">
        <v>810</v>
      </c>
      <c r="N1" s="1" t="s">
        <v>811</v>
      </c>
      <c r="O1" s="1" t="s">
        <v>812</v>
      </c>
      <c r="P1" s="1" t="s">
        <v>813</v>
      </c>
      <c r="Q1" s="1" t="s">
        <v>814</v>
      </c>
      <c r="R1" s="1" t="s">
        <v>815</v>
      </c>
      <c r="S1" s="1" t="s">
        <v>816</v>
      </c>
      <c r="T1" s="1" t="s">
        <v>817</v>
      </c>
      <c r="U1" s="1" t="s">
        <v>818</v>
      </c>
      <c r="V1" s="1" t="s">
        <v>819</v>
      </c>
      <c r="W1" s="1" t="s">
        <v>820</v>
      </c>
      <c r="X1" s="1" t="s">
        <v>821</v>
      </c>
      <c r="Y1" s="1" t="s">
        <v>822</v>
      </c>
      <c r="Z1" s="1" t="s">
        <v>823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</row>
    <row r="2" s="29" customFormat="1" spans="1:43">
      <c r="A2" s="1" t="s">
        <v>315</v>
      </c>
      <c r="B2" s="1" t="s">
        <v>316</v>
      </c>
      <c r="C2" s="1" t="s">
        <v>316</v>
      </c>
      <c r="D2" s="1" t="s">
        <v>315</v>
      </c>
      <c r="E2" s="1" t="s">
        <v>316</v>
      </c>
      <c r="F2" s="1" t="s">
        <v>316</v>
      </c>
      <c r="G2" s="1" t="s">
        <v>316</v>
      </c>
      <c r="H2" s="1" t="s">
        <v>315</v>
      </c>
      <c r="I2" s="1" t="s">
        <v>445</v>
      </c>
      <c r="J2" s="1" t="s">
        <v>445</v>
      </c>
      <c r="K2" s="1" t="s">
        <v>445</v>
      </c>
      <c r="L2" s="1" t="s">
        <v>445</v>
      </c>
      <c r="M2" s="1" t="s">
        <v>445</v>
      </c>
      <c r="N2" s="1" t="s">
        <v>445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824</v>
      </c>
      <c r="V2" s="1" t="s">
        <v>824</v>
      </c>
      <c r="W2" s="1" t="s">
        <v>445</v>
      </c>
      <c r="X2" s="1" t="s">
        <v>445</v>
      </c>
      <c r="Y2" s="1" t="s">
        <v>445</v>
      </c>
      <c r="Z2" s="1" t="s">
        <v>445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</row>
    <row r="3" s="29" customFormat="1" spans="1:43">
      <c r="A3" s="1" t="s">
        <v>317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</row>
    <row r="4" s="29" customFormat="1" spans="1:43">
      <c r="A4" s="1" t="s">
        <v>448</v>
      </c>
      <c r="B4" s="1" t="s">
        <v>450</v>
      </c>
      <c r="C4" s="1" t="s">
        <v>825</v>
      </c>
      <c r="D4" s="1" t="s">
        <v>826</v>
      </c>
      <c r="E4" s="1" t="s">
        <v>827</v>
      </c>
      <c r="F4" s="1" t="s">
        <v>828</v>
      </c>
      <c r="G4" s="1" t="s">
        <v>77</v>
      </c>
      <c r="H4" s="1" t="s">
        <v>829</v>
      </c>
      <c r="I4" s="1" t="s">
        <v>830</v>
      </c>
      <c r="J4" s="1" t="s">
        <v>831</v>
      </c>
      <c r="K4" s="1" t="s">
        <v>832</v>
      </c>
      <c r="L4" s="1" t="s">
        <v>833</v>
      </c>
      <c r="M4" s="1" t="s">
        <v>834</v>
      </c>
      <c r="N4" s="1" t="s">
        <v>835</v>
      </c>
      <c r="O4" s="1" t="s">
        <v>836</v>
      </c>
      <c r="P4" s="1" t="s">
        <v>837</v>
      </c>
      <c r="Q4" s="1" t="s">
        <v>838</v>
      </c>
      <c r="R4" s="1" t="s">
        <v>839</v>
      </c>
      <c r="S4" s="1" t="s">
        <v>840</v>
      </c>
      <c r="T4" s="1" t="s">
        <v>841</v>
      </c>
      <c r="U4" s="1" t="s">
        <v>842</v>
      </c>
      <c r="V4" s="1" t="s">
        <v>843</v>
      </c>
      <c r="W4" s="1" t="s">
        <v>844</v>
      </c>
      <c r="X4" s="1" t="s">
        <v>845</v>
      </c>
      <c r="Y4" s="1" t="s">
        <v>846</v>
      </c>
      <c r="Z4" s="1" t="s">
        <v>847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</row>
    <row r="5" spans="1:64">
      <c r="A5" s="3" t="str">
        <f>IF(配置总览!$B$2="Main",MountBase!$A$5,"#")</f>
        <v>#</v>
      </c>
      <c r="B5" s="3" t="str">
        <f>MountBase!$B$5</f>
        <v>S+：小狗蛇-吉祥如亿</v>
      </c>
      <c r="C5" s="7" t="str">
        <f>配置总览!$N$35</f>
        <v>Qc_xiaogoushe_zhaocaimao</v>
      </c>
      <c r="D5">
        <v>0</v>
      </c>
      <c r="E5" s="7" t="str">
        <f>配置总览!$N$36</f>
        <v>Bone001/Ride_Point</v>
      </c>
      <c r="F5" s="3" t="str">
        <f>E5</f>
        <v>Bone001/Ride_Point</v>
      </c>
      <c r="G5" s="7" t="str">
        <f>IF(配置总览!$N$37=0,"",配置总览!$N$37)</f>
        <v/>
      </c>
      <c r="H5" s="3" t="str">
        <f>FakeObject!$A$5</f>
        <v>#</v>
      </c>
      <c r="I5" s="30">
        <v>0.1</v>
      </c>
      <c r="J5" s="30">
        <v>0.2</v>
      </c>
      <c r="K5" s="30">
        <v>0.2</v>
      </c>
      <c r="L5" s="30">
        <v>0.6</v>
      </c>
      <c r="M5" s="30">
        <v>0.6</v>
      </c>
      <c r="N5" s="30">
        <v>0.6</v>
      </c>
      <c r="O5" s="9">
        <f>VLOOKUP(配置总览!$K$34,$P$8:$Y$30,R8,0)</f>
        <v>202</v>
      </c>
      <c r="P5" s="9">
        <f>VLOOKUP(配置总览!$K$34,$P$8:$Y$30,S8,0)</f>
        <v>203</v>
      </c>
      <c r="Q5" s="9">
        <f>VLOOKUP(配置总览!$K$35,$P$8:$Y$30,R8,0)</f>
        <v>202</v>
      </c>
      <c r="R5" s="9">
        <f>VLOOKUP(配置总览!$K$35,$P$8:$Y$30,S8,0)</f>
        <v>203</v>
      </c>
      <c r="S5" s="9">
        <f>VLOOKUP(配置总览!$K$34,$P$8:$Y$30,T8,0)</f>
        <v>202</v>
      </c>
      <c r="T5" s="9">
        <f>VLOOKUP(配置总览!$K$34,$P$8:$Y$30,U8,0)</f>
        <v>7127</v>
      </c>
      <c r="U5" s="7">
        <f>VLOOKUP(配置总览!$K$34,$P$8:$Y$30,V8,0)</f>
        <v>-1</v>
      </c>
      <c r="V5" s="7">
        <f>VLOOKUP(配置总览!$K$34,$P$8:$Y$30,W8,0)</f>
        <v>-1</v>
      </c>
      <c r="W5" s="13">
        <f>配置总览!$K$36</f>
        <v>1.2</v>
      </c>
      <c r="X5" s="13">
        <f>配置总览!$K$37</f>
        <v>1.1</v>
      </c>
      <c r="Y5" s="13">
        <f>配置总览!$K$38</f>
        <v>1.1</v>
      </c>
      <c r="Z5">
        <v>1</v>
      </c>
      <c r="AR5" s="9"/>
      <c r="AS5" s="9"/>
      <c r="AT5" s="9"/>
      <c r="AU5" s="9"/>
      <c r="AV5" s="9"/>
      <c r="AW5" s="13"/>
      <c r="AX5" s="7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</row>
    <row r="7" spans="12:12">
      <c r="L7" s="38" t="s">
        <v>848</v>
      </c>
    </row>
    <row r="8" ht="16.5" spans="10:23">
      <c r="J8" s="18" t="s">
        <v>849</v>
      </c>
      <c r="L8" s="18" t="s">
        <v>850</v>
      </c>
      <c r="N8" s="18" t="s">
        <v>851</v>
      </c>
      <c r="R8" s="32">
        <v>3</v>
      </c>
      <c r="S8" s="32">
        <v>4</v>
      </c>
      <c r="T8" s="32">
        <v>5</v>
      </c>
      <c r="U8" s="32">
        <v>6</v>
      </c>
      <c r="V8" s="32">
        <v>7</v>
      </c>
      <c r="W8" s="32">
        <v>8</v>
      </c>
    </row>
    <row r="9" ht="16.5" spans="16:23">
      <c r="P9" s="32" t="s">
        <v>852</v>
      </c>
      <c r="Q9" s="32" t="s">
        <v>853</v>
      </c>
      <c r="R9" s="33">
        <v>349</v>
      </c>
      <c r="S9" s="33">
        <v>350</v>
      </c>
      <c r="T9" s="33">
        <v>200</v>
      </c>
      <c r="U9" s="33">
        <v>7127</v>
      </c>
      <c r="V9" s="33">
        <v>-1</v>
      </c>
      <c r="W9" s="33">
        <v>-1</v>
      </c>
    </row>
    <row r="10" ht="16.5" spans="16:23">
      <c r="P10" s="32" t="s">
        <v>854</v>
      </c>
      <c r="Q10" s="32" t="s">
        <v>855</v>
      </c>
      <c r="R10" s="33">
        <v>200</v>
      </c>
      <c r="S10" s="33">
        <v>201</v>
      </c>
      <c r="T10" s="33">
        <v>200</v>
      </c>
      <c r="U10" s="33">
        <v>7127</v>
      </c>
      <c r="V10" s="33">
        <v>-1</v>
      </c>
      <c r="W10" s="33">
        <v>-1</v>
      </c>
    </row>
    <row r="11" ht="16.5" spans="16:23">
      <c r="P11" s="32" t="s">
        <v>66</v>
      </c>
      <c r="Q11" s="32" t="s">
        <v>856</v>
      </c>
      <c r="R11" s="33">
        <v>202</v>
      </c>
      <c r="S11" s="33">
        <v>203</v>
      </c>
      <c r="T11" s="33">
        <v>202</v>
      </c>
      <c r="U11" s="33">
        <v>7127</v>
      </c>
      <c r="V11" s="33">
        <v>-1</v>
      </c>
      <c r="W11" s="33">
        <v>-1</v>
      </c>
    </row>
    <row r="12" ht="16.5" spans="16:23">
      <c r="P12" s="32" t="s">
        <v>857</v>
      </c>
      <c r="Q12" s="32" t="s">
        <v>858</v>
      </c>
      <c r="R12" s="33">
        <v>338</v>
      </c>
      <c r="S12" s="33">
        <v>339</v>
      </c>
      <c r="T12" s="33">
        <v>200</v>
      </c>
      <c r="U12" s="33">
        <v>7127</v>
      </c>
      <c r="V12" s="33">
        <v>-1</v>
      </c>
      <c r="W12" s="33">
        <v>-1</v>
      </c>
    </row>
    <row r="13" ht="16.5" spans="16:23">
      <c r="P13" s="32" t="s">
        <v>859</v>
      </c>
      <c r="Q13" s="32" t="s">
        <v>860</v>
      </c>
      <c r="R13" s="33">
        <v>472</v>
      </c>
      <c r="S13" s="33">
        <v>473</v>
      </c>
      <c r="T13" s="33">
        <v>200</v>
      </c>
      <c r="U13" s="33">
        <v>7127</v>
      </c>
      <c r="V13" s="33">
        <v>-1</v>
      </c>
      <c r="W13" s="33">
        <v>-1</v>
      </c>
    </row>
    <row r="14" ht="16.5" spans="10:23">
      <c r="J14" s="18" t="s">
        <v>861</v>
      </c>
      <c r="L14" s="18" t="s">
        <v>862</v>
      </c>
      <c r="N14" s="18" t="s">
        <v>863</v>
      </c>
      <c r="P14" s="32" t="s">
        <v>864</v>
      </c>
      <c r="Q14" s="32" t="s">
        <v>865</v>
      </c>
      <c r="R14" s="33">
        <v>3986</v>
      </c>
      <c r="S14" s="33">
        <v>3987</v>
      </c>
      <c r="T14" s="33">
        <v>200</v>
      </c>
      <c r="U14" s="33">
        <v>7127</v>
      </c>
      <c r="V14" s="33">
        <v>-1</v>
      </c>
      <c r="W14" s="33">
        <v>-1</v>
      </c>
    </row>
    <row r="15" ht="16.5" spans="16:23">
      <c r="P15" s="32" t="s">
        <v>866</v>
      </c>
      <c r="Q15" s="32" t="s">
        <v>867</v>
      </c>
      <c r="R15" s="33">
        <v>3989</v>
      </c>
      <c r="S15" s="33">
        <v>3990</v>
      </c>
      <c r="T15" s="33">
        <v>200</v>
      </c>
      <c r="U15" s="33">
        <v>7127</v>
      </c>
      <c r="V15" s="33">
        <v>-1</v>
      </c>
      <c r="W15" s="33">
        <v>-1</v>
      </c>
    </row>
    <row r="16" ht="16.5" spans="16:23">
      <c r="P16" s="32" t="s">
        <v>868</v>
      </c>
      <c r="Q16" s="32" t="s">
        <v>869</v>
      </c>
      <c r="R16" s="33">
        <v>20036</v>
      </c>
      <c r="S16" s="33">
        <v>20037</v>
      </c>
      <c r="T16" s="33">
        <v>200</v>
      </c>
      <c r="U16" s="33">
        <v>7127</v>
      </c>
      <c r="V16" s="33">
        <v>-1</v>
      </c>
      <c r="W16" s="33">
        <v>-1</v>
      </c>
    </row>
    <row r="17" ht="16.5" spans="16:23">
      <c r="P17" s="32" t="s">
        <v>870</v>
      </c>
      <c r="Q17" s="32" t="s">
        <v>871</v>
      </c>
      <c r="R17" s="33">
        <v>20038</v>
      </c>
      <c r="S17" s="33">
        <v>20039</v>
      </c>
      <c r="T17" s="33">
        <v>200</v>
      </c>
      <c r="U17" s="33">
        <v>7127</v>
      </c>
      <c r="V17" s="33">
        <v>-1</v>
      </c>
      <c r="W17" s="33">
        <v>-1</v>
      </c>
    </row>
    <row r="18" ht="16.5" spans="16:23">
      <c r="P18" s="32" t="s">
        <v>872</v>
      </c>
      <c r="Q18" s="32" t="s">
        <v>873</v>
      </c>
      <c r="R18" s="33">
        <v>20046</v>
      </c>
      <c r="S18" s="33">
        <v>20047</v>
      </c>
      <c r="T18" s="33">
        <v>202</v>
      </c>
      <c r="U18" s="33">
        <v>7127</v>
      </c>
      <c r="V18" s="33">
        <v>-1</v>
      </c>
      <c r="W18" s="33">
        <v>-1</v>
      </c>
    </row>
    <row r="19" ht="16.5" spans="10:23">
      <c r="J19" s="18" t="s">
        <v>874</v>
      </c>
      <c r="L19" s="18" t="s">
        <v>875</v>
      </c>
      <c r="N19" s="18" t="s">
        <v>876</v>
      </c>
      <c r="P19" s="32" t="s">
        <v>877</v>
      </c>
      <c r="Q19" s="32" t="s">
        <v>878</v>
      </c>
      <c r="R19" s="33">
        <v>22148</v>
      </c>
      <c r="S19" s="33">
        <v>22149</v>
      </c>
      <c r="T19" s="33">
        <v>200</v>
      </c>
      <c r="U19" s="33">
        <v>7127</v>
      </c>
      <c r="V19" s="33">
        <v>-1</v>
      </c>
      <c r="W19" s="33">
        <v>-1</v>
      </c>
    </row>
    <row r="20" ht="16.5" spans="16:23">
      <c r="P20" s="34" t="s">
        <v>879</v>
      </c>
      <c r="Q20" s="34" t="s">
        <v>880</v>
      </c>
      <c r="R20" s="33">
        <v>22403</v>
      </c>
      <c r="S20" s="33">
        <v>22404</v>
      </c>
      <c r="T20" s="33">
        <v>200</v>
      </c>
      <c r="U20" s="33">
        <v>7127</v>
      </c>
      <c r="V20" s="33">
        <v>-1</v>
      </c>
      <c r="W20" s="33">
        <v>-1</v>
      </c>
    </row>
    <row r="21" ht="16.5" spans="16:23">
      <c r="P21" s="34" t="s">
        <v>881</v>
      </c>
      <c r="Q21" s="34" t="s">
        <v>882</v>
      </c>
      <c r="R21" s="33">
        <v>22406</v>
      </c>
      <c r="S21" s="33">
        <v>22407</v>
      </c>
      <c r="T21" s="33">
        <v>200</v>
      </c>
      <c r="U21" s="33">
        <v>7127</v>
      </c>
      <c r="V21" s="33">
        <v>-1</v>
      </c>
      <c r="W21" s="33">
        <v>-1</v>
      </c>
    </row>
    <row r="22" ht="16.5" spans="15:23">
      <c r="O22" s="39"/>
      <c r="P22" s="34" t="s">
        <v>883</v>
      </c>
      <c r="Q22" s="34" t="s">
        <v>884</v>
      </c>
      <c r="R22" s="33">
        <v>22414</v>
      </c>
      <c r="S22" s="33">
        <v>22415</v>
      </c>
      <c r="T22" s="33">
        <v>200</v>
      </c>
      <c r="U22" s="33">
        <v>7127</v>
      </c>
      <c r="V22" s="33">
        <v>-1</v>
      </c>
      <c r="W22" s="33">
        <v>-1</v>
      </c>
    </row>
    <row r="23" ht="16.5" spans="10:23">
      <c r="J23" s="18"/>
      <c r="L23" s="18"/>
      <c r="P23" s="34" t="s">
        <v>885</v>
      </c>
      <c r="Q23" s="34" t="s">
        <v>886</v>
      </c>
      <c r="R23" s="33">
        <v>22416</v>
      </c>
      <c r="S23" s="33">
        <v>22417</v>
      </c>
      <c r="T23" s="33">
        <v>200</v>
      </c>
      <c r="U23" s="33">
        <v>7127</v>
      </c>
      <c r="V23" s="33">
        <v>-1</v>
      </c>
      <c r="W23" s="33">
        <v>-1</v>
      </c>
    </row>
    <row r="24" ht="16.5" spans="16:23">
      <c r="P24" s="34" t="s">
        <v>887</v>
      </c>
      <c r="Q24" s="34" t="s">
        <v>887</v>
      </c>
      <c r="R24" s="33">
        <v>22426</v>
      </c>
      <c r="S24" s="33">
        <v>22427</v>
      </c>
      <c r="T24" s="33">
        <v>200</v>
      </c>
      <c r="U24" s="33">
        <v>7127</v>
      </c>
      <c r="V24" s="33">
        <v>-1</v>
      </c>
      <c r="W24" s="33">
        <v>-1</v>
      </c>
    </row>
    <row r="25" ht="16.5" spans="10:32">
      <c r="J25" s="18" t="s">
        <v>888</v>
      </c>
      <c r="L25" s="18" t="s">
        <v>889</v>
      </c>
      <c r="N25" s="31" t="s">
        <v>890</v>
      </c>
      <c r="P25" s="34" t="s">
        <v>891</v>
      </c>
      <c r="Q25" s="34" t="s">
        <v>891</v>
      </c>
      <c r="R25" s="33">
        <v>22428</v>
      </c>
      <c r="S25" s="33">
        <v>22429</v>
      </c>
      <c r="T25" s="33">
        <v>200</v>
      </c>
      <c r="U25" s="33">
        <v>7127</v>
      </c>
      <c r="V25" s="33">
        <v>-1</v>
      </c>
      <c r="W25" s="33">
        <v>-1</v>
      </c>
      <c r="AF25" s="18"/>
    </row>
    <row r="26" ht="16.5" spans="16:23">
      <c r="P26" s="32" t="s">
        <v>892</v>
      </c>
      <c r="Q26" s="40" t="s">
        <v>892</v>
      </c>
      <c r="R26" s="33">
        <v>20010</v>
      </c>
      <c r="S26" s="33">
        <v>204</v>
      </c>
      <c r="T26" s="33">
        <v>200</v>
      </c>
      <c r="U26" s="33">
        <v>7127</v>
      </c>
      <c r="V26" s="33">
        <v>-1</v>
      </c>
      <c r="W26" s="33">
        <v>-1</v>
      </c>
    </row>
    <row r="32" spans="10:14">
      <c r="J32" s="18" t="s">
        <v>893</v>
      </c>
      <c r="L32" s="18" t="s">
        <v>894</v>
      </c>
      <c r="N32" s="18" t="s">
        <v>895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5"/>
  <sheetViews>
    <sheetView workbookViewId="0">
      <selection activeCell="G40" sqref="G40"/>
    </sheetView>
  </sheetViews>
  <sheetFormatPr defaultColWidth="8.625" defaultRowHeight="14.25"/>
  <cols>
    <col min="1" max="1" width="8.625" style="5"/>
    <col min="2" max="2" width="9.375" style="5" customWidth="1"/>
    <col min="3" max="3" width="8.625" style="5"/>
    <col min="4" max="4" width="69.375" style="5" customWidth="1"/>
    <col min="5" max="16384" width="8.625" style="5"/>
  </cols>
  <sheetData>
    <row r="1" s="1" customFormat="1" spans="1:44">
      <c r="A1" s="1" t="s">
        <v>312</v>
      </c>
      <c r="B1" s="1" t="s">
        <v>313</v>
      </c>
      <c r="C1" s="1" t="s">
        <v>389</v>
      </c>
      <c r="D1" s="1" t="s">
        <v>896</v>
      </c>
      <c r="E1" s="1" t="s">
        <v>897</v>
      </c>
      <c r="F1" s="1" t="s">
        <v>746</v>
      </c>
      <c r="G1" s="1" t="s">
        <v>898</v>
      </c>
      <c r="H1" s="1" t="s">
        <v>747</v>
      </c>
      <c r="I1" s="1" t="s">
        <v>899</v>
      </c>
      <c r="J1" s="1" t="s">
        <v>748</v>
      </c>
      <c r="K1" s="1" t="s">
        <v>900</v>
      </c>
      <c r="L1" s="1" t="s">
        <v>901</v>
      </c>
      <c r="M1" s="1" t="s">
        <v>902</v>
      </c>
      <c r="N1" s="1" t="s">
        <v>903</v>
      </c>
      <c r="O1" s="1" t="s">
        <v>396</v>
      </c>
      <c r="P1" s="1" t="s">
        <v>904</v>
      </c>
      <c r="Q1" s="1" t="s">
        <v>905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  <c r="AG1" s="1" t="s">
        <v>765</v>
      </c>
      <c r="AH1" s="1" t="s">
        <v>766</v>
      </c>
      <c r="AI1" s="1" t="s">
        <v>767</v>
      </c>
      <c r="AJ1" s="1" t="s">
        <v>768</v>
      </c>
      <c r="AK1" s="1" t="s">
        <v>769</v>
      </c>
      <c r="AL1" s="1" t="s">
        <v>770</v>
      </c>
      <c r="AM1" s="1" t="s">
        <v>906</v>
      </c>
      <c r="AN1" s="1" t="s">
        <v>907</v>
      </c>
      <c r="AO1" s="1" t="s">
        <v>908</v>
      </c>
      <c r="AP1" s="1" t="s">
        <v>909</v>
      </c>
      <c r="AQ1" s="1" t="s">
        <v>910</v>
      </c>
      <c r="AR1" s="1" t="s">
        <v>911</v>
      </c>
    </row>
    <row r="2" s="1" customFormat="1" spans="1:44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316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315</v>
      </c>
      <c r="AF2" s="1" t="s">
        <v>315</v>
      </c>
      <c r="AG2" s="1" t="s">
        <v>315</v>
      </c>
      <c r="AH2" s="1" t="s">
        <v>315</v>
      </c>
      <c r="AI2" s="1" t="s">
        <v>315</v>
      </c>
      <c r="AJ2" s="1" t="s">
        <v>315</v>
      </c>
      <c r="AK2" s="1" t="s">
        <v>315</v>
      </c>
      <c r="AL2" s="1" t="s">
        <v>445</v>
      </c>
      <c r="AM2" s="1" t="s">
        <v>445</v>
      </c>
      <c r="AN2" s="1" t="s">
        <v>316</v>
      </c>
      <c r="AO2" s="1" t="s">
        <v>445</v>
      </c>
      <c r="AP2" s="1" t="s">
        <v>445</v>
      </c>
      <c r="AQ2" s="1" t="s">
        <v>445</v>
      </c>
      <c r="AR2" s="1" t="s">
        <v>445</v>
      </c>
    </row>
    <row r="3" s="1" customFormat="1" spans="1:39">
      <c r="A3" s="1" t="s">
        <v>912</v>
      </c>
      <c r="C3" s="1" t="s">
        <v>447</v>
      </c>
      <c r="D3" s="1" t="s">
        <v>447</v>
      </c>
      <c r="E3" s="1" t="s">
        <v>447</v>
      </c>
      <c r="L3" s="1" t="s">
        <v>447</v>
      </c>
      <c r="M3" s="1" t="s">
        <v>447</v>
      </c>
      <c r="N3" s="1" t="s">
        <v>447</v>
      </c>
      <c r="O3" s="1" t="s">
        <v>447</v>
      </c>
      <c r="P3" s="1" t="s">
        <v>447</v>
      </c>
      <c r="Q3" s="1" t="s">
        <v>447</v>
      </c>
      <c r="AI3" s="1" t="s">
        <v>447</v>
      </c>
      <c r="AJ3" s="1" t="s">
        <v>447</v>
      </c>
      <c r="AK3" s="1" t="s">
        <v>447</v>
      </c>
      <c r="AM3" s="1" t="s">
        <v>447</v>
      </c>
    </row>
    <row r="4" s="1" customFormat="1" spans="1:44">
      <c r="A4" s="1" t="s">
        <v>913</v>
      </c>
      <c r="B4" s="1" t="s">
        <v>536</v>
      </c>
      <c r="C4" s="1" t="s">
        <v>450</v>
      </c>
      <c r="D4" s="1" t="s">
        <v>914</v>
      </c>
      <c r="E4" s="1" t="s">
        <v>915</v>
      </c>
      <c r="F4" s="1" t="s">
        <v>916</v>
      </c>
      <c r="G4" s="1" t="s">
        <v>917</v>
      </c>
      <c r="H4" s="1" t="s">
        <v>918</v>
      </c>
      <c r="I4" s="1" t="s">
        <v>919</v>
      </c>
      <c r="J4" s="1" t="s">
        <v>920</v>
      </c>
      <c r="K4" s="1" t="s">
        <v>921</v>
      </c>
      <c r="L4" s="1" t="s">
        <v>922</v>
      </c>
      <c r="M4" s="1" t="s">
        <v>923</v>
      </c>
      <c r="N4" s="1" t="s">
        <v>924</v>
      </c>
      <c r="O4" s="1" t="s">
        <v>778</v>
      </c>
      <c r="P4" s="1" t="s">
        <v>925</v>
      </c>
      <c r="Q4" s="1" t="s">
        <v>926</v>
      </c>
      <c r="R4" s="1" t="s">
        <v>927</v>
      </c>
      <c r="S4" s="1" t="s">
        <v>928</v>
      </c>
      <c r="T4" s="1" t="s">
        <v>929</v>
      </c>
      <c r="U4" s="1" t="s">
        <v>930</v>
      </c>
      <c r="V4" s="1" t="s">
        <v>931</v>
      </c>
      <c r="W4" s="1" t="s">
        <v>932</v>
      </c>
      <c r="X4" s="1" t="s">
        <v>933</v>
      </c>
      <c r="Y4" s="1" t="s">
        <v>934</v>
      </c>
      <c r="Z4" s="1" t="s">
        <v>935</v>
      </c>
      <c r="AA4" s="1" t="s">
        <v>936</v>
      </c>
      <c r="AB4" s="1" t="s">
        <v>937</v>
      </c>
      <c r="AC4" s="1" t="s">
        <v>938</v>
      </c>
      <c r="AD4" s="1" t="s">
        <v>939</v>
      </c>
      <c r="AE4" s="1" t="s">
        <v>940</v>
      </c>
      <c r="AF4" s="1" t="s">
        <v>941</v>
      </c>
      <c r="AG4" s="1" t="s">
        <v>942</v>
      </c>
      <c r="AH4" s="1" t="s">
        <v>943</v>
      </c>
      <c r="AI4" s="1" t="s">
        <v>796</v>
      </c>
      <c r="AJ4" s="1" t="s">
        <v>797</v>
      </c>
      <c r="AK4" s="1" t="s">
        <v>798</v>
      </c>
      <c r="AL4" s="1" t="s">
        <v>799</v>
      </c>
      <c r="AM4" s="1" t="s">
        <v>944</v>
      </c>
      <c r="AN4" s="1" t="s">
        <v>945</v>
      </c>
      <c r="AO4" s="1" t="s">
        <v>946</v>
      </c>
      <c r="AP4" s="1" t="s">
        <v>947</v>
      </c>
      <c r="AQ4" s="1" t="s">
        <v>948</v>
      </c>
      <c r="AR4" s="1" t="s">
        <v>949</v>
      </c>
    </row>
    <row r="5" spans="1:44">
      <c r="A5" s="35" t="str">
        <f>IF(配置总览!$B$46="导出",146+配置总览!H48,"#")</f>
        <v>#</v>
      </c>
      <c r="B5" s="6" t="str">
        <f>FashionData!B10</f>
        <v>S：小飞猪</v>
      </c>
      <c r="C5" s="6" t="str">
        <f>FashionData!C10</f>
        <v>小飞猪</v>
      </c>
      <c r="D5" s="5" t="s">
        <v>950</v>
      </c>
      <c r="F5" s="6" t="str">
        <f>A5</f>
        <v>#</v>
      </c>
      <c r="G5" s="5">
        <v>320</v>
      </c>
      <c r="H5" s="36">
        <f>VLOOKUP(配置总览!$I$46,$G$12:$N$15,H$11,0)</f>
        <v>150</v>
      </c>
      <c r="I5" s="36">
        <f>VLOOKUP(配置总览!$I$46,$G$12:$N$15,I$11,0)</f>
        <v>100</v>
      </c>
      <c r="J5" s="36">
        <f>VLOOKUP(配置总览!$I$46,$G$12:$N$15,J$11,0)</f>
        <v>275</v>
      </c>
      <c r="K5" s="36">
        <f>VLOOKUP(配置总览!$I$46,$G$12:$N$15,K$11,0)</f>
        <v>18961</v>
      </c>
      <c r="L5" s="36">
        <f>VLOOKUP(配置总览!$I$46,$G$12:$N$15,L$11,0)</f>
        <v>53208</v>
      </c>
      <c r="M5" s="36">
        <f>VLOOKUP(配置总览!$I$46,$G$12:$N$15,M$11,0)</f>
        <v>53207</v>
      </c>
      <c r="N5" s="36">
        <f>VLOOKUP(配置总览!$I$46,$G$12:$N$15,N$11,0)</f>
        <v>53209</v>
      </c>
      <c r="P5" s="5">
        <v>150</v>
      </c>
      <c r="Q5" s="5">
        <v>30</v>
      </c>
      <c r="R5" s="7">
        <f>IF(配置总览!K46="双人飞行器",2,1)</f>
        <v>1</v>
      </c>
      <c r="S5" s="5">
        <v>-1</v>
      </c>
      <c r="T5" s="5">
        <v>-1</v>
      </c>
      <c r="U5" s="5">
        <v>-1</v>
      </c>
      <c r="V5" s="5">
        <v>-1</v>
      </c>
      <c r="W5" s="5">
        <v>-1</v>
      </c>
      <c r="X5" s="5">
        <v>-1</v>
      </c>
      <c r="Y5" s="5">
        <v>-1</v>
      </c>
      <c r="Z5" s="5">
        <v>-1</v>
      </c>
      <c r="AA5" s="5">
        <v>-1</v>
      </c>
      <c r="AB5" s="5">
        <v>-1</v>
      </c>
      <c r="AC5" s="5">
        <v>-1</v>
      </c>
      <c r="AD5" s="5">
        <v>-1</v>
      </c>
      <c r="AE5" s="5">
        <v>-1</v>
      </c>
      <c r="AF5" s="5">
        <v>-1</v>
      </c>
      <c r="AG5" s="5">
        <v>-1</v>
      </c>
      <c r="AH5" s="5">
        <v>-1</v>
      </c>
      <c r="AK5" s="5">
        <v>4</v>
      </c>
      <c r="AL5" s="5">
        <v>1.5</v>
      </c>
      <c r="AM5" s="5">
        <v>0</v>
      </c>
      <c r="AN5" s="5" t="s">
        <v>951</v>
      </c>
      <c r="AO5" s="5">
        <v>0.7</v>
      </c>
      <c r="AP5" s="5">
        <v>3</v>
      </c>
      <c r="AQ5" s="5">
        <v>0.1</v>
      </c>
      <c r="AR5" s="5">
        <v>0.9</v>
      </c>
    </row>
    <row r="6" spans="1:44">
      <c r="A6" s="35" t="str">
        <f>IF(配置总览!$B$60="导出",146+配置总览!H62,"#")</f>
        <v>#</v>
      </c>
      <c r="B6" s="6" t="str">
        <f>FashionData!B11</f>
        <v>S：妖族-仙玉台</v>
      </c>
      <c r="C6" s="6" t="str">
        <f>FashionData!C11</f>
        <v>仙玉台</v>
      </c>
      <c r="D6" s="37" t="s">
        <v>952</v>
      </c>
      <c r="E6" s="37"/>
      <c r="F6" s="6" t="str">
        <f t="shared" ref="F6:F8" si="0">A6</f>
        <v>#</v>
      </c>
      <c r="G6" s="37">
        <v>320</v>
      </c>
      <c r="H6" s="35">
        <f>VLOOKUP(配置总览!$I$60,$G$12:$N$15,H$11,0)</f>
        <v>150</v>
      </c>
      <c r="I6" s="35">
        <f>VLOOKUP(配置总览!$I$60,$G$12:$N$15,I$11,0)</f>
        <v>100</v>
      </c>
      <c r="J6" s="35">
        <f>VLOOKUP(配置总览!$I$60,$G$12:$N$15,J$11,0)</f>
        <v>275</v>
      </c>
      <c r="K6" s="35">
        <f>VLOOKUP(配置总览!$I$60,$G$12:$N$15,K$11,0)</f>
        <v>18961</v>
      </c>
      <c r="L6" s="35">
        <f>VLOOKUP(配置总览!$I$60,$G$12:$N$15,L$11,0)</f>
        <v>53208</v>
      </c>
      <c r="M6" s="35">
        <f>VLOOKUP(配置总览!$I$60,$G$12:$N$15,M$11,0)</f>
        <v>53207</v>
      </c>
      <c r="N6" s="35">
        <f>VLOOKUP(配置总览!$I$60,$G$12:$N$15,N$11,0)</f>
        <v>53209</v>
      </c>
      <c r="O6" s="37"/>
      <c r="P6" s="37">
        <v>150</v>
      </c>
      <c r="Q6" s="37">
        <v>30</v>
      </c>
      <c r="R6" s="37">
        <v>1</v>
      </c>
      <c r="S6" s="37">
        <v>-1</v>
      </c>
      <c r="T6" s="37">
        <v>-1</v>
      </c>
      <c r="U6" s="37">
        <v>0</v>
      </c>
      <c r="V6" s="37">
        <v>0</v>
      </c>
      <c r="W6" s="37">
        <v>0</v>
      </c>
      <c r="X6" s="37">
        <v>0</v>
      </c>
      <c r="Y6" s="37">
        <v>-1</v>
      </c>
      <c r="Z6" s="37">
        <v>0</v>
      </c>
      <c r="AA6" s="37">
        <v>0</v>
      </c>
      <c r="AB6" s="37">
        <v>0</v>
      </c>
      <c r="AC6" s="37">
        <v>0</v>
      </c>
      <c r="AD6" s="37">
        <v>0</v>
      </c>
      <c r="AE6" s="37">
        <v>0</v>
      </c>
      <c r="AF6" s="37">
        <v>0</v>
      </c>
      <c r="AG6" s="37">
        <v>0</v>
      </c>
      <c r="AH6" s="37">
        <v>0</v>
      </c>
      <c r="AI6" s="37"/>
      <c r="AJ6" s="37"/>
      <c r="AK6" s="37">
        <v>4</v>
      </c>
      <c r="AL6" s="37">
        <v>1.5</v>
      </c>
      <c r="AM6" s="37">
        <v>0</v>
      </c>
      <c r="AN6" s="37" t="s">
        <v>951</v>
      </c>
      <c r="AO6" s="37">
        <v>0.7</v>
      </c>
      <c r="AP6" s="37">
        <v>3</v>
      </c>
      <c r="AQ6" s="37">
        <v>0.1</v>
      </c>
      <c r="AR6" s="37">
        <v>0.9</v>
      </c>
    </row>
    <row r="7" spans="1:44">
      <c r="A7" s="7" t="str">
        <f>IF(配置总览!$B$61="导出",146+配置总览!H62+配置总览!A63,"#")</f>
        <v>#</v>
      </c>
      <c r="B7" s="6" t="str">
        <f>FashionData!B12</f>
        <v>S：羽族-仙合翼</v>
      </c>
      <c r="C7" s="6" t="str">
        <f>FashionData!C12</f>
        <v>仙合翼</v>
      </c>
      <c r="D7" s="37" t="s">
        <v>953</v>
      </c>
      <c r="E7" s="37"/>
      <c r="F7" s="6" t="str">
        <f t="shared" si="0"/>
        <v>#</v>
      </c>
      <c r="G7" s="37">
        <v>320</v>
      </c>
      <c r="H7" s="3">
        <f>H6</f>
        <v>150</v>
      </c>
      <c r="I7" s="3">
        <f t="shared" ref="I7:N8" si="1">I6</f>
        <v>100</v>
      </c>
      <c r="J7" s="3">
        <f t="shared" si="1"/>
        <v>275</v>
      </c>
      <c r="K7" s="3">
        <f t="shared" si="1"/>
        <v>18961</v>
      </c>
      <c r="L7" s="3">
        <f t="shared" si="1"/>
        <v>53208</v>
      </c>
      <c r="M7" s="3">
        <f t="shared" si="1"/>
        <v>53207</v>
      </c>
      <c r="N7" s="3">
        <f t="shared" si="1"/>
        <v>53209</v>
      </c>
      <c r="O7" s="37"/>
      <c r="P7" s="37">
        <v>150</v>
      </c>
      <c r="Q7" s="37">
        <v>30</v>
      </c>
      <c r="R7" s="37">
        <v>1</v>
      </c>
      <c r="S7" s="37">
        <v>0</v>
      </c>
      <c r="T7" s="37">
        <v>0</v>
      </c>
      <c r="U7" s="37">
        <v>-1</v>
      </c>
      <c r="V7" s="37">
        <v>-1</v>
      </c>
      <c r="W7" s="37">
        <v>0</v>
      </c>
      <c r="X7" s="37">
        <v>0</v>
      </c>
      <c r="Y7" s="37">
        <v>0</v>
      </c>
      <c r="Z7" s="37">
        <v>0</v>
      </c>
      <c r="AA7" s="37">
        <v>-1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/>
      <c r="AJ7" s="37"/>
      <c r="AK7" s="37">
        <v>4</v>
      </c>
      <c r="AL7" s="37">
        <v>1.5</v>
      </c>
      <c r="AM7" s="37">
        <v>0</v>
      </c>
      <c r="AN7" s="37" t="s">
        <v>951</v>
      </c>
      <c r="AO7" s="37">
        <v>0.7</v>
      </c>
      <c r="AP7" s="37">
        <v>3</v>
      </c>
      <c r="AQ7" s="37">
        <v>0.1</v>
      </c>
      <c r="AR7" s="37">
        <v>0.9</v>
      </c>
    </row>
    <row r="8" spans="1:44">
      <c r="A8" s="7" t="str">
        <f>IF(配置总览!$B$62="导出",146+配置总览!H62+配置总览!A64,"#")</f>
        <v>#</v>
      </c>
      <c r="B8" s="6" t="str">
        <f>FashionData!B13</f>
        <v>S：人族-白玉仙</v>
      </c>
      <c r="C8" s="6" t="str">
        <f>FashionData!C13</f>
        <v>白玉仙</v>
      </c>
      <c r="D8" s="37" t="s">
        <v>954</v>
      </c>
      <c r="E8" s="37"/>
      <c r="F8" s="6" t="str">
        <f t="shared" si="0"/>
        <v>#</v>
      </c>
      <c r="G8" s="37">
        <v>320</v>
      </c>
      <c r="H8" s="3">
        <f>H7</f>
        <v>150</v>
      </c>
      <c r="I8" s="3">
        <f t="shared" si="1"/>
        <v>100</v>
      </c>
      <c r="J8" s="3">
        <f t="shared" si="1"/>
        <v>275</v>
      </c>
      <c r="K8" s="3">
        <f t="shared" si="1"/>
        <v>18961</v>
      </c>
      <c r="L8" s="3">
        <f t="shared" si="1"/>
        <v>53208</v>
      </c>
      <c r="M8" s="3">
        <f t="shared" si="1"/>
        <v>53207</v>
      </c>
      <c r="N8" s="3">
        <f t="shared" si="1"/>
        <v>53209</v>
      </c>
      <c r="O8" s="37"/>
      <c r="P8" s="37">
        <v>150</v>
      </c>
      <c r="Q8" s="37">
        <v>30</v>
      </c>
      <c r="R8" s="37">
        <v>1</v>
      </c>
      <c r="S8" s="37">
        <v>0</v>
      </c>
      <c r="T8" s="37">
        <v>0</v>
      </c>
      <c r="U8" s="37">
        <v>0</v>
      </c>
      <c r="V8" s="37">
        <v>0</v>
      </c>
      <c r="W8" s="37">
        <v>-1</v>
      </c>
      <c r="X8" s="37">
        <v>-1</v>
      </c>
      <c r="Y8" s="37">
        <v>0</v>
      </c>
      <c r="Z8" s="37">
        <v>0</v>
      </c>
      <c r="AA8" s="37">
        <v>0</v>
      </c>
      <c r="AB8" s="37">
        <v>0</v>
      </c>
      <c r="AC8" s="37">
        <v>0</v>
      </c>
      <c r="AD8" s="37">
        <v>0</v>
      </c>
      <c r="AE8" s="37">
        <v>0</v>
      </c>
      <c r="AF8" s="37">
        <v>0</v>
      </c>
      <c r="AG8" s="37">
        <v>0</v>
      </c>
      <c r="AH8" s="37">
        <v>-1</v>
      </c>
      <c r="AI8" s="37"/>
      <c r="AJ8" s="37"/>
      <c r="AK8" s="37">
        <v>4</v>
      </c>
      <c r="AL8" s="37">
        <v>1.5</v>
      </c>
      <c r="AM8" s="37">
        <v>0</v>
      </c>
      <c r="AN8" s="37" t="s">
        <v>951</v>
      </c>
      <c r="AO8" s="37">
        <v>0.7</v>
      </c>
      <c r="AP8" s="37">
        <v>3</v>
      </c>
      <c r="AQ8" s="37">
        <v>0.1</v>
      </c>
      <c r="AR8" s="37">
        <v>0.9</v>
      </c>
    </row>
    <row r="11" ht="16.5" spans="8:14">
      <c r="H11" s="32">
        <v>2</v>
      </c>
      <c r="I11" s="32">
        <v>3</v>
      </c>
      <c r="J11" s="32">
        <v>4</v>
      </c>
      <c r="K11" s="32">
        <v>5</v>
      </c>
      <c r="L11" s="32">
        <v>6</v>
      </c>
      <c r="M11" s="32">
        <v>7</v>
      </c>
      <c r="N11" s="32">
        <v>8</v>
      </c>
    </row>
    <row r="12" ht="16.5" spans="7:14">
      <c r="G12" s="32">
        <v>4</v>
      </c>
      <c r="H12" s="33">
        <v>175</v>
      </c>
      <c r="I12" s="33">
        <v>120</v>
      </c>
      <c r="J12" s="33">
        <v>300</v>
      </c>
      <c r="K12" s="33">
        <v>18962</v>
      </c>
      <c r="L12" s="33">
        <v>53211</v>
      </c>
      <c r="M12" s="33">
        <v>53210</v>
      </c>
      <c r="N12" s="33">
        <v>53212</v>
      </c>
    </row>
    <row r="13" ht="16.5" spans="7:14">
      <c r="G13" s="32">
        <v>3</v>
      </c>
      <c r="H13" s="33">
        <v>150</v>
      </c>
      <c r="I13" s="33">
        <v>100</v>
      </c>
      <c r="J13" s="33">
        <v>275</v>
      </c>
      <c r="K13" s="33">
        <v>18961</v>
      </c>
      <c r="L13" s="33">
        <v>53208</v>
      </c>
      <c r="M13" s="33">
        <v>53207</v>
      </c>
      <c r="N13" s="33">
        <v>53209</v>
      </c>
    </row>
    <row r="14" ht="16.5" spans="7:14">
      <c r="G14" s="32">
        <v>2</v>
      </c>
      <c r="H14" s="33">
        <v>150</v>
      </c>
      <c r="I14" s="33">
        <v>100</v>
      </c>
      <c r="J14" s="33">
        <v>275</v>
      </c>
      <c r="K14" s="33">
        <v>18961</v>
      </c>
      <c r="L14" s="33">
        <v>53208</v>
      </c>
      <c r="M14" s="33">
        <v>53207</v>
      </c>
      <c r="N14" s="33">
        <v>53209</v>
      </c>
    </row>
    <row r="15" ht="16.5" spans="7:14">
      <c r="G15" s="32">
        <v>1</v>
      </c>
      <c r="H15" s="33">
        <v>120</v>
      </c>
      <c r="I15" s="33">
        <v>70</v>
      </c>
      <c r="J15" s="33">
        <v>230</v>
      </c>
      <c r="K15" s="33">
        <v>18960</v>
      </c>
      <c r="L15" s="33">
        <v>53205</v>
      </c>
      <c r="M15" s="33">
        <v>53204</v>
      </c>
      <c r="N15" s="33">
        <v>53206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33"/>
  <sheetViews>
    <sheetView workbookViewId="0">
      <pane xSplit="2" ySplit="4" topLeftCell="X5" activePane="bottomRight" state="frozen"/>
      <selection/>
      <selection pane="topRight"/>
      <selection pane="bottomLeft"/>
      <selection pane="bottomRight" activeCell="X15" sqref="X15"/>
    </sheetView>
  </sheetViews>
  <sheetFormatPr defaultColWidth="9" defaultRowHeight="14.25"/>
  <cols>
    <col min="2" max="2" width="23.75" customWidth="1"/>
    <col min="3" max="3" width="20.375" customWidth="1"/>
    <col min="4" max="4" width="37.5" customWidth="1"/>
    <col min="5" max="5" width="24.75" customWidth="1"/>
    <col min="17" max="17" width="13.625" customWidth="1"/>
    <col min="20" max="20" width="11.5" customWidth="1"/>
  </cols>
  <sheetData>
    <row r="1" s="29" customFormat="1" spans="1:63">
      <c r="A1" s="1" t="s">
        <v>312</v>
      </c>
      <c r="B1" s="1" t="s">
        <v>313</v>
      </c>
      <c r="C1" s="1" t="s">
        <v>955</v>
      </c>
      <c r="D1" s="1" t="s">
        <v>956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805</v>
      </c>
      <c r="N1" s="1" t="s">
        <v>806</v>
      </c>
      <c r="O1" s="1" t="s">
        <v>807</v>
      </c>
      <c r="P1" s="1" t="s">
        <v>808</v>
      </c>
      <c r="Q1" s="1" t="s">
        <v>965</v>
      </c>
      <c r="R1" s="1" t="s">
        <v>810</v>
      </c>
      <c r="S1" s="1" t="s">
        <v>811</v>
      </c>
      <c r="T1" s="1" t="s">
        <v>966</v>
      </c>
      <c r="U1" s="1" t="s">
        <v>967</v>
      </c>
      <c r="V1" s="1" t="s">
        <v>968</v>
      </c>
      <c r="W1" s="1" t="s">
        <v>969</v>
      </c>
      <c r="X1" s="1" t="s">
        <v>970</v>
      </c>
      <c r="Y1" s="1" t="s">
        <v>971</v>
      </c>
      <c r="Z1" s="1" t="s">
        <v>972</v>
      </c>
      <c r="AA1" s="1" t="s">
        <v>816</v>
      </c>
      <c r="AB1" s="1" t="s">
        <v>973</v>
      </c>
      <c r="AC1" s="1" t="s">
        <v>974</v>
      </c>
      <c r="AD1" s="1" t="s">
        <v>812</v>
      </c>
      <c r="AE1" s="1" t="s">
        <v>813</v>
      </c>
      <c r="AF1" s="1" t="s">
        <v>975</v>
      </c>
      <c r="AG1" s="1" t="s">
        <v>976</v>
      </c>
      <c r="AH1" s="1" t="s">
        <v>977</v>
      </c>
      <c r="AI1" s="1" t="s">
        <v>978</v>
      </c>
      <c r="AJ1" s="1" t="s">
        <v>979</v>
      </c>
      <c r="AK1" s="1" t="s">
        <v>980</v>
      </c>
      <c r="AL1" s="1" t="s">
        <v>981</v>
      </c>
      <c r="AM1" s="1" t="s">
        <v>982</v>
      </c>
      <c r="AN1" s="1" t="s">
        <v>983</v>
      </c>
      <c r="AO1" s="1" t="s">
        <v>984</v>
      </c>
      <c r="AP1" s="1" t="s">
        <v>985</v>
      </c>
      <c r="AQ1" s="1" t="s">
        <v>986</v>
      </c>
      <c r="AR1" s="1" t="s">
        <v>987</v>
      </c>
      <c r="AS1" s="1" t="s">
        <v>823</v>
      </c>
      <c r="AT1" s="1" t="s">
        <v>988</v>
      </c>
      <c r="AU1" s="1" t="s">
        <v>989</v>
      </c>
      <c r="AV1" s="1" t="s">
        <v>820</v>
      </c>
      <c r="AW1" s="1" t="s">
        <v>821</v>
      </c>
      <c r="AX1" s="1" t="s">
        <v>822</v>
      </c>
      <c r="AY1" s="1" t="s">
        <v>990</v>
      </c>
      <c r="AZ1" s="1" t="s">
        <v>991</v>
      </c>
      <c r="BA1" s="1" t="s">
        <v>992</v>
      </c>
      <c r="BB1" s="1" t="s">
        <v>993</v>
      </c>
      <c r="BC1" s="1" t="s">
        <v>994</v>
      </c>
      <c r="BD1" s="1" t="s">
        <v>995</v>
      </c>
      <c r="BE1" s="1" t="s">
        <v>996</v>
      </c>
      <c r="BF1" s="1" t="s">
        <v>997</v>
      </c>
      <c r="BG1" s="1" t="s">
        <v>998</v>
      </c>
      <c r="BH1" s="1" t="s">
        <v>999</v>
      </c>
      <c r="BI1" s="1" t="s">
        <v>1000</v>
      </c>
      <c r="BJ1" s="1" t="s">
        <v>1001</v>
      </c>
      <c r="BK1" s="1" t="s">
        <v>1002</v>
      </c>
    </row>
    <row r="2" s="29" customFormat="1" spans="1:63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316</v>
      </c>
      <c r="F2" s="1" t="s">
        <v>316</v>
      </c>
      <c r="G2" s="1" t="s">
        <v>316</v>
      </c>
      <c r="H2" s="1" t="s">
        <v>316</v>
      </c>
      <c r="I2" s="1" t="s">
        <v>316</v>
      </c>
      <c r="J2" s="1" t="s">
        <v>316</v>
      </c>
      <c r="K2" s="1" t="s">
        <v>316</v>
      </c>
      <c r="L2" s="1" t="s">
        <v>316</v>
      </c>
      <c r="M2" s="1" t="s">
        <v>315</v>
      </c>
      <c r="N2" s="1" t="s">
        <v>445</v>
      </c>
      <c r="O2" s="1" t="s">
        <v>445</v>
      </c>
      <c r="P2" s="1" t="s">
        <v>445</v>
      </c>
      <c r="Q2" s="1" t="s">
        <v>445</v>
      </c>
      <c r="R2" s="1" t="s">
        <v>445</v>
      </c>
      <c r="S2" s="1" t="s">
        <v>445</v>
      </c>
      <c r="T2" s="1" t="s">
        <v>824</v>
      </c>
      <c r="U2" s="1" t="s">
        <v>824</v>
      </c>
      <c r="V2" s="1" t="s">
        <v>824</v>
      </c>
      <c r="W2" s="1" t="s">
        <v>824</v>
      </c>
      <c r="X2" s="1" t="s">
        <v>824</v>
      </c>
      <c r="Y2" s="1" t="s">
        <v>824</v>
      </c>
      <c r="Z2" s="1" t="s">
        <v>824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315</v>
      </c>
      <c r="AF2" s="1" t="s">
        <v>315</v>
      </c>
      <c r="AG2" s="1" t="s">
        <v>315</v>
      </c>
      <c r="AH2" s="1" t="s">
        <v>315</v>
      </c>
      <c r="AI2" s="1" t="s">
        <v>315</v>
      </c>
      <c r="AJ2" s="1" t="s">
        <v>315</v>
      </c>
      <c r="AK2" s="1" t="s">
        <v>315</v>
      </c>
      <c r="AL2" s="1" t="s">
        <v>315</v>
      </c>
      <c r="AM2" s="1" t="s">
        <v>315</v>
      </c>
      <c r="AN2" s="1" t="s">
        <v>315</v>
      </c>
      <c r="AO2" s="1" t="s">
        <v>315</v>
      </c>
      <c r="AP2" s="1" t="s">
        <v>315</v>
      </c>
      <c r="AQ2" s="1" t="s">
        <v>315</v>
      </c>
      <c r="AR2" s="1" t="s">
        <v>315</v>
      </c>
      <c r="AS2" s="1" t="s">
        <v>445</v>
      </c>
      <c r="AT2" s="1" t="s">
        <v>315</v>
      </c>
      <c r="AU2" s="1" t="s">
        <v>445</v>
      </c>
      <c r="AV2" s="1" t="s">
        <v>445</v>
      </c>
      <c r="AW2" s="1" t="s">
        <v>445</v>
      </c>
      <c r="AX2" s="1" t="s">
        <v>445</v>
      </c>
      <c r="AY2" s="1" t="s">
        <v>445</v>
      </c>
      <c r="AZ2" s="1" t="s">
        <v>445</v>
      </c>
      <c r="BA2" s="1" t="s">
        <v>445</v>
      </c>
      <c r="BB2" s="1" t="s">
        <v>445</v>
      </c>
      <c r="BC2" s="1" t="s">
        <v>445</v>
      </c>
      <c r="BD2" s="1" t="s">
        <v>445</v>
      </c>
      <c r="BE2" s="1" t="s">
        <v>316</v>
      </c>
      <c r="BF2" s="1" t="s">
        <v>316</v>
      </c>
      <c r="BG2" s="1" t="s">
        <v>316</v>
      </c>
      <c r="BH2" s="1" t="s">
        <v>316</v>
      </c>
      <c r="BI2" s="1" t="s">
        <v>316</v>
      </c>
      <c r="BJ2" s="1" t="s">
        <v>824</v>
      </c>
      <c r="BK2" s="1" t="s">
        <v>824</v>
      </c>
    </row>
    <row r="3" s="29" customFormat="1" spans="1:63">
      <c r="A3" s="1" t="s">
        <v>317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="29" customFormat="1" spans="1:63">
      <c r="A4" s="1" t="s">
        <v>1003</v>
      </c>
      <c r="B4" s="1" t="s">
        <v>450</v>
      </c>
      <c r="C4" s="1" t="s">
        <v>825</v>
      </c>
      <c r="D4" s="1" t="s">
        <v>74</v>
      </c>
      <c r="E4" s="1" t="s">
        <v>1004</v>
      </c>
      <c r="F4" s="1" t="s">
        <v>1004</v>
      </c>
      <c r="G4" s="1" t="s">
        <v>1004</v>
      </c>
      <c r="H4" s="1" t="s">
        <v>1004</v>
      </c>
      <c r="I4" s="1" t="s">
        <v>1004</v>
      </c>
      <c r="J4" s="1" t="s">
        <v>1004</v>
      </c>
      <c r="K4" s="1" t="s">
        <v>1004</v>
      </c>
      <c r="L4" s="1" t="s">
        <v>1004</v>
      </c>
      <c r="M4" s="1" t="s">
        <v>829</v>
      </c>
      <c r="N4" s="1" t="s">
        <v>1005</v>
      </c>
      <c r="O4" s="1" t="s">
        <v>1006</v>
      </c>
      <c r="P4" s="1" t="s">
        <v>1007</v>
      </c>
      <c r="Q4" s="1" t="s">
        <v>1008</v>
      </c>
      <c r="R4" s="1" t="s">
        <v>1009</v>
      </c>
      <c r="S4" s="1" t="s">
        <v>1010</v>
      </c>
      <c r="T4" s="1" t="s">
        <v>1011</v>
      </c>
      <c r="U4" s="1" t="s">
        <v>1012</v>
      </c>
      <c r="V4" s="1" t="s">
        <v>1013</v>
      </c>
      <c r="W4" s="1" t="s">
        <v>1014</v>
      </c>
      <c r="X4" s="1" t="s">
        <v>1015</v>
      </c>
      <c r="Y4" s="1" t="s">
        <v>1016</v>
      </c>
      <c r="Z4" s="1" t="s">
        <v>1017</v>
      </c>
      <c r="AA4" s="1" t="s">
        <v>1018</v>
      </c>
      <c r="AB4" s="1" t="s">
        <v>1019</v>
      </c>
      <c r="AC4" s="1" t="s">
        <v>1020</v>
      </c>
      <c r="AD4" s="1" t="s">
        <v>1021</v>
      </c>
      <c r="AE4" s="1" t="s">
        <v>1022</v>
      </c>
      <c r="AF4" s="1" t="s">
        <v>1023</v>
      </c>
      <c r="AG4" s="1" t="s">
        <v>1024</v>
      </c>
      <c r="AH4" s="1" t="s">
        <v>1025</v>
      </c>
      <c r="AI4" s="1" t="s">
        <v>1026</v>
      </c>
      <c r="AJ4" s="1" t="s">
        <v>1027</v>
      </c>
      <c r="AK4" s="1" t="s">
        <v>1028</v>
      </c>
      <c r="AL4" s="1" t="s">
        <v>1029</v>
      </c>
      <c r="AM4" s="1" t="s">
        <v>1030</v>
      </c>
      <c r="AN4" s="1" t="s">
        <v>1031</v>
      </c>
      <c r="AO4" s="1" t="s">
        <v>1032</v>
      </c>
      <c r="AP4" s="1" t="s">
        <v>1033</v>
      </c>
      <c r="AQ4" s="1" t="s">
        <v>1034</v>
      </c>
      <c r="AR4" s="1" t="s">
        <v>1035</v>
      </c>
      <c r="AS4" s="1" t="s">
        <v>847</v>
      </c>
      <c r="AT4" s="1" t="s">
        <v>1036</v>
      </c>
      <c r="AU4" s="1" t="s">
        <v>1037</v>
      </c>
      <c r="AV4" s="1" t="s">
        <v>1038</v>
      </c>
      <c r="AW4" s="1" t="s">
        <v>1039</v>
      </c>
      <c r="AX4" s="1" t="s">
        <v>1040</v>
      </c>
      <c r="AY4" s="1" t="s">
        <v>1041</v>
      </c>
      <c r="AZ4" s="1" t="s">
        <v>1041</v>
      </c>
      <c r="BA4" s="1" t="s">
        <v>1041</v>
      </c>
      <c r="BB4" s="1" t="s">
        <v>1042</v>
      </c>
      <c r="BC4" s="1" t="s">
        <v>1042</v>
      </c>
      <c r="BD4" s="1" t="s">
        <v>1042</v>
      </c>
      <c r="BE4" s="1" t="s">
        <v>1043</v>
      </c>
      <c r="BF4" s="1" t="s">
        <v>1044</v>
      </c>
      <c r="BG4" s="1" t="s">
        <v>1045</v>
      </c>
      <c r="BH4" s="1" t="s">
        <v>1046</v>
      </c>
      <c r="BI4" s="1" t="s">
        <v>1047</v>
      </c>
      <c r="BJ4" s="1" t="s">
        <v>1012</v>
      </c>
      <c r="BK4" s="1" t="s">
        <v>1012</v>
      </c>
    </row>
    <row r="5" spans="1:78">
      <c r="A5" s="3" t="str">
        <f>IF(配置总览!$B$2="Main",AircraftBase!$A$5,"#")</f>
        <v>#</v>
      </c>
      <c r="B5" s="3" t="str">
        <f>AircraftBase!$B$5</f>
        <v>S：小飞猪</v>
      </c>
      <c r="C5" s="7" t="str">
        <f>配置总览!$N$49</f>
        <v>Fei_feizhu_02</v>
      </c>
      <c r="D5" s="9" t="str">
        <f>配置总览!$N$50</f>
        <v>Bip001/Bip001*Pelvis/Bip001*Spine/Ride_Point</v>
      </c>
      <c r="E5" s="9" t="str">
        <f>配置总览!$N$51</f>
        <v>wm_feijian_jiasu</v>
      </c>
      <c r="M5" s="3" t="str">
        <f>FakeObject!$A$6</f>
        <v>#</v>
      </c>
      <c r="N5" s="30">
        <v>1.43</v>
      </c>
      <c r="O5" s="30">
        <v>1.4</v>
      </c>
      <c r="P5" s="30">
        <v>1.73</v>
      </c>
      <c r="Q5" s="30">
        <v>2.2</v>
      </c>
      <c r="R5" s="30">
        <v>1.8</v>
      </c>
      <c r="S5" s="30">
        <v>1.8</v>
      </c>
      <c r="T5">
        <v>7006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204</v>
      </c>
      <c r="AB5">
        <v>205</v>
      </c>
      <c r="AC5">
        <v>-1</v>
      </c>
      <c r="AD5" s="9">
        <f>VLOOKUP(配置总览!K48,$AT$13:$AV$31,3,0)</f>
        <v>20010</v>
      </c>
      <c r="AE5" s="9">
        <f t="shared" ref="AE5:AR5" si="0">VLOOKUP($AD$5,$AV$14:$BJ$31,AW$13,0)</f>
        <v>20010</v>
      </c>
      <c r="AF5" s="9">
        <f t="shared" si="0"/>
        <v>20011</v>
      </c>
      <c r="AG5" s="9">
        <f t="shared" si="0"/>
        <v>20010</v>
      </c>
      <c r="AH5" s="9">
        <f t="shared" si="0"/>
        <v>20010</v>
      </c>
      <c r="AI5" s="9">
        <f t="shared" si="0"/>
        <v>20010</v>
      </c>
      <c r="AJ5" s="9">
        <f t="shared" si="0"/>
        <v>214</v>
      </c>
      <c r="AK5" s="9">
        <f t="shared" si="0"/>
        <v>214</v>
      </c>
      <c r="AL5" s="9">
        <f t="shared" si="0"/>
        <v>209</v>
      </c>
      <c r="AM5" s="9">
        <f t="shared" si="0"/>
        <v>208</v>
      </c>
      <c r="AN5" s="9">
        <f t="shared" si="0"/>
        <v>206</v>
      </c>
      <c r="AO5" s="9">
        <f t="shared" si="0"/>
        <v>214</v>
      </c>
      <c r="AP5" s="9">
        <f t="shared" si="0"/>
        <v>142</v>
      </c>
      <c r="AQ5" s="9">
        <f t="shared" si="0"/>
        <v>20</v>
      </c>
      <c r="AR5" s="9">
        <f t="shared" si="0"/>
        <v>21</v>
      </c>
      <c r="AS5">
        <v>1</v>
      </c>
      <c r="AT5">
        <v>0</v>
      </c>
      <c r="AU5">
        <v>0.5</v>
      </c>
      <c r="AV5" s="30">
        <f>配置总览!$K$50</f>
        <v>1.1</v>
      </c>
      <c r="AW5" s="30">
        <f>配置总览!$K$51</f>
        <v>1</v>
      </c>
      <c r="AX5" s="30">
        <f>配置总览!$K$52</f>
        <v>1</v>
      </c>
      <c r="AY5">
        <v>2.799</v>
      </c>
      <c r="AZ5">
        <v>3.732</v>
      </c>
      <c r="BA5">
        <v>4.665</v>
      </c>
      <c r="BB5">
        <v>3.732</v>
      </c>
      <c r="BC5">
        <v>4.665</v>
      </c>
      <c r="BD5">
        <v>5.598</v>
      </c>
      <c r="BE5" s="9" t="str">
        <f>IF(配置总览!$N$52=0,"",配置总览!$N$52)</f>
        <v/>
      </c>
      <c r="BJ5">
        <v>-1</v>
      </c>
      <c r="BK5">
        <v>-1</v>
      </c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</row>
    <row r="6" spans="1:63">
      <c r="A6" s="3" t="str">
        <f>IF(配置总览!$B$2="Main",AircraftBase!$A$6,"#")</f>
        <v>#</v>
      </c>
      <c r="B6" s="3" t="str">
        <f>AircraftBase!$B$6</f>
        <v>S：妖族-仙玉台</v>
      </c>
      <c r="C6" s="7" t="str">
        <f>配置总览!$N$63</f>
        <v>Fei_baiheyaozu</v>
      </c>
      <c r="D6" s="7" t="str">
        <f>配置总览!$N$66</f>
        <v>Bone001/Ride_Point</v>
      </c>
      <c r="E6" s="7" t="str">
        <f>IF(配置总览!$N$69=0,"",配置总览!$N$69)</f>
        <v>Bone001/wm_feijian_jiasu</v>
      </c>
      <c r="M6" s="3" t="str">
        <f>FakeObject!$A$7</f>
        <v>#</v>
      </c>
      <c r="N6" s="30">
        <v>2.22</v>
      </c>
      <c r="O6" s="30">
        <v>1.47</v>
      </c>
      <c r="P6" s="30">
        <v>1</v>
      </c>
      <c r="Q6" s="30">
        <v>1</v>
      </c>
      <c r="R6" s="30">
        <v>1</v>
      </c>
      <c r="S6" s="30">
        <v>1</v>
      </c>
      <c r="T6" s="30">
        <v>1.32</v>
      </c>
      <c r="U6">
        <v>0</v>
      </c>
      <c r="V6" s="30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s="30">
        <v>1</v>
      </c>
      <c r="AD6" s="30">
        <v>2.3</v>
      </c>
      <c r="AE6" s="30">
        <v>1.7</v>
      </c>
      <c r="AF6" s="30">
        <v>1.4</v>
      </c>
      <c r="AG6" s="30">
        <v>1.4</v>
      </c>
      <c r="AH6" s="30">
        <v>1.4</v>
      </c>
      <c r="AI6" s="30">
        <v>1.4</v>
      </c>
      <c r="AJ6" s="30">
        <v>1.6</v>
      </c>
      <c r="AK6">
        <v>0</v>
      </c>
      <c r="AL6" s="30">
        <v>1.4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 s="30">
        <v>1.4</v>
      </c>
      <c r="AT6">
        <v>7006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155</v>
      </c>
      <c r="BB6">
        <v>112</v>
      </c>
      <c r="BC6">
        <v>-1</v>
      </c>
      <c r="BD6" s="30">
        <v>20012</v>
      </c>
      <c r="BE6" s="30">
        <v>20012</v>
      </c>
      <c r="BF6" s="30">
        <v>20013</v>
      </c>
      <c r="BG6" s="30">
        <v>20012</v>
      </c>
      <c r="BH6" s="30">
        <v>20012</v>
      </c>
      <c r="BI6" s="30">
        <v>20012</v>
      </c>
      <c r="BJ6" s="30">
        <v>121</v>
      </c>
      <c r="BK6" s="30">
        <v>121</v>
      </c>
    </row>
    <row r="7" spans="1:63">
      <c r="A7" s="3" t="str">
        <f>IF(配置总览!$B$2="Main",AircraftBase!$A$7,"#")</f>
        <v>#</v>
      </c>
      <c r="B7" s="3" t="str">
        <f>AircraftBase!$B$7</f>
        <v>S：羽族-仙合翼</v>
      </c>
      <c r="C7" s="7" t="str">
        <f>配置总览!$N$64</f>
        <v>Fei_yuzuchibang_140</v>
      </c>
      <c r="D7" s="7" t="str">
        <f>配置总览!$N$67</f>
        <v>Ride_Point</v>
      </c>
      <c r="E7" s="7" t="str">
        <f>IF(配置总览!$N$70=0,"",配置总览!$N$70)</f>
        <v>Bone001/wm_feijian_jiasu</v>
      </c>
      <c r="M7" s="3" t="str">
        <f>FakeObject!$A$8</f>
        <v>#</v>
      </c>
      <c r="N7" s="30">
        <v>1.1</v>
      </c>
      <c r="O7" s="30">
        <v>1.1</v>
      </c>
      <c r="P7" s="30">
        <v>1.1</v>
      </c>
      <c r="Q7" s="30">
        <v>1.1</v>
      </c>
      <c r="R7" s="30">
        <v>1.1</v>
      </c>
      <c r="S7" s="30">
        <v>1.1</v>
      </c>
      <c r="T7" s="30">
        <v>0.95</v>
      </c>
      <c r="U7">
        <v>0</v>
      </c>
      <c r="V7" s="30">
        <v>1.1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s="30">
        <v>1.1</v>
      </c>
      <c r="AD7" s="30">
        <v>1.1</v>
      </c>
      <c r="AE7" s="30">
        <v>1.1</v>
      </c>
      <c r="AF7" s="30">
        <v>1.1</v>
      </c>
      <c r="AG7" s="30">
        <v>1.1</v>
      </c>
      <c r="AH7" s="30">
        <v>1.1</v>
      </c>
      <c r="AI7" s="30">
        <v>1.1</v>
      </c>
      <c r="AJ7" s="30">
        <v>1</v>
      </c>
      <c r="AK7">
        <v>0</v>
      </c>
      <c r="AL7" s="30">
        <v>1.1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 s="30">
        <v>1.1</v>
      </c>
      <c r="AT7">
        <v>7006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157</v>
      </c>
      <c r="BB7">
        <v>112</v>
      </c>
      <c r="BC7">
        <v>-1</v>
      </c>
      <c r="BD7" s="30">
        <v>114</v>
      </c>
      <c r="BE7" s="30">
        <v>117</v>
      </c>
      <c r="BF7" s="30">
        <v>117</v>
      </c>
      <c r="BG7" s="30">
        <v>116</v>
      </c>
      <c r="BH7" s="30">
        <v>115</v>
      </c>
      <c r="BI7" s="30">
        <v>113</v>
      </c>
      <c r="BJ7" s="30">
        <v>121</v>
      </c>
      <c r="BK7" s="30">
        <v>-1</v>
      </c>
    </row>
    <row r="8" spans="1:63">
      <c r="A8" s="3" t="str">
        <f>IF(配置总览!$B$2="Main",AircraftBase!$A$8,"#")</f>
        <v>#</v>
      </c>
      <c r="B8" s="3" t="str">
        <f>AircraftBase!$B$8</f>
        <v>S：人族-白玉仙</v>
      </c>
      <c r="C8" s="7" t="str">
        <f>配置总览!$N$65</f>
        <v>Fei_baiherenzu</v>
      </c>
      <c r="D8" s="7" t="str">
        <f>配置总览!$N$68</f>
        <v>Bone001/Ride_Point</v>
      </c>
      <c r="E8" s="7" t="str">
        <f>IF(配置总览!$N$71=0,"",配置总览!$N$71)</f>
        <v>Bone001/wm_feijian_jiasu</v>
      </c>
      <c r="M8" s="3" t="str">
        <f>FakeObject!$A$9</f>
        <v>#</v>
      </c>
      <c r="N8" s="30">
        <v>1.2</v>
      </c>
      <c r="O8" s="30">
        <v>1.2</v>
      </c>
      <c r="P8" s="30">
        <v>1.2</v>
      </c>
      <c r="Q8" s="30">
        <v>1.2</v>
      </c>
      <c r="R8" s="30">
        <v>1.2</v>
      </c>
      <c r="S8" s="30">
        <v>1.2</v>
      </c>
      <c r="T8" s="30">
        <v>1.05</v>
      </c>
      <c r="U8">
        <v>0</v>
      </c>
      <c r="V8" s="30">
        <v>1.2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30">
        <v>1.2</v>
      </c>
      <c r="AD8" s="30">
        <v>1.5</v>
      </c>
      <c r="AE8" s="30">
        <v>1.5</v>
      </c>
      <c r="AF8" s="30">
        <v>1.5</v>
      </c>
      <c r="AG8" s="30">
        <v>1.5</v>
      </c>
      <c r="AH8" s="30">
        <v>1.5</v>
      </c>
      <c r="AI8" s="30">
        <v>1.5</v>
      </c>
      <c r="AJ8" s="30">
        <v>1.4</v>
      </c>
      <c r="AK8">
        <v>0</v>
      </c>
      <c r="AL8" s="30">
        <v>1.5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30">
        <v>1.5</v>
      </c>
      <c r="AT8">
        <v>7006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156</v>
      </c>
      <c r="BB8">
        <v>112</v>
      </c>
      <c r="BC8">
        <v>-1</v>
      </c>
      <c r="BD8" s="30">
        <v>114</v>
      </c>
      <c r="BE8" s="30">
        <v>114</v>
      </c>
      <c r="BF8" s="30">
        <v>114</v>
      </c>
      <c r="BG8" s="30">
        <v>116</v>
      </c>
      <c r="BH8" s="30">
        <v>115</v>
      </c>
      <c r="BI8" s="30">
        <v>113</v>
      </c>
      <c r="BJ8" s="30">
        <v>121</v>
      </c>
      <c r="BK8" s="30">
        <v>-1</v>
      </c>
    </row>
    <row r="13" ht="16.5" spans="41:62">
      <c r="AO13" s="18" t="s">
        <v>1048</v>
      </c>
      <c r="AP13" s="31" t="s">
        <v>1049</v>
      </c>
      <c r="AQ13" s="18" t="s">
        <v>892</v>
      </c>
      <c r="AU13" s="5"/>
      <c r="AV13" s="32"/>
      <c r="AW13" s="32">
        <v>2</v>
      </c>
      <c r="AX13" s="32">
        <v>3</v>
      </c>
      <c r="AY13" s="32">
        <v>4</v>
      </c>
      <c r="AZ13" s="32">
        <v>5</v>
      </c>
      <c r="BA13" s="32">
        <v>6</v>
      </c>
      <c r="BB13" s="32">
        <v>7</v>
      </c>
      <c r="BC13" s="32">
        <v>8</v>
      </c>
      <c r="BD13" s="32">
        <v>9</v>
      </c>
      <c r="BE13" s="32">
        <v>10</v>
      </c>
      <c r="BF13" s="32">
        <v>11</v>
      </c>
      <c r="BG13" s="32">
        <v>12</v>
      </c>
      <c r="BH13" s="32">
        <v>13</v>
      </c>
      <c r="BI13" s="32">
        <v>14</v>
      </c>
      <c r="BJ13" s="32">
        <v>15</v>
      </c>
    </row>
    <row r="14" ht="16.5" spans="46:62">
      <c r="AT14" s="32" t="s">
        <v>1050</v>
      </c>
      <c r="AU14" s="32" t="s">
        <v>1051</v>
      </c>
      <c r="AV14" s="33">
        <v>114</v>
      </c>
      <c r="AW14" s="33">
        <v>117</v>
      </c>
      <c r="AX14" s="33">
        <v>117</v>
      </c>
      <c r="AY14" s="33">
        <v>116</v>
      </c>
      <c r="AZ14" s="33">
        <v>115</v>
      </c>
      <c r="BA14" s="33">
        <v>113</v>
      </c>
      <c r="BB14" s="33">
        <v>121</v>
      </c>
      <c r="BC14" s="33">
        <v>-1</v>
      </c>
      <c r="BD14" s="33">
        <v>116</v>
      </c>
      <c r="BE14" s="33">
        <v>115</v>
      </c>
      <c r="BF14" s="33">
        <v>113</v>
      </c>
      <c r="BG14" s="33">
        <v>117</v>
      </c>
      <c r="BH14" s="33">
        <v>143</v>
      </c>
      <c r="BI14" s="33">
        <v>119</v>
      </c>
      <c r="BJ14" s="33">
        <v>120</v>
      </c>
    </row>
    <row r="15" ht="16.5" spans="46:62">
      <c r="AT15" s="32" t="s">
        <v>1052</v>
      </c>
      <c r="AU15" s="32" t="s">
        <v>1053</v>
      </c>
      <c r="AV15" s="33">
        <v>207</v>
      </c>
      <c r="AW15" s="33">
        <v>207</v>
      </c>
      <c r="AX15" s="33">
        <v>207</v>
      </c>
      <c r="AY15" s="33">
        <v>209</v>
      </c>
      <c r="AZ15" s="33">
        <v>208</v>
      </c>
      <c r="BA15" s="33">
        <v>206</v>
      </c>
      <c r="BB15" s="33">
        <v>214</v>
      </c>
      <c r="BC15" s="33">
        <v>214</v>
      </c>
      <c r="BD15" s="33">
        <v>209</v>
      </c>
      <c r="BE15" s="33">
        <v>208</v>
      </c>
      <c r="BF15" s="33">
        <v>206</v>
      </c>
      <c r="BG15" s="33">
        <v>214</v>
      </c>
      <c r="BH15" s="33">
        <v>142</v>
      </c>
      <c r="BI15" s="33">
        <v>20</v>
      </c>
      <c r="BJ15" s="33">
        <v>21</v>
      </c>
    </row>
    <row r="16" ht="16.5" spans="46:62">
      <c r="AT16" s="32" t="s">
        <v>89</v>
      </c>
      <c r="AU16" s="32" t="s">
        <v>1054</v>
      </c>
      <c r="AV16" s="33">
        <v>20010</v>
      </c>
      <c r="AW16" s="33">
        <v>20010</v>
      </c>
      <c r="AX16" s="33">
        <v>20011</v>
      </c>
      <c r="AY16" s="33">
        <v>20010</v>
      </c>
      <c r="AZ16" s="33">
        <v>20010</v>
      </c>
      <c r="BA16" s="33">
        <v>20010</v>
      </c>
      <c r="BB16" s="33">
        <v>214</v>
      </c>
      <c r="BC16" s="33">
        <v>214</v>
      </c>
      <c r="BD16" s="33">
        <v>209</v>
      </c>
      <c r="BE16" s="33">
        <v>208</v>
      </c>
      <c r="BF16" s="33">
        <v>206</v>
      </c>
      <c r="BG16" s="33">
        <v>214</v>
      </c>
      <c r="BH16" s="33">
        <v>142</v>
      </c>
      <c r="BI16" s="33">
        <v>20</v>
      </c>
      <c r="BJ16" s="33">
        <v>21</v>
      </c>
    </row>
    <row r="17" ht="16.5" spans="46:62">
      <c r="AT17" s="32" t="s">
        <v>852</v>
      </c>
      <c r="AU17" s="32" t="s">
        <v>855</v>
      </c>
      <c r="AV17" s="33">
        <v>20012</v>
      </c>
      <c r="AW17" s="33">
        <v>20012</v>
      </c>
      <c r="AX17" s="33">
        <v>20013</v>
      </c>
      <c r="AY17" s="33">
        <v>20012</v>
      </c>
      <c r="AZ17" s="33">
        <v>20012</v>
      </c>
      <c r="BA17" s="33">
        <v>20012</v>
      </c>
      <c r="BB17" s="33">
        <v>214</v>
      </c>
      <c r="BC17" s="33">
        <v>214</v>
      </c>
      <c r="BD17" s="33">
        <v>209</v>
      </c>
      <c r="BE17" s="33">
        <v>208</v>
      </c>
      <c r="BF17" s="33">
        <v>206</v>
      </c>
      <c r="BG17" s="33">
        <v>214</v>
      </c>
      <c r="BH17" s="33">
        <v>142</v>
      </c>
      <c r="BI17" s="33">
        <v>20</v>
      </c>
      <c r="BJ17" s="33">
        <v>21</v>
      </c>
    </row>
    <row r="18" ht="16.5" spans="46:62">
      <c r="AT18" s="32" t="s">
        <v>1055</v>
      </c>
      <c r="AU18" s="32" t="s">
        <v>1056</v>
      </c>
      <c r="AV18" s="33">
        <v>20034</v>
      </c>
      <c r="AW18" s="33">
        <v>20034</v>
      </c>
      <c r="AX18" s="33">
        <v>20035</v>
      </c>
      <c r="AY18" s="33">
        <v>20034</v>
      </c>
      <c r="AZ18" s="33">
        <v>20034</v>
      </c>
      <c r="BA18" s="33">
        <v>20034</v>
      </c>
      <c r="BB18" s="33">
        <v>214</v>
      </c>
      <c r="BC18" s="33">
        <v>-1</v>
      </c>
      <c r="BD18" s="33">
        <v>209</v>
      </c>
      <c r="BE18" s="33">
        <v>208</v>
      </c>
      <c r="BF18" s="33">
        <v>206</v>
      </c>
      <c r="BG18" s="33">
        <v>207</v>
      </c>
      <c r="BH18" s="33">
        <v>142</v>
      </c>
      <c r="BI18" s="33">
        <v>20</v>
      </c>
      <c r="BJ18" s="33">
        <v>21</v>
      </c>
    </row>
    <row r="19" ht="16.5" spans="41:62">
      <c r="AO19" s="18" t="s">
        <v>1057</v>
      </c>
      <c r="AQ19" s="18" t="s">
        <v>1058</v>
      </c>
      <c r="AT19" s="32" t="s">
        <v>1059</v>
      </c>
      <c r="AU19" s="32" t="s">
        <v>871</v>
      </c>
      <c r="AV19" s="33">
        <v>20040</v>
      </c>
      <c r="AW19" s="33">
        <v>20040</v>
      </c>
      <c r="AX19" s="33">
        <v>20041</v>
      </c>
      <c r="AY19" s="33">
        <v>20040</v>
      </c>
      <c r="AZ19" s="33">
        <v>20040</v>
      </c>
      <c r="BA19" s="33">
        <v>20040</v>
      </c>
      <c r="BB19" s="33">
        <v>214</v>
      </c>
      <c r="BC19" s="33">
        <v>214</v>
      </c>
      <c r="BD19" s="33">
        <v>209</v>
      </c>
      <c r="BE19" s="33">
        <v>208</v>
      </c>
      <c r="BF19" s="33">
        <v>206</v>
      </c>
      <c r="BG19" s="33">
        <v>214</v>
      </c>
      <c r="BH19" s="33">
        <v>142</v>
      </c>
      <c r="BI19" s="33">
        <v>20</v>
      </c>
      <c r="BJ19" s="33">
        <v>21</v>
      </c>
    </row>
    <row r="20" ht="16.5" spans="46:62">
      <c r="AT20" s="34" t="s">
        <v>1060</v>
      </c>
      <c r="AU20" s="34" t="s">
        <v>1061</v>
      </c>
      <c r="AV20" s="33">
        <v>22410</v>
      </c>
      <c r="AW20" s="33">
        <v>22410</v>
      </c>
      <c r="AX20" s="33">
        <v>22411</v>
      </c>
      <c r="AY20" s="33">
        <v>22410</v>
      </c>
      <c r="AZ20" s="33">
        <v>22410</v>
      </c>
      <c r="BA20" s="33">
        <v>22410</v>
      </c>
      <c r="BB20" s="33">
        <v>214</v>
      </c>
      <c r="BC20" s="33">
        <v>214</v>
      </c>
      <c r="BD20" s="33">
        <v>209</v>
      </c>
      <c r="BE20" s="33">
        <v>208</v>
      </c>
      <c r="BF20" s="33">
        <v>206</v>
      </c>
      <c r="BG20" s="33">
        <v>214</v>
      </c>
      <c r="BH20" s="33">
        <v>142</v>
      </c>
      <c r="BI20" s="33">
        <v>20</v>
      </c>
      <c r="BJ20" s="33">
        <v>21</v>
      </c>
    </row>
    <row r="21" ht="16.5" spans="46:62">
      <c r="AT21" s="34" t="s">
        <v>1062</v>
      </c>
      <c r="AU21" s="34" t="s">
        <v>1063</v>
      </c>
      <c r="AV21" s="33">
        <v>22412</v>
      </c>
      <c r="AW21" s="33">
        <v>22412</v>
      </c>
      <c r="AX21" s="33">
        <v>22413</v>
      </c>
      <c r="AY21" s="33">
        <v>22412</v>
      </c>
      <c r="AZ21" s="33">
        <v>22412</v>
      </c>
      <c r="BA21" s="33">
        <v>22412</v>
      </c>
      <c r="BB21" s="33">
        <v>214</v>
      </c>
      <c r="BC21" s="33">
        <v>214</v>
      </c>
      <c r="BD21" s="33">
        <v>209</v>
      </c>
      <c r="BE21" s="33">
        <v>208</v>
      </c>
      <c r="BF21" s="33">
        <v>206</v>
      </c>
      <c r="BG21" s="33">
        <v>214</v>
      </c>
      <c r="BH21" s="33">
        <v>142</v>
      </c>
      <c r="BI21" s="33">
        <v>20</v>
      </c>
      <c r="BJ21" s="33">
        <v>21</v>
      </c>
    </row>
    <row r="22" ht="16.5" spans="46:62">
      <c r="AT22" s="34" t="s">
        <v>885</v>
      </c>
      <c r="AU22" s="34" t="s">
        <v>1064</v>
      </c>
      <c r="AV22" s="33">
        <v>22418</v>
      </c>
      <c r="AW22" s="33">
        <v>22418</v>
      </c>
      <c r="AX22" s="33">
        <v>22419</v>
      </c>
      <c r="AY22" s="33">
        <v>22418</v>
      </c>
      <c r="AZ22" s="33">
        <v>22418</v>
      </c>
      <c r="BA22" s="33">
        <v>22418</v>
      </c>
      <c r="BB22" s="33">
        <v>214</v>
      </c>
      <c r="BC22" s="33">
        <v>214</v>
      </c>
      <c r="BD22" s="33">
        <v>209</v>
      </c>
      <c r="BE22" s="33">
        <v>208</v>
      </c>
      <c r="BF22" s="33">
        <v>206</v>
      </c>
      <c r="BG22" s="33">
        <v>214</v>
      </c>
      <c r="BH22" s="33">
        <v>142</v>
      </c>
      <c r="BI22" s="33">
        <v>20</v>
      </c>
      <c r="BJ22" s="33">
        <v>21</v>
      </c>
    </row>
    <row r="26" spans="41:43">
      <c r="AO26" s="18" t="s">
        <v>1065</v>
      </c>
      <c r="AQ26" s="18" t="s">
        <v>1066</v>
      </c>
    </row>
    <row r="33" spans="41:41">
      <c r="AO33" s="18" t="s">
        <v>1067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2"/>
  <sheetViews>
    <sheetView workbookViewId="0">
      <selection activeCell="A8" sqref="A8"/>
    </sheetView>
  </sheetViews>
  <sheetFormatPr defaultColWidth="9" defaultRowHeight="14.25"/>
  <cols>
    <col min="2" max="2" width="26.125" customWidth="1"/>
  </cols>
  <sheetData>
    <row r="1" s="1" customFormat="1" spans="1:25">
      <c r="A1" s="1" t="s">
        <v>312</v>
      </c>
      <c r="B1" s="1" t="s">
        <v>313</v>
      </c>
      <c r="C1" s="1" t="s">
        <v>1068</v>
      </c>
      <c r="D1" s="1" t="s">
        <v>1069</v>
      </c>
      <c r="E1" s="1" t="s">
        <v>1070</v>
      </c>
      <c r="F1" s="1" t="s">
        <v>1071</v>
      </c>
      <c r="G1" s="1" t="s">
        <v>1072</v>
      </c>
      <c r="H1" s="1" t="s">
        <v>1073</v>
      </c>
      <c r="I1" s="1" t="s">
        <v>1074</v>
      </c>
      <c r="J1" s="1" t="s">
        <v>1075</v>
      </c>
      <c r="K1" s="1" t="s">
        <v>1076</v>
      </c>
      <c r="L1" s="1" t="s">
        <v>1077</v>
      </c>
      <c r="M1" s="1" t="s">
        <v>1078</v>
      </c>
      <c r="N1" s="1" t="s">
        <v>1079</v>
      </c>
      <c r="O1" s="1" t="s">
        <v>1080</v>
      </c>
      <c r="P1" s="28" t="s">
        <v>1081</v>
      </c>
      <c r="Q1" s="1" t="s">
        <v>1082</v>
      </c>
      <c r="R1" s="1" t="s">
        <v>630</v>
      </c>
      <c r="S1" s="1" t="s">
        <v>631</v>
      </c>
      <c r="T1" s="1" t="s">
        <v>632</v>
      </c>
      <c r="U1" s="1" t="s">
        <v>633</v>
      </c>
      <c r="V1" s="1" t="s">
        <v>634</v>
      </c>
      <c r="W1" s="1" t="s">
        <v>635</v>
      </c>
      <c r="X1" s="1" t="s">
        <v>636</v>
      </c>
      <c r="Y1" s="1" t="s">
        <v>637</v>
      </c>
    </row>
    <row r="2" s="1" customFormat="1" spans="1:25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28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</row>
    <row r="3" s="1" customFormat="1" spans="1:16">
      <c r="A3" s="1" t="s">
        <v>317</v>
      </c>
      <c r="P3" s="28"/>
    </row>
    <row r="4" s="1" customFormat="1" spans="1:25">
      <c r="A4" s="1" t="s">
        <v>448</v>
      </c>
      <c r="B4" s="1" t="s">
        <v>16</v>
      </c>
      <c r="C4" s="1" t="s">
        <v>1083</v>
      </c>
      <c r="D4" s="1" t="s">
        <v>642</v>
      </c>
      <c r="E4" s="1" t="s">
        <v>1084</v>
      </c>
      <c r="F4" s="1" t="s">
        <v>1085</v>
      </c>
      <c r="G4" s="1" t="s">
        <v>644</v>
      </c>
      <c r="H4" s="1" t="s">
        <v>1086</v>
      </c>
      <c r="I4" s="1" t="s">
        <v>1087</v>
      </c>
      <c r="J4" s="1" t="s">
        <v>1088</v>
      </c>
      <c r="K4" s="1" t="s">
        <v>1089</v>
      </c>
      <c r="L4" s="1" t="s">
        <v>651</v>
      </c>
      <c r="M4" s="1" t="s">
        <v>652</v>
      </c>
      <c r="N4" s="1" t="s">
        <v>645</v>
      </c>
      <c r="O4" s="1" t="s">
        <v>646</v>
      </c>
      <c r="P4" s="28" t="s">
        <v>647</v>
      </c>
      <c r="Q4" s="1" t="s">
        <v>648</v>
      </c>
      <c r="R4" s="1" t="s">
        <v>653</v>
      </c>
      <c r="S4" s="1" t="s">
        <v>654</v>
      </c>
      <c r="T4" s="1" t="s">
        <v>655</v>
      </c>
      <c r="U4" s="1" t="s">
        <v>656</v>
      </c>
      <c r="V4" s="1" t="s">
        <v>657</v>
      </c>
      <c r="W4" s="1" t="s">
        <v>658</v>
      </c>
      <c r="X4" s="1" t="s">
        <v>659</v>
      </c>
      <c r="Y4" s="1" t="s">
        <v>660</v>
      </c>
    </row>
    <row r="5" spans="1:25">
      <c r="A5" s="27" t="str">
        <f>IF(配置总览!$B$2="Main",IF(配置总览!$B$4="导出",2000+配置总览!H6*2-1,"#"),"#")</f>
        <v>#</v>
      </c>
      <c r="B5" s="3" t="str">
        <f>"外观-头饰-"&amp;配置总览!E4</f>
        <v>外观-头饰-蜜语轻舞·头</v>
      </c>
      <c r="C5" s="13" t="str">
        <f>AvatarModel!A5</f>
        <v>#</v>
      </c>
      <c r="D5" s="17" t="str">
        <f>$G$5</f>
        <v>#</v>
      </c>
      <c r="E5">
        <v>-1</v>
      </c>
      <c r="F5">
        <v>-1</v>
      </c>
      <c r="G5" s="14" t="str">
        <f>AvatarModel!A7</f>
        <v>#</v>
      </c>
      <c r="H5" s="15" t="str">
        <f>AvatarModel!A6</f>
        <v>#</v>
      </c>
      <c r="I5" s="16" t="str">
        <f>$H$5</f>
        <v>#</v>
      </c>
      <c r="J5">
        <v>-1</v>
      </c>
      <c r="K5">
        <v>-1</v>
      </c>
      <c r="L5" s="16" t="str">
        <f t="shared" ref="L5:P5" si="0">$H$5</f>
        <v>#</v>
      </c>
      <c r="M5" s="17" t="str">
        <f>$G$5</f>
        <v>#</v>
      </c>
      <c r="N5" s="16" t="str">
        <f t="shared" si="0"/>
        <v>#</v>
      </c>
      <c r="O5" s="17" t="str">
        <f>$G$5</f>
        <v>#</v>
      </c>
      <c r="P5" s="16" t="str">
        <f>$H$5</f>
        <v>#</v>
      </c>
      <c r="Q5" s="17" t="str">
        <f>$G$5</f>
        <v>#</v>
      </c>
      <c r="R5" s="16" t="str">
        <f>$H$5</f>
        <v>#</v>
      </c>
      <c r="S5" s="17" t="str">
        <f>$G$5</f>
        <v>#</v>
      </c>
      <c r="T5" s="16" t="str">
        <f>$H$5</f>
        <v>#</v>
      </c>
      <c r="U5" s="17" t="str">
        <f>$G$5</f>
        <v>#</v>
      </c>
      <c r="V5" s="16" t="str">
        <f>$H$5</f>
        <v>#</v>
      </c>
      <c r="W5" s="17" t="str">
        <f>$G$5</f>
        <v>#</v>
      </c>
      <c r="X5" s="16" t="str">
        <f>IF(配置总览!$B$2="Main",$H$5,"")</f>
        <v>#</v>
      </c>
      <c r="Y5" s="17" t="str">
        <f>IF(配置总览!$B$2="Main",$G$5,"")</f>
        <v>#</v>
      </c>
    </row>
    <row r="6" spans="1:25">
      <c r="A6" s="27" t="str">
        <f>IF(配置总览!$B$2="Main",IF(配置总览!$B$18="导出",2000+配置总览!H20*2,"#"),"#")</f>
        <v>#</v>
      </c>
      <c r="B6" s="3" t="str">
        <f>"外观-时装-"&amp;配置总览!E18</f>
        <v>外观-时装-蜜语轻舞</v>
      </c>
      <c r="C6" s="7" t="str">
        <f>CharModel!A5</f>
        <v>#</v>
      </c>
      <c r="D6" s="27" t="e">
        <f>Y6+1</f>
        <v>#VALUE!</v>
      </c>
      <c r="E6">
        <v>-1</v>
      </c>
      <c r="F6">
        <v>-1</v>
      </c>
      <c r="G6" s="3" t="e">
        <f>C6+1</f>
        <v>#VALUE!</v>
      </c>
      <c r="H6" s="3" t="e">
        <f>G6+1</f>
        <v>#VALUE!</v>
      </c>
      <c r="I6" s="3" t="e">
        <f>H6+1</f>
        <v>#VALUE!</v>
      </c>
      <c r="J6">
        <v>-1</v>
      </c>
      <c r="K6">
        <v>-1</v>
      </c>
      <c r="L6" s="3" t="e">
        <f>I6+1</f>
        <v>#VALUE!</v>
      </c>
      <c r="M6" s="3" t="e">
        <f t="shared" ref="M6:P6" si="1">L6+1</f>
        <v>#VALUE!</v>
      </c>
      <c r="N6" s="3" t="e">
        <f t="shared" si="1"/>
        <v>#VALUE!</v>
      </c>
      <c r="O6" s="3" t="e">
        <f t="shared" si="1"/>
        <v>#VALUE!</v>
      </c>
      <c r="P6" s="3" t="e">
        <f>W6+1</f>
        <v>#VALUE!</v>
      </c>
      <c r="Q6" s="3" t="e">
        <f>O6+1</f>
        <v>#VALUE!</v>
      </c>
      <c r="R6" s="3" t="e">
        <f>Q6+1</f>
        <v>#VALUE!</v>
      </c>
      <c r="S6" s="3" t="e">
        <f>R6+1</f>
        <v>#VALUE!</v>
      </c>
      <c r="T6" s="3" t="e">
        <f>S6+1</f>
        <v>#VALUE!</v>
      </c>
      <c r="U6" s="3" t="e">
        <f>T6+1</f>
        <v>#VALUE!</v>
      </c>
      <c r="V6" s="3" t="e">
        <f>D6+1</f>
        <v>#VALUE!</v>
      </c>
      <c r="W6" s="3" t="e">
        <f>V6+1</f>
        <v>#VALUE!</v>
      </c>
      <c r="X6" s="3" t="e">
        <f>IF(配置总览!$B$2="Main",U6+1,"")</f>
        <v>#VALUE!</v>
      </c>
      <c r="Y6" s="3" t="e">
        <f>IF(配置总览!$B$2="Main",X6+1,"")</f>
        <v>#VALUE!</v>
      </c>
    </row>
    <row r="7" spans="1:25">
      <c r="A7" s="27" t="str">
        <f>IF(配置总览!$B$2="Main",IF(配置总览!$B$74="导出",3000+配置总览!H76,"#"),"#")</f>
        <v>#</v>
      </c>
      <c r="B7" s="3" t="str">
        <f>"外观-背饰-"&amp;配置总览!E74</f>
        <v>外观-背饰-野趣风尚</v>
      </c>
      <c r="C7" s="13" t="str">
        <f>AvatarModel!A21</f>
        <v>#</v>
      </c>
      <c r="D7" s="17" t="str">
        <f>$G7</f>
        <v>#</v>
      </c>
      <c r="E7">
        <v>-1</v>
      </c>
      <c r="F7">
        <v>-1</v>
      </c>
      <c r="G7" s="14" t="str">
        <f>AvatarModel!A23</f>
        <v>#</v>
      </c>
      <c r="H7" s="15" t="str">
        <f>AvatarModel!A22</f>
        <v>#</v>
      </c>
      <c r="I7" s="16" t="str">
        <f>$H7</f>
        <v>#</v>
      </c>
      <c r="J7">
        <v>-1</v>
      </c>
      <c r="K7">
        <v>-1</v>
      </c>
      <c r="L7" s="16" t="str">
        <f t="shared" ref="L7:L11" si="2">$H7</f>
        <v>#</v>
      </c>
      <c r="M7" s="17" t="str">
        <f t="shared" ref="M7:M11" si="3">$G7</f>
        <v>#</v>
      </c>
      <c r="N7" s="16" t="str">
        <f t="shared" ref="N7:N11" si="4">$H7</f>
        <v>#</v>
      </c>
      <c r="O7" s="17" t="str">
        <f t="shared" ref="O7:O11" si="5">$G7</f>
        <v>#</v>
      </c>
      <c r="P7" s="16" t="str">
        <f t="shared" ref="P7:P11" si="6">$H7</f>
        <v>#</v>
      </c>
      <c r="Q7" s="17" t="str">
        <f t="shared" ref="Q7:Q11" si="7">$G7</f>
        <v>#</v>
      </c>
      <c r="R7" s="16" t="str">
        <f t="shared" ref="R7:R11" si="8">$H7</f>
        <v>#</v>
      </c>
      <c r="S7" s="17" t="str">
        <f t="shared" ref="S7:S11" si="9">$G7</f>
        <v>#</v>
      </c>
      <c r="T7" s="16" t="str">
        <f t="shared" ref="T7:V11" si="10">$H7</f>
        <v>#</v>
      </c>
      <c r="U7" s="17" t="str">
        <f t="shared" ref="U7:W11" si="11">$G7</f>
        <v>#</v>
      </c>
      <c r="V7" s="16" t="str">
        <f t="shared" si="10"/>
        <v>#</v>
      </c>
      <c r="W7" s="17" t="str">
        <f t="shared" si="11"/>
        <v>#</v>
      </c>
      <c r="X7" s="16" t="str">
        <f>IF(配置总览!$B$2="Main",$H7,"")</f>
        <v>#</v>
      </c>
      <c r="Y7" s="17" t="str">
        <f>IF(配置总览!$B$2="Main",$G7,"")</f>
        <v>#</v>
      </c>
    </row>
    <row r="8" s="2" customFormat="1" spans="1:25">
      <c r="A8" s="27" t="str">
        <f>IF(配置总览!$B$2="Main",IF(配置总览!$B$88="导出",3000+配置总览!H90,"#"),"#")</f>
        <v>#</v>
      </c>
      <c r="B8" s="3" t="str">
        <f>"外观-背饰-"&amp;配置总览!$E$88&amp;"·宿"</f>
        <v>外观-背饰-星扇·宿</v>
      </c>
      <c r="C8" s="13" t="str">
        <f>AvatarModel!A24</f>
        <v>#</v>
      </c>
      <c r="D8" s="17" t="str">
        <f>$G8</f>
        <v>#</v>
      </c>
      <c r="E8" s="2">
        <v>-1</v>
      </c>
      <c r="F8" s="2">
        <v>-1</v>
      </c>
      <c r="G8" s="14" t="str">
        <f>AvatarModel!A26</f>
        <v>#</v>
      </c>
      <c r="H8" s="15" t="str">
        <f>AvatarModel!A25</f>
        <v>#</v>
      </c>
      <c r="I8" s="16" t="str">
        <f>$H8</f>
        <v>#</v>
      </c>
      <c r="J8" s="2">
        <v>-1</v>
      </c>
      <c r="K8" s="2">
        <v>-1</v>
      </c>
      <c r="L8" s="16" t="str">
        <f t="shared" si="2"/>
        <v>#</v>
      </c>
      <c r="M8" s="17" t="str">
        <f t="shared" si="3"/>
        <v>#</v>
      </c>
      <c r="N8" s="16" t="str">
        <f t="shared" si="4"/>
        <v>#</v>
      </c>
      <c r="O8" s="17" t="str">
        <f t="shared" si="5"/>
        <v>#</v>
      </c>
      <c r="P8" s="16" t="str">
        <f t="shared" si="6"/>
        <v>#</v>
      </c>
      <c r="Q8" s="17" t="str">
        <f t="shared" si="7"/>
        <v>#</v>
      </c>
      <c r="R8" s="16" t="str">
        <f t="shared" si="8"/>
        <v>#</v>
      </c>
      <c r="S8" s="17" t="str">
        <f t="shared" si="9"/>
        <v>#</v>
      </c>
      <c r="T8" s="16" t="str">
        <f t="shared" si="10"/>
        <v>#</v>
      </c>
      <c r="U8" s="17" t="str">
        <f t="shared" si="11"/>
        <v>#</v>
      </c>
      <c r="V8" s="16" t="str">
        <f t="shared" si="10"/>
        <v>#</v>
      </c>
      <c r="W8" s="17" t="str">
        <f t="shared" si="11"/>
        <v>#</v>
      </c>
      <c r="X8" s="16" t="str">
        <f>IF(配置总览!$B$2="Main",$H8,"")</f>
        <v>#</v>
      </c>
      <c r="Y8" s="17" t="str">
        <f>IF(配置总览!$B$2="Main",$G8,"")</f>
        <v>#</v>
      </c>
    </row>
    <row r="9" s="2" customFormat="1" spans="1:25">
      <c r="A9" s="3" t="str">
        <f t="shared" ref="A9:A11" si="12">IFERROR(A8+1,"#")</f>
        <v>#</v>
      </c>
      <c r="B9" s="3" t="str">
        <f>"外观-背饰-"&amp;配置总览!$E$88&amp;"·星象"</f>
        <v>外观-背饰-星扇·星象</v>
      </c>
      <c r="C9" s="13" t="str">
        <f>AvatarModel!A27</f>
        <v>#</v>
      </c>
      <c r="D9" s="17" t="str">
        <f>$G9</f>
        <v>#</v>
      </c>
      <c r="E9" s="2">
        <v>-1</v>
      </c>
      <c r="F9" s="2">
        <v>-1</v>
      </c>
      <c r="G9" s="14" t="str">
        <f>AvatarModel!A29</f>
        <v>#</v>
      </c>
      <c r="H9" s="15" t="str">
        <f>AvatarModel!A28</f>
        <v>#</v>
      </c>
      <c r="I9" s="16" t="str">
        <f>$H9</f>
        <v>#</v>
      </c>
      <c r="J9" s="2">
        <v>-1</v>
      </c>
      <c r="K9" s="2">
        <v>-1</v>
      </c>
      <c r="L9" s="16" t="str">
        <f t="shared" si="2"/>
        <v>#</v>
      </c>
      <c r="M9" s="17" t="str">
        <f t="shared" si="3"/>
        <v>#</v>
      </c>
      <c r="N9" s="16" t="str">
        <f t="shared" si="4"/>
        <v>#</v>
      </c>
      <c r="O9" s="17" t="str">
        <f t="shared" si="5"/>
        <v>#</v>
      </c>
      <c r="P9" s="16" t="str">
        <f t="shared" si="6"/>
        <v>#</v>
      </c>
      <c r="Q9" s="17" t="str">
        <f t="shared" si="7"/>
        <v>#</v>
      </c>
      <c r="R9" s="16" t="str">
        <f t="shared" si="8"/>
        <v>#</v>
      </c>
      <c r="S9" s="17" t="str">
        <f t="shared" si="9"/>
        <v>#</v>
      </c>
      <c r="T9" s="16" t="str">
        <f t="shared" si="10"/>
        <v>#</v>
      </c>
      <c r="U9" s="17" t="str">
        <f t="shared" si="11"/>
        <v>#</v>
      </c>
      <c r="V9" s="16" t="str">
        <f t="shared" si="10"/>
        <v>#</v>
      </c>
      <c r="W9" s="17" t="str">
        <f t="shared" si="11"/>
        <v>#</v>
      </c>
      <c r="X9" s="16" t="str">
        <f>IF(配置总览!$B$2="Main",$H9,"")</f>
        <v>#</v>
      </c>
      <c r="Y9" s="17" t="str">
        <f>IF(配置总览!$B$2="Main",$G9,"")</f>
        <v>#</v>
      </c>
    </row>
    <row r="10" s="2" customFormat="1" spans="1:25">
      <c r="A10" s="3" t="str">
        <f t="shared" si="12"/>
        <v>#</v>
      </c>
      <c r="B10" s="3" t="str">
        <f>"外观-背饰-"&amp;配置总览!$E$88&amp;"·天垣"</f>
        <v>外观-背饰-星扇·天垣</v>
      </c>
      <c r="C10" s="13" t="str">
        <f>AvatarModel!A30</f>
        <v>#</v>
      </c>
      <c r="D10" s="17" t="str">
        <f>$G10</f>
        <v>#</v>
      </c>
      <c r="E10" s="2">
        <v>-1</v>
      </c>
      <c r="F10" s="2">
        <v>-1</v>
      </c>
      <c r="G10" s="14" t="str">
        <f>AvatarModel!A32</f>
        <v>#</v>
      </c>
      <c r="H10" s="15" t="str">
        <f>AvatarModel!A31</f>
        <v>#</v>
      </c>
      <c r="I10" s="16" t="str">
        <f>$H10</f>
        <v>#</v>
      </c>
      <c r="J10" s="2">
        <v>-1</v>
      </c>
      <c r="K10" s="2">
        <v>-1</v>
      </c>
      <c r="L10" s="16" t="str">
        <f t="shared" si="2"/>
        <v>#</v>
      </c>
      <c r="M10" s="17" t="str">
        <f t="shared" si="3"/>
        <v>#</v>
      </c>
      <c r="N10" s="16" t="str">
        <f t="shared" si="4"/>
        <v>#</v>
      </c>
      <c r="O10" s="17" t="str">
        <f t="shared" si="5"/>
        <v>#</v>
      </c>
      <c r="P10" s="16" t="str">
        <f t="shared" si="6"/>
        <v>#</v>
      </c>
      <c r="Q10" s="17" t="str">
        <f t="shared" si="7"/>
        <v>#</v>
      </c>
      <c r="R10" s="16" t="str">
        <f t="shared" si="8"/>
        <v>#</v>
      </c>
      <c r="S10" s="17" t="str">
        <f t="shared" si="9"/>
        <v>#</v>
      </c>
      <c r="T10" s="16" t="str">
        <f t="shared" si="10"/>
        <v>#</v>
      </c>
      <c r="U10" s="17" t="str">
        <f t="shared" si="11"/>
        <v>#</v>
      </c>
      <c r="V10" s="16" t="str">
        <f t="shared" si="10"/>
        <v>#</v>
      </c>
      <c r="W10" s="17" t="str">
        <f t="shared" si="11"/>
        <v>#</v>
      </c>
      <c r="X10" s="16" t="str">
        <f>IF(配置总览!$B$2="Main",$H10,"")</f>
        <v>#</v>
      </c>
      <c r="Y10" s="17" t="str">
        <f>IF(配置总览!$B$2="Main",$G10,"")</f>
        <v>#</v>
      </c>
    </row>
    <row r="11" s="2" customFormat="1" spans="1:25">
      <c r="A11" s="3" t="str">
        <f t="shared" si="12"/>
        <v>#</v>
      </c>
      <c r="B11" s="3" t="str">
        <f>"外观-背饰-"&amp;配置总览!$E$88&amp;"·天星引"</f>
        <v>外观-背饰-星扇·天星引</v>
      </c>
      <c r="C11" s="13" t="str">
        <f>AvatarModel!A33</f>
        <v>#</v>
      </c>
      <c r="D11" s="17" t="str">
        <f>$G11</f>
        <v>#</v>
      </c>
      <c r="E11" s="2">
        <v>-1</v>
      </c>
      <c r="F11" s="2">
        <v>-1</v>
      </c>
      <c r="G11" s="14" t="str">
        <f>AvatarModel!A35</f>
        <v>#</v>
      </c>
      <c r="H11" s="15" t="str">
        <f>AvatarModel!A34</f>
        <v>#</v>
      </c>
      <c r="I11" s="16" t="str">
        <f>$H11</f>
        <v>#</v>
      </c>
      <c r="J11" s="2">
        <v>-1</v>
      </c>
      <c r="K11" s="2">
        <v>-1</v>
      </c>
      <c r="L11" s="16" t="str">
        <f t="shared" si="2"/>
        <v>#</v>
      </c>
      <c r="M11" s="17" t="str">
        <f t="shared" si="3"/>
        <v>#</v>
      </c>
      <c r="N11" s="16" t="str">
        <f t="shared" si="4"/>
        <v>#</v>
      </c>
      <c r="O11" s="17" t="str">
        <f t="shared" si="5"/>
        <v>#</v>
      </c>
      <c r="P11" s="16" t="str">
        <f t="shared" si="6"/>
        <v>#</v>
      </c>
      <c r="Q11" s="17" t="str">
        <f t="shared" si="7"/>
        <v>#</v>
      </c>
      <c r="R11" s="16" t="str">
        <f t="shared" si="8"/>
        <v>#</v>
      </c>
      <c r="S11" s="17" t="str">
        <f t="shared" si="9"/>
        <v>#</v>
      </c>
      <c r="T11" s="16" t="str">
        <f t="shared" si="10"/>
        <v>#</v>
      </c>
      <c r="U11" s="17" t="str">
        <f t="shared" si="11"/>
        <v>#</v>
      </c>
      <c r="V11" s="16" t="str">
        <f t="shared" si="10"/>
        <v>#</v>
      </c>
      <c r="W11" s="17" t="str">
        <f t="shared" si="11"/>
        <v>#</v>
      </c>
      <c r="X11" s="16" t="str">
        <f>IF(配置总览!$B$2="Main",$H11,"")</f>
        <v>#</v>
      </c>
      <c r="Y11" s="17" t="str">
        <f>IF(配置总览!$B$2="Main",$G11,"")</f>
        <v>#</v>
      </c>
    </row>
    <row r="12" spans="1:25">
      <c r="A12" s="27" t="str">
        <f>IF(配置总览!$B$2="Main",IF(配置总览!$B$102="导出",4000+配置总览!H104,"#"),"#")</f>
        <v>#</v>
      </c>
      <c r="B12" s="3" t="str">
        <f>"外观-武器-"&amp;配置总览!E102</f>
        <v>外观-武器-无相·花颂</v>
      </c>
      <c r="C12" s="13" t="str">
        <f>AvatarModel!$A$8</f>
        <v>#</v>
      </c>
      <c r="D12" s="27" t="str">
        <f>AvatarModel!$A$19</f>
        <v>#</v>
      </c>
      <c r="E12">
        <v>-1</v>
      </c>
      <c r="F12">
        <v>-1</v>
      </c>
      <c r="G12" s="13" t="str">
        <f>AvatarModel!$A$13</f>
        <v>#</v>
      </c>
      <c r="H12" s="13" t="str">
        <f>AvatarModel!$A$14</f>
        <v>#</v>
      </c>
      <c r="I12" s="13" t="str">
        <f>AvatarModel!$A$12</f>
        <v>#</v>
      </c>
      <c r="J12">
        <v>-1</v>
      </c>
      <c r="K12">
        <v>-1</v>
      </c>
      <c r="L12" s="13" t="str">
        <f>AvatarModel!$A$10</f>
        <v>#</v>
      </c>
      <c r="M12" s="13" t="str">
        <f>AvatarModel!$A$10</f>
        <v>#</v>
      </c>
      <c r="N12" s="13" t="str">
        <f>AvatarModel!$A$9</f>
        <v>#</v>
      </c>
      <c r="O12" s="13" t="str">
        <f>AvatarModel!$A$9</f>
        <v>#</v>
      </c>
      <c r="P12" s="13" t="str">
        <f>AvatarModel!$A$11</f>
        <v>#</v>
      </c>
      <c r="Q12" s="13" t="str">
        <f>AvatarModel!$A$11</f>
        <v>#</v>
      </c>
      <c r="R12" s="13" t="str">
        <f>AvatarModel!$A$15</f>
        <v>#</v>
      </c>
      <c r="S12" s="13" t="str">
        <f>AvatarModel!$A$15</f>
        <v>#</v>
      </c>
      <c r="T12" s="13" t="str">
        <f>AvatarModel!$A$16</f>
        <v>#</v>
      </c>
      <c r="U12" s="13" t="str">
        <f>AvatarModel!$A$16</f>
        <v>#</v>
      </c>
      <c r="V12" s="13" t="str">
        <f>AvatarModel!$A$20</f>
        <v>#</v>
      </c>
      <c r="W12" s="13" t="str">
        <f>AvatarModel!$A$20</f>
        <v>#</v>
      </c>
      <c r="X12" s="13" t="str">
        <f>IF(配置总览!$B$2="Main",AvatarModel!$A$17,"")</f>
        <v>#</v>
      </c>
      <c r="Y12" s="13" t="str">
        <f>IF(配置总览!$B$2="Main",AvatarModel!$A$18,"")</f>
        <v>#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9"/>
  <sheetViews>
    <sheetView workbookViewId="0">
      <selection activeCell="F27" sqref="F27"/>
    </sheetView>
  </sheetViews>
  <sheetFormatPr defaultColWidth="9" defaultRowHeight="14.25"/>
  <cols>
    <col min="2" max="2" width="34.375" customWidth="1"/>
    <col min="3" max="3" width="25.625" customWidth="1"/>
  </cols>
  <sheetData>
    <row r="1" s="1" customFormat="1" spans="1:13">
      <c r="A1" s="1" t="s">
        <v>312</v>
      </c>
      <c r="B1" s="1" t="s">
        <v>389</v>
      </c>
      <c r="C1" s="1" t="s">
        <v>1090</v>
      </c>
      <c r="D1" s="1" t="s">
        <v>1091</v>
      </c>
      <c r="E1" s="1" t="s">
        <v>1092</v>
      </c>
      <c r="F1" s="1" t="s">
        <v>1093</v>
      </c>
      <c r="G1" s="1" t="s">
        <v>1094</v>
      </c>
      <c r="H1" s="1" t="s">
        <v>1095</v>
      </c>
      <c r="I1" s="1" t="s">
        <v>1096</v>
      </c>
      <c r="J1" s="1" t="s">
        <v>956</v>
      </c>
      <c r="K1" s="1" t="s">
        <v>1097</v>
      </c>
      <c r="L1" s="1" t="s">
        <v>1098</v>
      </c>
      <c r="M1" s="1" t="s">
        <v>1099</v>
      </c>
    </row>
    <row r="2" s="1" customFormat="1" spans="1:13">
      <c r="A2" s="1" t="s">
        <v>315</v>
      </c>
      <c r="B2" s="1" t="s">
        <v>316</v>
      </c>
      <c r="C2" s="1" t="s">
        <v>316</v>
      </c>
      <c r="D2" s="1" t="s">
        <v>445</v>
      </c>
      <c r="E2" s="1" t="s">
        <v>445</v>
      </c>
      <c r="F2" s="1" t="s">
        <v>445</v>
      </c>
      <c r="G2" s="1" t="s">
        <v>445</v>
      </c>
      <c r="H2" s="1" t="s">
        <v>445</v>
      </c>
      <c r="I2" s="1" t="s">
        <v>445</v>
      </c>
      <c r="J2" s="1" t="s">
        <v>316</v>
      </c>
      <c r="K2" s="1" t="s">
        <v>316</v>
      </c>
      <c r="L2" s="1" t="s">
        <v>316</v>
      </c>
      <c r="M2" s="1" t="s">
        <v>445</v>
      </c>
    </row>
    <row r="3" s="1" customFormat="1" spans="1:1">
      <c r="A3" s="1" t="s">
        <v>317</v>
      </c>
    </row>
    <row r="4" s="1" customFormat="1" spans="1:13">
      <c r="A4" s="1" t="s">
        <v>1100</v>
      </c>
      <c r="B4" s="1" t="s">
        <v>319</v>
      </c>
      <c r="C4" s="1" t="s">
        <v>1101</v>
      </c>
      <c r="D4" s="1" t="s">
        <v>1102</v>
      </c>
      <c r="E4" s="1" t="s">
        <v>1103</v>
      </c>
      <c r="F4" s="1" t="s">
        <v>1104</v>
      </c>
      <c r="G4" s="1" t="s">
        <v>1105</v>
      </c>
      <c r="H4" s="1" t="s">
        <v>1106</v>
      </c>
      <c r="I4" s="1" t="s">
        <v>1107</v>
      </c>
      <c r="J4" s="1" t="s">
        <v>1108</v>
      </c>
      <c r="K4" s="1" t="s">
        <v>1109</v>
      </c>
      <c r="L4" s="1" t="s">
        <v>1110</v>
      </c>
      <c r="M4" s="1" t="s">
        <v>1111</v>
      </c>
    </row>
    <row r="5" spans="1:9">
      <c r="A5" s="7" t="str">
        <f>IF(配置总览!$B$4="导出",5000+配置总览!H6*3-2,"#")</f>
        <v>#</v>
      </c>
      <c r="B5" s="3" t="str">
        <f>"外观-头饰-"&amp;配置总览!E4&amp;"（妖兽）"</f>
        <v>外观-头饰-蜜语轻舞·头（妖兽）</v>
      </c>
      <c r="C5" s="22" t="str">
        <f>配置总览!N8</f>
        <v>pbrmodel/Fx_ys_mifeng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3" t="str">
        <f>IFERROR(A5+1,"#")</f>
        <v>#</v>
      </c>
      <c r="B6" s="3" t="str">
        <f>"外观-头饰-"&amp;配置总览!E4&amp;"（男）"</f>
        <v>外观-头饰-蜜语轻舞·头（男）</v>
      </c>
      <c r="C6" s="23" t="str">
        <f>配置总览!N9</f>
        <v>pbrmodel/Fx_nan_mifeng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3" t="str">
        <f>IFERROR(A6+1,"#")</f>
        <v>#</v>
      </c>
      <c r="B7" s="3" t="str">
        <f>"外观-头饰-"&amp;配置总览!E4&amp;"（女）"</f>
        <v>外观-头饰-蜜语轻舞·头（女）</v>
      </c>
      <c r="C7" s="24" t="str">
        <f>配置总览!N10</f>
        <v>pbrmodel/Fx_nv_mifeng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s="7" t="str">
        <f>IF(配置总览!$B$102="导出",7000+配置总览!H104*20-19,"#")</f>
        <v>#</v>
      </c>
      <c r="B8" s="3" t="str">
        <f>"外观-武器-妖兽-"&amp;配置总览!$E$102&amp;"-男锤"</f>
        <v>外观-武器-妖兽-无相·花颂-男锤</v>
      </c>
      <c r="C8" s="13" t="str">
        <f>配置总览!K102</f>
        <v>Chui_wangguan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3" t="str">
        <f t="shared" ref="A9:A20" si="0">IFERROR(A8+1,"#")</f>
        <v>#</v>
      </c>
      <c r="B9" s="3" t="str">
        <f>"外观-武器-羽芒-"&amp;配置总览!$E$102&amp;"-弓"</f>
        <v>外观-武器-羽芒-无相·花颂-弓</v>
      </c>
      <c r="C9" s="13" t="str">
        <f>配置总览!K103</f>
        <v>Gong_wangguan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3" t="str">
        <f t="shared" si="0"/>
        <v>#</v>
      </c>
      <c r="B10" s="3" t="str">
        <f>"外观-武器-法师-"&amp;配置总览!$E$102&amp;"-剑"</f>
        <v>外观-武器-法师-无相·花颂-剑</v>
      </c>
      <c r="C10" s="13" t="str">
        <f>配置总览!K104</f>
        <v>Jian_wangguan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3" t="str">
        <f t="shared" si="0"/>
        <v>#</v>
      </c>
      <c r="B11" s="3" t="str">
        <f>"外观-武器-羽灵-"&amp;配置总览!$E$102&amp;"-轮"</f>
        <v>外观-武器-羽灵-无相·花颂-轮</v>
      </c>
      <c r="C11" s="13" t="str">
        <f>配置总览!K105</f>
        <v>Lun_wangguan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3" t="str">
        <f t="shared" si="0"/>
        <v>#</v>
      </c>
      <c r="B12" s="3" t="str">
        <f>"外观-武器-武侠-"&amp;配置总览!$E$102&amp;"-枪"</f>
        <v>外观-武器-武侠-无相·花颂-枪</v>
      </c>
      <c r="C12" s="13" t="str">
        <f>配置总览!K106</f>
        <v>Qiang_wangguan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3" t="str">
        <f t="shared" si="0"/>
        <v>#</v>
      </c>
      <c r="B13" s="3" t="str">
        <f>"外观-武器-妖精-"&amp;配置总览!$E$102&amp;"-杖"</f>
        <v>外观-武器-妖精-无相·花颂-杖</v>
      </c>
      <c r="C13" s="13" t="str">
        <f>配置总览!K107</f>
        <v>Zhang_wangguan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3" t="str">
        <f t="shared" si="0"/>
        <v>#</v>
      </c>
      <c r="B14" s="3" t="str">
        <f>"外观-武器-武侠-"&amp;配置总览!$E$102&amp;"-斧"</f>
        <v>外观-武器-武侠-无相·花颂-斧</v>
      </c>
      <c r="C14" s="13" t="str">
        <f>配置总览!K108</f>
        <v>Fu_wangguan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s="3" t="str">
        <f t="shared" si="0"/>
        <v>#</v>
      </c>
      <c r="B15" s="3" t="str">
        <f>"外观-武器-妖刃-"&amp;配置总览!$E$102&amp;"-刃"</f>
        <v>外观-武器-妖刃-无相·花颂-刃</v>
      </c>
      <c r="C15" s="13" t="str">
        <f>配置总览!K109</f>
        <v>Ren_wangguan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13">
      <c r="A16" s="3" t="str">
        <f t="shared" si="0"/>
        <v>#</v>
      </c>
      <c r="B16" s="3" t="str">
        <f>"外观-武器-羽岚-"&amp;配置总览!$E$102&amp;"-书"</f>
        <v>外观-武器-羽岚-无相·花颂-书</v>
      </c>
      <c r="C16" s="13" t="str">
        <f>配置总览!K110</f>
        <v>Shu_wangguan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M16">
        <v>1.3</v>
      </c>
    </row>
    <row r="17" spans="1:9">
      <c r="A17" s="3" t="str">
        <f t="shared" si="0"/>
        <v>#</v>
      </c>
      <c r="B17" s="3" t="str">
        <f>"外观-武器-刀刹-"&amp;配置总览!$E$102&amp;"-男刀"</f>
        <v>外观-武器-刀刹-无相·花颂-男刀</v>
      </c>
      <c r="C17" s="13" t="str">
        <f>配置总览!K111</f>
        <v>Dao_wangguan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13">
      <c r="A18" s="3" t="str">
        <f t="shared" si="0"/>
        <v>#</v>
      </c>
      <c r="B18" s="3" t="str">
        <f>"外观-武器-刀刹-"&amp;配置总览!$E$102&amp;"-女刀"</f>
        <v>外观-武器-刀刹-无相·花颂-女刀</v>
      </c>
      <c r="C18" s="25" t="str">
        <f>C17</f>
        <v>Dao_wangguan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M18">
        <v>0.88</v>
      </c>
    </row>
    <row r="19" spans="1:13">
      <c r="A19" s="3" t="str">
        <f t="shared" si="0"/>
        <v>#</v>
      </c>
      <c r="B19" s="3" t="str">
        <f>"外观-武器-妖兽-"&amp;配置总览!$E$102&amp;"-女锤"</f>
        <v>外观-武器-妖兽-无相·花颂-女锤</v>
      </c>
      <c r="C19" s="25" t="str">
        <f>C8</f>
        <v>Chui_wangguan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M19">
        <v>0.8</v>
      </c>
    </row>
    <row r="20" spans="1:9">
      <c r="A20" s="3" t="str">
        <f t="shared" si="0"/>
        <v>#</v>
      </c>
      <c r="B20" s="3" t="str">
        <f>"外观-武器-月仙-"&amp;配置总览!$E$102&amp;"-镰刀"</f>
        <v>外观-武器-月仙-无相·花颂-镰刀</v>
      </c>
      <c r="C20" s="13" t="str">
        <f>配置总览!K112</f>
        <v>Liandao_wangguan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13">
      <c r="A21" s="7" t="str">
        <f>IF(配置总览!$B$74="导出",6000+配置总览!H76*3-2,"#")</f>
        <v>#</v>
      </c>
      <c r="B21" s="3" t="str">
        <f>"外观-背饰-"&amp;配置总览!$E$74&amp;"（妖兽）"</f>
        <v>外观-背饰-野趣风尚（妖兽）</v>
      </c>
      <c r="C21" s="7" t="str">
        <f>配置总览!N77</f>
        <v>Bs_luyingzhilv</v>
      </c>
      <c r="D21">
        <v>0.913</v>
      </c>
      <c r="E21">
        <v>-0.13</v>
      </c>
      <c r="F21">
        <v>-0.03</v>
      </c>
      <c r="G21">
        <v>-83.15833</v>
      </c>
      <c r="H21">
        <v>38.59421</v>
      </c>
      <c r="I21">
        <v>53.42265</v>
      </c>
      <c r="M21" s="22">
        <v>1.1</v>
      </c>
    </row>
    <row r="22" spans="1:13">
      <c r="A22" s="3" t="str">
        <f t="shared" ref="A22:A23" si="1">IFERROR(A21+1,"#")</f>
        <v>#</v>
      </c>
      <c r="B22" s="3" t="str">
        <f>"外观-背饰-"&amp;配置总览!$E$74&amp;"（男）"</f>
        <v>外观-背饰-野趣风尚（男）</v>
      </c>
      <c r="C22" s="3" t="str">
        <f t="shared" ref="C22:C26" si="2">C21</f>
        <v>Bs_luyingzhilv</v>
      </c>
      <c r="D22">
        <v>0.693</v>
      </c>
      <c r="E22">
        <v>-0.179</v>
      </c>
      <c r="F22">
        <v>-0.037</v>
      </c>
      <c r="G22">
        <v>281.6739</v>
      </c>
      <c r="H22">
        <v>65.10108</v>
      </c>
      <c r="I22">
        <v>26.75984</v>
      </c>
      <c r="M22" s="23">
        <v>0.85</v>
      </c>
    </row>
    <row r="23" spans="1:13">
      <c r="A23" s="3" t="str">
        <f t="shared" si="1"/>
        <v>#</v>
      </c>
      <c r="B23" s="3" t="str">
        <f>"外观-背饰-"&amp;配置总览!$E$74&amp;"（女）"</f>
        <v>外观-背饰-野趣风尚（女）</v>
      </c>
      <c r="C23" s="3" t="str">
        <f t="shared" si="2"/>
        <v>Bs_luyingzhilv</v>
      </c>
      <c r="D23">
        <v>0.622</v>
      </c>
      <c r="E23">
        <v>-0.081</v>
      </c>
      <c r="F23">
        <v>-0.003</v>
      </c>
      <c r="G23">
        <v>276.1</v>
      </c>
      <c r="H23">
        <v>29.2</v>
      </c>
      <c r="I23">
        <v>60.49999</v>
      </c>
      <c r="M23" s="24">
        <v>0.75</v>
      </c>
    </row>
    <row r="24" s="2" customFormat="1" spans="1:13">
      <c r="A24" s="7" t="str">
        <f>IF(配置总览!$B$88="导出",6000+配置总览!H90*3-2,"#")</f>
        <v>#</v>
      </c>
      <c r="B24" s="3" t="str">
        <f>"外观-背饰-"&amp;配置总览!$E$88&amp;"·宿（妖兽）"</f>
        <v>外观-背饰-星扇·宿（妖兽）</v>
      </c>
      <c r="C24" s="7" t="str">
        <f>配置总览!N94</f>
        <v>Mq_tianyuanxingshansu</v>
      </c>
      <c r="D24" s="2">
        <v>0.976</v>
      </c>
      <c r="E24" s="2">
        <v>-0.133</v>
      </c>
      <c r="F24" s="2">
        <v>-0.047</v>
      </c>
      <c r="G24" s="2">
        <v>-83.15833</v>
      </c>
      <c r="H24" s="2">
        <v>38.59421</v>
      </c>
      <c r="I24" s="2">
        <v>53.42265</v>
      </c>
      <c r="M24" s="22">
        <f>配置总览!K90</f>
        <v>1.1</v>
      </c>
    </row>
    <row r="25" s="2" customFormat="1" spans="1:13">
      <c r="A25" s="3" t="str">
        <f t="shared" ref="A25:A35" si="3">IFERROR(A24+1,"#")</f>
        <v>#</v>
      </c>
      <c r="B25" s="3" t="str">
        <f>"外观-背饰-"&amp;配置总览!$E$88&amp;"·宿（男）"</f>
        <v>外观-背饰-星扇·宿（男）</v>
      </c>
      <c r="C25" s="3" t="str">
        <f t="shared" si="2"/>
        <v>Mq_tianyuanxingshansu</v>
      </c>
      <c r="D25" s="2">
        <v>0.609</v>
      </c>
      <c r="E25" s="2">
        <v>-0.226</v>
      </c>
      <c r="F25" s="2">
        <v>-0.049</v>
      </c>
      <c r="G25" s="2">
        <v>-72.357</v>
      </c>
      <c r="H25" s="2">
        <v>75.84181</v>
      </c>
      <c r="I25" s="2">
        <v>15.98886</v>
      </c>
      <c r="M25" s="23">
        <f>配置总览!K91</f>
        <v>0.75</v>
      </c>
    </row>
    <row r="26" s="2" customFormat="1" spans="1:13">
      <c r="A26" s="3" t="str">
        <f t="shared" si="3"/>
        <v>#</v>
      </c>
      <c r="B26" s="3" t="str">
        <f>"外观-背饰-"&amp;配置总览!$E$88&amp;"·宿（女）"</f>
        <v>外观-背饰-星扇·宿（女）</v>
      </c>
      <c r="C26" s="3" t="str">
        <f t="shared" si="2"/>
        <v>Mq_tianyuanxingshansu</v>
      </c>
      <c r="D26" s="2">
        <v>0.609</v>
      </c>
      <c r="E26" s="2">
        <v>-0.113</v>
      </c>
      <c r="F26" s="2">
        <v>-0.005</v>
      </c>
      <c r="G26" s="2">
        <v>-83.85312</v>
      </c>
      <c r="H26" s="2">
        <v>29.18612</v>
      </c>
      <c r="I26" s="2">
        <v>60.33353</v>
      </c>
      <c r="M26" s="24">
        <f>配置总览!K92</f>
        <v>0.7</v>
      </c>
    </row>
    <row r="27" s="2" customFormat="1" spans="1:13">
      <c r="A27" s="3" t="str">
        <f t="shared" si="3"/>
        <v>#</v>
      </c>
      <c r="B27" s="3" t="str">
        <f>"外观-背饰-"&amp;配置总览!$E$88&amp;"·星象（妖兽）"</f>
        <v>外观-背饰-星扇·星象（妖兽）</v>
      </c>
      <c r="C27" s="7" t="str">
        <f>配置总览!N95</f>
        <v>Mq_tianyuanxingshantiangen</v>
      </c>
      <c r="D27" s="2">
        <v>0.976</v>
      </c>
      <c r="E27" s="2">
        <v>-0.133</v>
      </c>
      <c r="F27" s="2">
        <v>-0.047</v>
      </c>
      <c r="G27" s="2">
        <v>-83.15833</v>
      </c>
      <c r="H27" s="2">
        <v>38.59421</v>
      </c>
      <c r="I27" s="2">
        <v>53.42265</v>
      </c>
      <c r="M27" s="3">
        <f>M24</f>
        <v>1.1</v>
      </c>
    </row>
    <row r="28" s="2" customFormat="1" spans="1:13">
      <c r="A28" s="3" t="str">
        <f t="shared" si="3"/>
        <v>#</v>
      </c>
      <c r="B28" s="3" t="str">
        <f>"外观-背饰-"&amp;配置总览!$E$88&amp;"·星象（男）"</f>
        <v>外观-背饰-星扇·星象（男）</v>
      </c>
      <c r="C28" s="3" t="str">
        <f t="shared" ref="C28:C32" si="4">C27</f>
        <v>Mq_tianyuanxingshantiangen</v>
      </c>
      <c r="D28" s="2">
        <v>0.609</v>
      </c>
      <c r="E28" s="2">
        <v>-0.226</v>
      </c>
      <c r="F28" s="2">
        <v>-0.049</v>
      </c>
      <c r="G28" s="2">
        <v>-72.357</v>
      </c>
      <c r="H28" s="2">
        <v>75.84181</v>
      </c>
      <c r="I28" s="2">
        <v>15.98886</v>
      </c>
      <c r="M28" s="3">
        <f t="shared" ref="M28:M35" si="5">M25</f>
        <v>0.75</v>
      </c>
    </row>
    <row r="29" s="2" customFormat="1" spans="1:13">
      <c r="A29" s="3" t="str">
        <f t="shared" si="3"/>
        <v>#</v>
      </c>
      <c r="B29" s="3" t="str">
        <f>"外观-背饰-"&amp;配置总览!$E$88&amp;"·星象（女）"</f>
        <v>外观-背饰-星扇·星象（女）</v>
      </c>
      <c r="C29" s="3" t="str">
        <f t="shared" si="4"/>
        <v>Mq_tianyuanxingshantiangen</v>
      </c>
      <c r="D29" s="2">
        <v>0.609</v>
      </c>
      <c r="E29" s="2">
        <v>-0.113</v>
      </c>
      <c r="F29" s="2">
        <v>-0.005</v>
      </c>
      <c r="G29" s="2">
        <v>-83.85312</v>
      </c>
      <c r="H29" s="2">
        <v>29.18612</v>
      </c>
      <c r="I29" s="2">
        <v>60.33353</v>
      </c>
      <c r="M29" s="3">
        <f t="shared" si="5"/>
        <v>0.7</v>
      </c>
    </row>
    <row r="30" s="2" customFormat="1" spans="1:13">
      <c r="A30" s="3" t="str">
        <f t="shared" si="3"/>
        <v>#</v>
      </c>
      <c r="B30" s="3" t="str">
        <f>"外观-背饰-"&amp;配置总览!$E$88&amp;"·天垣（妖兽）"</f>
        <v>外观-背饰-星扇·天垣（妖兽）</v>
      </c>
      <c r="C30" s="7" t="str">
        <f>配置总览!N96</f>
        <v>Mq_tianyuanxingshantianxingyin</v>
      </c>
      <c r="D30" s="2">
        <v>0.976</v>
      </c>
      <c r="E30" s="2">
        <v>-0.133</v>
      </c>
      <c r="F30" s="2">
        <v>-0.047</v>
      </c>
      <c r="G30" s="2">
        <v>-83.15833</v>
      </c>
      <c r="H30" s="2">
        <v>38.59421</v>
      </c>
      <c r="I30" s="2">
        <v>53.42265</v>
      </c>
      <c r="M30" s="3">
        <f t="shared" si="5"/>
        <v>1.1</v>
      </c>
    </row>
    <row r="31" s="2" customFormat="1" spans="1:13">
      <c r="A31" s="3" t="str">
        <f t="shared" si="3"/>
        <v>#</v>
      </c>
      <c r="B31" s="3" t="str">
        <f>"外观-背饰-"&amp;配置总览!$E$88&amp;"·天垣（男）"</f>
        <v>外观-背饰-星扇·天垣（男）</v>
      </c>
      <c r="C31" s="3" t="str">
        <f t="shared" si="4"/>
        <v>Mq_tianyuanxingshantianxingyin</v>
      </c>
      <c r="D31" s="2">
        <v>0.609</v>
      </c>
      <c r="E31" s="2">
        <v>-0.226</v>
      </c>
      <c r="F31" s="2">
        <v>-0.049</v>
      </c>
      <c r="G31" s="2">
        <v>-72.357</v>
      </c>
      <c r="H31" s="2">
        <v>75.84181</v>
      </c>
      <c r="I31" s="2">
        <v>15.98886</v>
      </c>
      <c r="M31" s="3">
        <f t="shared" si="5"/>
        <v>0.75</v>
      </c>
    </row>
    <row r="32" s="2" customFormat="1" spans="1:13">
      <c r="A32" s="3" t="str">
        <f t="shared" si="3"/>
        <v>#</v>
      </c>
      <c r="B32" s="3" t="str">
        <f>"外观-背饰-"&amp;配置总览!$E$88&amp;"·天垣（女）"</f>
        <v>外观-背饰-星扇·天垣（女）</v>
      </c>
      <c r="C32" s="3" t="str">
        <f t="shared" si="4"/>
        <v>Mq_tianyuanxingshantianxingyin</v>
      </c>
      <c r="D32" s="2">
        <v>0.609</v>
      </c>
      <c r="E32" s="2">
        <v>-0.113</v>
      </c>
      <c r="F32" s="2">
        <v>-0.005</v>
      </c>
      <c r="G32" s="2">
        <v>-83.85312</v>
      </c>
      <c r="H32" s="2">
        <v>29.18612</v>
      </c>
      <c r="I32" s="2">
        <v>60.33353</v>
      </c>
      <c r="M32" s="3">
        <f t="shared" si="5"/>
        <v>0.7</v>
      </c>
    </row>
    <row r="33" s="2" customFormat="1" spans="1:13">
      <c r="A33" s="3" t="str">
        <f t="shared" si="3"/>
        <v>#</v>
      </c>
      <c r="B33" s="3" t="str">
        <f>"外观-背饰-"&amp;配置总览!$E$88&amp;"·天星引（妖兽）"</f>
        <v>外观-背饰-星扇·天星引（妖兽）</v>
      </c>
      <c r="C33" s="7" t="str">
        <f>配置总览!N97</f>
        <v>Mq_tiankuiyinxiaoxingxiang</v>
      </c>
      <c r="D33" s="2">
        <v>0.976</v>
      </c>
      <c r="E33" s="2">
        <v>-0.133</v>
      </c>
      <c r="F33" s="2">
        <v>-0.047</v>
      </c>
      <c r="G33" s="2">
        <v>-83.15833</v>
      </c>
      <c r="H33" s="2">
        <v>38.59421</v>
      </c>
      <c r="I33" s="2">
        <v>53.42265</v>
      </c>
      <c r="M33" s="3">
        <f t="shared" si="5"/>
        <v>1.1</v>
      </c>
    </row>
    <row r="34" s="2" customFormat="1" spans="1:13">
      <c r="A34" s="3" t="str">
        <f t="shared" si="3"/>
        <v>#</v>
      </c>
      <c r="B34" s="3" t="str">
        <f>"外观-背饰-"&amp;配置总览!$E$88&amp;"·天星引（男）"</f>
        <v>外观-背饰-星扇·天星引（男）</v>
      </c>
      <c r="C34" s="3" t="str">
        <f>C33</f>
        <v>Mq_tiankuiyinxiaoxingxiang</v>
      </c>
      <c r="D34" s="2">
        <v>0.609</v>
      </c>
      <c r="E34" s="2">
        <v>-0.226</v>
      </c>
      <c r="F34" s="2">
        <v>-0.049</v>
      </c>
      <c r="G34" s="2">
        <v>-72.357</v>
      </c>
      <c r="H34" s="2">
        <v>75.84181</v>
      </c>
      <c r="I34" s="2">
        <v>15.98886</v>
      </c>
      <c r="M34" s="3">
        <f t="shared" si="5"/>
        <v>0.75</v>
      </c>
    </row>
    <row r="35" s="2" customFormat="1" spans="1:13">
      <c r="A35" s="3" t="str">
        <f t="shared" si="3"/>
        <v>#</v>
      </c>
      <c r="B35" s="3" t="str">
        <f>"外观-背饰-"&amp;配置总览!$E$88&amp;"·天星引（女）"</f>
        <v>外观-背饰-星扇·天星引（女）</v>
      </c>
      <c r="C35" s="3" t="str">
        <f>C34</f>
        <v>Mq_tiankuiyinxiaoxingxiang</v>
      </c>
      <c r="D35" s="2">
        <v>0.609</v>
      </c>
      <c r="E35" s="2">
        <v>-0.113</v>
      </c>
      <c r="F35" s="2">
        <v>-0.005</v>
      </c>
      <c r="G35" s="2">
        <v>-83.85312</v>
      </c>
      <c r="H35" s="2">
        <v>29.18612</v>
      </c>
      <c r="I35" s="2">
        <v>60.33353</v>
      </c>
      <c r="M35" s="3">
        <f t="shared" si="5"/>
        <v>0.7</v>
      </c>
    </row>
    <row r="37" spans="3:9">
      <c r="C37" s="18" t="s">
        <v>1112</v>
      </c>
      <c r="D37">
        <v>0.853</v>
      </c>
      <c r="E37">
        <v>-0.147</v>
      </c>
      <c r="F37">
        <v>-0.054</v>
      </c>
      <c r="G37">
        <v>-83.15833</v>
      </c>
      <c r="H37">
        <v>38.59421</v>
      </c>
      <c r="I37">
        <v>53.42265</v>
      </c>
    </row>
    <row r="38" spans="4:9">
      <c r="D38">
        <v>0.576</v>
      </c>
      <c r="E38">
        <v>-0.23</v>
      </c>
      <c r="F38">
        <v>-0.045</v>
      </c>
      <c r="G38">
        <v>-72.357</v>
      </c>
      <c r="H38">
        <v>75.84181</v>
      </c>
      <c r="I38">
        <v>15.98886</v>
      </c>
    </row>
    <row r="39" spans="4:9">
      <c r="D39">
        <v>0.531</v>
      </c>
      <c r="E39">
        <v>-0.126</v>
      </c>
      <c r="F39">
        <v>-0.005</v>
      </c>
      <c r="G39" s="26">
        <v>-83.9</v>
      </c>
      <c r="H39" s="26">
        <v>29.2</v>
      </c>
      <c r="I39" s="26">
        <v>60.5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"/>
  <sheetViews>
    <sheetView workbookViewId="0">
      <selection activeCell="K25" sqref="K25"/>
    </sheetView>
  </sheetViews>
  <sheetFormatPr defaultColWidth="9" defaultRowHeight="14.25"/>
  <cols>
    <col min="2" max="2" width="26.5" customWidth="1"/>
  </cols>
  <sheetData>
    <row r="1" spans="1:27">
      <c r="A1" t="s">
        <v>312</v>
      </c>
      <c r="B1" t="s">
        <v>313</v>
      </c>
      <c r="C1" t="s">
        <v>1113</v>
      </c>
      <c r="D1" s="19" t="s">
        <v>1091</v>
      </c>
      <c r="E1" s="19" t="s">
        <v>1092</v>
      </c>
      <c r="F1" s="19" t="s">
        <v>1093</v>
      </c>
      <c r="G1" s="19" t="s">
        <v>1094</v>
      </c>
      <c r="H1" s="19" t="s">
        <v>1095</v>
      </c>
      <c r="I1" s="19" t="s">
        <v>1096</v>
      </c>
      <c r="J1" s="19" t="s">
        <v>1114</v>
      </c>
      <c r="K1" t="s">
        <v>1115</v>
      </c>
      <c r="L1" t="s">
        <v>1116</v>
      </c>
      <c r="M1" t="s">
        <v>1117</v>
      </c>
      <c r="N1" t="s">
        <v>1118</v>
      </c>
      <c r="O1" t="s">
        <v>1119</v>
      </c>
      <c r="P1" s="19" t="s">
        <v>1120</v>
      </c>
      <c r="Q1" s="19" t="s">
        <v>1121</v>
      </c>
      <c r="R1" s="19" t="s">
        <v>1122</v>
      </c>
      <c r="S1" s="19" t="s">
        <v>1123</v>
      </c>
      <c r="T1" s="19" t="s">
        <v>1124</v>
      </c>
      <c r="U1" s="19" t="s">
        <v>1125</v>
      </c>
      <c r="V1" s="19" t="s">
        <v>1126</v>
      </c>
      <c r="W1" t="s">
        <v>1127</v>
      </c>
      <c r="X1" t="s">
        <v>1128</v>
      </c>
      <c r="Y1" t="s">
        <v>1129</v>
      </c>
      <c r="Z1" t="s">
        <v>1130</v>
      </c>
      <c r="AA1" t="s">
        <v>1131</v>
      </c>
    </row>
    <row r="2" spans="1:27">
      <c r="A2" t="s">
        <v>315</v>
      </c>
      <c r="B2" t="s">
        <v>316</v>
      </c>
      <c r="C2" t="s">
        <v>315</v>
      </c>
      <c r="D2" s="19" t="s">
        <v>445</v>
      </c>
      <c r="E2" s="19" t="s">
        <v>445</v>
      </c>
      <c r="F2" s="19" t="s">
        <v>445</v>
      </c>
      <c r="G2" s="19" t="s">
        <v>445</v>
      </c>
      <c r="H2" s="19" t="s">
        <v>445</v>
      </c>
      <c r="I2" s="19" t="s">
        <v>445</v>
      </c>
      <c r="J2" s="19" t="s">
        <v>315</v>
      </c>
      <c r="K2" t="s">
        <v>445</v>
      </c>
      <c r="L2" t="s">
        <v>315</v>
      </c>
      <c r="M2" t="s">
        <v>445</v>
      </c>
      <c r="N2" t="s">
        <v>445</v>
      </c>
      <c r="O2" t="s">
        <v>445</v>
      </c>
      <c r="P2" s="19" t="s">
        <v>445</v>
      </c>
      <c r="Q2" s="19" t="s">
        <v>445</v>
      </c>
      <c r="R2" s="19" t="s">
        <v>445</v>
      </c>
      <c r="S2" s="19" t="s">
        <v>445</v>
      </c>
      <c r="T2" s="19" t="s">
        <v>445</v>
      </c>
      <c r="U2" s="19" t="s">
        <v>445</v>
      </c>
      <c r="V2" s="19" t="s">
        <v>315</v>
      </c>
      <c r="W2" t="s">
        <v>445</v>
      </c>
      <c r="X2" t="s">
        <v>315</v>
      </c>
      <c r="Y2" t="s">
        <v>445</v>
      </c>
      <c r="Z2" t="s">
        <v>445</v>
      </c>
      <c r="AA2" t="s">
        <v>445</v>
      </c>
    </row>
    <row r="3" spans="1:22">
      <c r="A3" t="s">
        <v>317</v>
      </c>
      <c r="D3" s="19"/>
      <c r="E3" s="19"/>
      <c r="F3" s="19"/>
      <c r="G3" s="19"/>
      <c r="H3" s="19"/>
      <c r="I3" s="19"/>
      <c r="J3" s="19"/>
      <c r="P3" s="19"/>
      <c r="Q3" s="19"/>
      <c r="R3" s="19"/>
      <c r="S3" s="19"/>
      <c r="T3" s="19"/>
      <c r="U3" s="19"/>
      <c r="V3" s="19"/>
    </row>
    <row r="4" spans="1:27">
      <c r="A4" t="s">
        <v>448</v>
      </c>
      <c r="B4" t="s">
        <v>450</v>
      </c>
      <c r="C4" t="s">
        <v>1132</v>
      </c>
      <c r="D4" s="19" t="s">
        <v>1133</v>
      </c>
      <c r="E4" s="19" t="s">
        <v>1103</v>
      </c>
      <c r="F4" s="19" t="s">
        <v>1104</v>
      </c>
      <c r="G4" s="19" t="s">
        <v>1105</v>
      </c>
      <c r="H4" s="19" t="s">
        <v>1106</v>
      </c>
      <c r="I4" s="19" t="s">
        <v>1107</v>
      </c>
      <c r="J4" s="19" t="s">
        <v>1134</v>
      </c>
      <c r="K4" t="s">
        <v>1135</v>
      </c>
      <c r="L4" t="s">
        <v>1136</v>
      </c>
      <c r="M4" t="s">
        <v>1102</v>
      </c>
      <c r="N4" t="s">
        <v>1103</v>
      </c>
      <c r="O4" t="s">
        <v>1104</v>
      </c>
      <c r="P4" s="19" t="s">
        <v>1137</v>
      </c>
      <c r="Q4" s="19" t="s">
        <v>1103</v>
      </c>
      <c r="R4" s="19" t="s">
        <v>1104</v>
      </c>
      <c r="S4" s="19" t="s">
        <v>1105</v>
      </c>
      <c r="T4" s="19" t="s">
        <v>1106</v>
      </c>
      <c r="U4" s="19" t="s">
        <v>1107</v>
      </c>
      <c r="V4" s="19" t="s">
        <v>1134</v>
      </c>
      <c r="W4" t="s">
        <v>1135</v>
      </c>
      <c r="X4" t="s">
        <v>1136</v>
      </c>
      <c r="Y4" t="s">
        <v>1102</v>
      </c>
      <c r="Z4" t="s">
        <v>1103</v>
      </c>
      <c r="AA4" t="s">
        <v>1104</v>
      </c>
    </row>
    <row r="5" spans="1:27">
      <c r="A5" s="7" t="str">
        <f>IF(配置总览!$B$32="导出",配置总览!$H$34+9500+4,"#")</f>
        <v>#</v>
      </c>
      <c r="B5" s="7" t="str">
        <f>"坐骑-"&amp;配置总览!E32</f>
        <v>坐骑-小狗蛇-吉祥如亿</v>
      </c>
      <c r="C5" s="3" t="str">
        <f>CharModel!A24</f>
        <v>#</v>
      </c>
      <c r="D5">
        <v>0</v>
      </c>
      <c r="E5">
        <v>-0.7</v>
      </c>
      <c r="F5">
        <v>5.33</v>
      </c>
      <c r="G5">
        <v>0</v>
      </c>
      <c r="H5">
        <v>-135</v>
      </c>
      <c r="I5">
        <v>0</v>
      </c>
      <c r="J5" s="20">
        <v>45</v>
      </c>
      <c r="K5">
        <v>0</v>
      </c>
      <c r="L5">
        <v>0</v>
      </c>
      <c r="M5">
        <v>0</v>
      </c>
      <c r="N5">
        <v>0</v>
      </c>
      <c r="O5">
        <v>0</v>
      </c>
      <c r="P5">
        <v>0.31</v>
      </c>
      <c r="Q5">
        <v>-0.81</v>
      </c>
      <c r="R5">
        <v>5.54</v>
      </c>
      <c r="S5">
        <v>0</v>
      </c>
      <c r="T5">
        <v>-135</v>
      </c>
      <c r="U5">
        <v>0</v>
      </c>
      <c r="V5" s="20">
        <v>45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7" t="str">
        <f>IF(配置总览!$B$46="导出",配置总览!$H$48+10000-5,"#")</f>
        <v>#</v>
      </c>
      <c r="B6" s="7" t="str">
        <f>"飞行器-"&amp;配置总览!E46</f>
        <v>飞行器-小飞猪</v>
      </c>
      <c r="C6" s="3" t="str">
        <f>CharModel!A25</f>
        <v>#</v>
      </c>
      <c r="D6">
        <v>0</v>
      </c>
      <c r="E6">
        <v>-0.93</v>
      </c>
      <c r="F6">
        <v>9.19</v>
      </c>
      <c r="G6">
        <v>0</v>
      </c>
      <c r="H6">
        <v>-155</v>
      </c>
      <c r="I6" s="8">
        <v>0</v>
      </c>
      <c r="J6" s="21">
        <v>45</v>
      </c>
      <c r="K6" s="8">
        <v>0</v>
      </c>
      <c r="L6" s="8">
        <v>0</v>
      </c>
      <c r="M6" s="8">
        <v>0</v>
      </c>
      <c r="N6" s="8">
        <v>-0.8</v>
      </c>
      <c r="O6" s="8">
        <v>4</v>
      </c>
      <c r="P6">
        <v>0</v>
      </c>
      <c r="Q6">
        <v>-1.72</v>
      </c>
      <c r="R6">
        <v>6.78</v>
      </c>
      <c r="S6">
        <v>0</v>
      </c>
      <c r="T6">
        <v>-175</v>
      </c>
      <c r="U6">
        <v>0</v>
      </c>
      <c r="V6" s="20">
        <v>45</v>
      </c>
      <c r="W6">
        <v>0</v>
      </c>
      <c r="X6">
        <v>0</v>
      </c>
      <c r="Y6">
        <v>0</v>
      </c>
      <c r="Z6">
        <v>-0.8</v>
      </c>
      <c r="AA6">
        <v>4</v>
      </c>
    </row>
    <row r="7" spans="1:27">
      <c r="A7" s="7" t="str">
        <f>IF(配置总览!$B$60="导出",配置总览!$H$62+10000-5,"#")</f>
        <v>#</v>
      </c>
      <c r="B7" s="7" t="str">
        <f>"飞行器-"&amp;配置总览!E60</f>
        <v>飞行器-仙玉台</v>
      </c>
      <c r="C7" s="3" t="str">
        <f>CharModel!A26</f>
        <v>#</v>
      </c>
      <c r="D7">
        <v>0</v>
      </c>
      <c r="E7">
        <v>-1.1</v>
      </c>
      <c r="F7">
        <v>7</v>
      </c>
      <c r="G7">
        <v>0</v>
      </c>
      <c r="H7">
        <v>140</v>
      </c>
      <c r="I7">
        <v>0</v>
      </c>
      <c r="J7">
        <v>60</v>
      </c>
      <c r="K7">
        <v>0</v>
      </c>
      <c r="L7">
        <v>0</v>
      </c>
      <c r="M7">
        <v>0</v>
      </c>
      <c r="N7">
        <v>-1.1</v>
      </c>
      <c r="O7">
        <v>10</v>
      </c>
      <c r="P7">
        <v>0</v>
      </c>
      <c r="Q7">
        <v>-1.1</v>
      </c>
      <c r="R7">
        <v>7</v>
      </c>
      <c r="S7">
        <v>0</v>
      </c>
      <c r="T7">
        <v>140</v>
      </c>
      <c r="U7">
        <v>0</v>
      </c>
      <c r="V7">
        <v>60</v>
      </c>
      <c r="W7">
        <v>0</v>
      </c>
      <c r="X7">
        <v>0</v>
      </c>
      <c r="Y7">
        <v>0</v>
      </c>
      <c r="Z7">
        <v>-1.1</v>
      </c>
      <c r="AA7">
        <v>10</v>
      </c>
    </row>
    <row r="8" spans="1:27">
      <c r="A8" s="7" t="str">
        <f>IF(配置总览!$B$61="导出",配置总览!$H$62+10000-5+配置总览!A63,"#")</f>
        <v>#</v>
      </c>
      <c r="B8" s="7" t="str">
        <f>"飞行器-"&amp;配置总览!E61</f>
        <v>飞行器-仙合翼</v>
      </c>
      <c r="C8" s="3" t="str">
        <f>CharModel!A27</f>
        <v>#</v>
      </c>
      <c r="D8">
        <v>0</v>
      </c>
      <c r="E8">
        <v>-1.2</v>
      </c>
      <c r="F8">
        <v>8</v>
      </c>
      <c r="G8">
        <v>0</v>
      </c>
      <c r="H8">
        <v>150</v>
      </c>
      <c r="I8">
        <v>0</v>
      </c>
      <c r="J8">
        <v>35</v>
      </c>
      <c r="K8">
        <v>0</v>
      </c>
      <c r="L8">
        <v>0</v>
      </c>
      <c r="M8">
        <v>0</v>
      </c>
      <c r="N8">
        <v>-1.2</v>
      </c>
      <c r="O8">
        <v>8</v>
      </c>
      <c r="P8">
        <v>0</v>
      </c>
      <c r="Q8">
        <v>-1.2</v>
      </c>
      <c r="R8">
        <v>8</v>
      </c>
      <c r="S8">
        <v>0</v>
      </c>
      <c r="T8">
        <v>150</v>
      </c>
      <c r="U8">
        <v>0</v>
      </c>
      <c r="V8">
        <v>35</v>
      </c>
      <c r="W8">
        <v>0</v>
      </c>
      <c r="X8">
        <v>0</v>
      </c>
      <c r="Y8">
        <v>0</v>
      </c>
      <c r="Z8">
        <v>-1.2</v>
      </c>
      <c r="AA8">
        <v>8</v>
      </c>
    </row>
    <row r="9" spans="1:27">
      <c r="A9" s="7" t="str">
        <f>IF(配置总览!$B$62="导出",配置总览!$H$62+10000-5+配置总览!A64,"#")</f>
        <v>#</v>
      </c>
      <c r="B9" s="7" t="str">
        <f>"飞行器-"&amp;配置总览!E62</f>
        <v>飞行器-白玉仙</v>
      </c>
      <c r="C9" s="3" t="str">
        <f>CharModel!A28</f>
        <v>#</v>
      </c>
      <c r="D9">
        <v>0</v>
      </c>
      <c r="E9">
        <v>-3.8</v>
      </c>
      <c r="F9">
        <v>7</v>
      </c>
      <c r="G9">
        <v>0</v>
      </c>
      <c r="H9">
        <v>-155</v>
      </c>
      <c r="I9">
        <v>0</v>
      </c>
      <c r="J9">
        <v>45</v>
      </c>
      <c r="K9">
        <v>20</v>
      </c>
      <c r="L9">
        <v>0</v>
      </c>
      <c r="M9">
        <v>0</v>
      </c>
      <c r="N9">
        <v>-3.8</v>
      </c>
      <c r="O9">
        <v>7</v>
      </c>
      <c r="P9">
        <v>0</v>
      </c>
      <c r="Q9">
        <v>-3.8</v>
      </c>
      <c r="R9">
        <v>7</v>
      </c>
      <c r="S9">
        <v>0</v>
      </c>
      <c r="T9">
        <v>-155</v>
      </c>
      <c r="U9">
        <v>0</v>
      </c>
      <c r="V9">
        <v>45</v>
      </c>
      <c r="W9">
        <v>20</v>
      </c>
      <c r="X9">
        <v>0</v>
      </c>
      <c r="Y9">
        <v>0</v>
      </c>
      <c r="Z9">
        <v>-3.8</v>
      </c>
      <c r="AA9">
        <v>7</v>
      </c>
    </row>
    <row r="10" s="2" customFormat="1" spans="1:27">
      <c r="A10" s="11" t="str">
        <f>IF(配置总览!$B$88="导出",10500+配置总览!H91*4-27,"#")</f>
        <v>#</v>
      </c>
      <c r="B10" s="11" t="str">
        <f>配置总览!$E$89&amp;"·宿"</f>
        <v>天渊星扇·宿</v>
      </c>
      <c r="C10" s="10" t="str">
        <f>CharModel!A29</f>
        <v>#</v>
      </c>
      <c r="D10" s="2">
        <v>0</v>
      </c>
      <c r="E10" s="2">
        <v>-0.8</v>
      </c>
      <c r="F10" s="2">
        <v>2.8</v>
      </c>
      <c r="G10" s="2">
        <v>0</v>
      </c>
      <c r="H10" s="2">
        <v>0</v>
      </c>
      <c r="I10" s="2">
        <v>0</v>
      </c>
      <c r="J10" s="2">
        <v>35</v>
      </c>
      <c r="K10" s="2">
        <v>0</v>
      </c>
      <c r="L10" s="2">
        <v>0</v>
      </c>
      <c r="M10" s="2">
        <v>0</v>
      </c>
      <c r="N10" s="2">
        <v>0.26</v>
      </c>
      <c r="O10" s="2">
        <v>-1.2</v>
      </c>
      <c r="P10" s="2">
        <v>0</v>
      </c>
      <c r="Q10" s="2">
        <v>-0.8</v>
      </c>
      <c r="R10" s="2">
        <v>2.8</v>
      </c>
      <c r="S10" s="2">
        <v>0</v>
      </c>
      <c r="T10" s="2">
        <v>0</v>
      </c>
      <c r="U10" s="2">
        <v>0</v>
      </c>
      <c r="V10" s="2">
        <v>35</v>
      </c>
      <c r="W10" s="2">
        <v>0</v>
      </c>
      <c r="X10" s="2">
        <v>0</v>
      </c>
      <c r="Y10" s="2">
        <v>0</v>
      </c>
      <c r="Z10" s="2">
        <v>0.26</v>
      </c>
      <c r="AA10" s="2">
        <v>-1.2</v>
      </c>
    </row>
    <row r="11" s="2" customFormat="1" spans="1:27">
      <c r="A11" s="3" t="str">
        <f t="shared" ref="A11:A13" si="0">IFERROR(A10+1,"#")</f>
        <v>#</v>
      </c>
      <c r="B11" s="11" t="str">
        <f>配置总览!$E$89&amp;"·星象"</f>
        <v>天渊星扇·星象</v>
      </c>
      <c r="C11" s="10" t="str">
        <f>CharModel!A30</f>
        <v>#</v>
      </c>
      <c r="D11" s="2">
        <v>0</v>
      </c>
      <c r="E11" s="2">
        <v>-0.8</v>
      </c>
      <c r="F11" s="2">
        <v>2.8</v>
      </c>
      <c r="G11" s="2">
        <v>0</v>
      </c>
      <c r="H11" s="2">
        <v>0</v>
      </c>
      <c r="I11" s="2">
        <v>0</v>
      </c>
      <c r="J11" s="2">
        <v>35</v>
      </c>
      <c r="K11" s="2">
        <v>0</v>
      </c>
      <c r="L11" s="2">
        <v>0</v>
      </c>
      <c r="M11" s="2">
        <v>0</v>
      </c>
      <c r="N11" s="2">
        <v>0.26</v>
      </c>
      <c r="O11" s="2">
        <v>-1.2</v>
      </c>
      <c r="P11" s="2">
        <v>0</v>
      </c>
      <c r="Q11" s="2">
        <v>-0.8</v>
      </c>
      <c r="R11" s="2">
        <v>2.8</v>
      </c>
      <c r="S11" s="2">
        <v>0</v>
      </c>
      <c r="T11" s="2">
        <v>0</v>
      </c>
      <c r="U11" s="2">
        <v>0</v>
      </c>
      <c r="V11" s="2">
        <v>35</v>
      </c>
      <c r="W11" s="2">
        <v>0</v>
      </c>
      <c r="X11" s="2">
        <v>0</v>
      </c>
      <c r="Y11" s="2">
        <v>0</v>
      </c>
      <c r="Z11" s="2">
        <v>0.26</v>
      </c>
      <c r="AA11" s="2">
        <v>-1.2</v>
      </c>
    </row>
    <row r="12" s="2" customFormat="1" spans="1:27">
      <c r="A12" s="3" t="str">
        <f t="shared" si="0"/>
        <v>#</v>
      </c>
      <c r="B12" s="11" t="str">
        <f>配置总览!$E$89&amp;"·天垣"</f>
        <v>天渊星扇·天垣</v>
      </c>
      <c r="C12" s="10" t="str">
        <f>CharModel!A31</f>
        <v>#</v>
      </c>
      <c r="D12" s="2">
        <v>0</v>
      </c>
      <c r="E12" s="2">
        <v>-0.8</v>
      </c>
      <c r="F12" s="2">
        <v>2.8</v>
      </c>
      <c r="G12" s="2">
        <v>0</v>
      </c>
      <c r="H12" s="2">
        <v>0</v>
      </c>
      <c r="I12" s="2">
        <v>0</v>
      </c>
      <c r="J12" s="2">
        <v>35</v>
      </c>
      <c r="K12" s="2">
        <v>0</v>
      </c>
      <c r="L12" s="2">
        <v>0</v>
      </c>
      <c r="M12" s="2">
        <v>0</v>
      </c>
      <c r="N12" s="2">
        <v>0.26</v>
      </c>
      <c r="O12" s="2">
        <v>-1.2</v>
      </c>
      <c r="P12" s="2">
        <v>0</v>
      </c>
      <c r="Q12" s="2">
        <v>-0.8</v>
      </c>
      <c r="R12" s="2">
        <v>2.8</v>
      </c>
      <c r="S12" s="2">
        <v>0</v>
      </c>
      <c r="T12" s="2">
        <v>0</v>
      </c>
      <c r="U12" s="2">
        <v>0</v>
      </c>
      <c r="V12" s="2">
        <v>35</v>
      </c>
      <c r="W12" s="2">
        <v>0</v>
      </c>
      <c r="X12" s="2">
        <v>0</v>
      </c>
      <c r="Y12" s="2">
        <v>0</v>
      </c>
      <c r="Z12" s="2">
        <v>0.26</v>
      </c>
      <c r="AA12" s="2">
        <v>-1.2</v>
      </c>
    </row>
    <row r="13" s="2" customFormat="1" spans="1:27">
      <c r="A13" s="3" t="str">
        <f t="shared" si="0"/>
        <v>#</v>
      </c>
      <c r="B13" s="11" t="str">
        <f>配置总览!$E$89&amp;"·天星引"</f>
        <v>天渊星扇·天星引</v>
      </c>
      <c r="C13" s="10" t="str">
        <f>CharModel!A32</f>
        <v>#</v>
      </c>
      <c r="D13" s="2">
        <v>0</v>
      </c>
      <c r="E13" s="2">
        <v>-0.8</v>
      </c>
      <c r="F13" s="2">
        <v>2.8</v>
      </c>
      <c r="G13" s="2">
        <v>0</v>
      </c>
      <c r="H13" s="2">
        <v>0</v>
      </c>
      <c r="I13" s="2">
        <v>0</v>
      </c>
      <c r="J13" s="2">
        <v>35</v>
      </c>
      <c r="K13" s="2">
        <v>0</v>
      </c>
      <c r="L13" s="2">
        <v>0</v>
      </c>
      <c r="M13" s="2">
        <v>0</v>
      </c>
      <c r="N13" s="2">
        <v>0.26</v>
      </c>
      <c r="O13" s="2">
        <v>-1.2</v>
      </c>
      <c r="P13" s="2">
        <v>0</v>
      </c>
      <c r="Q13" s="2">
        <v>-0.8</v>
      </c>
      <c r="R13" s="2">
        <v>2.8</v>
      </c>
      <c r="S13" s="2">
        <v>0</v>
      </c>
      <c r="T13" s="2">
        <v>0</v>
      </c>
      <c r="U13" s="2">
        <v>0</v>
      </c>
      <c r="V13" s="2">
        <v>35</v>
      </c>
      <c r="W13" s="2">
        <v>0</v>
      </c>
      <c r="X13" s="2">
        <v>0</v>
      </c>
      <c r="Y13" s="2">
        <v>0</v>
      </c>
      <c r="Z13" s="2">
        <v>0.26</v>
      </c>
      <c r="AA13" s="2">
        <v>-1.2</v>
      </c>
    </row>
    <row r="15" spans="2:22">
      <c r="B15" s="18" t="s">
        <v>1138</v>
      </c>
      <c r="D15">
        <v>0</v>
      </c>
      <c r="E15">
        <v>-0.72</v>
      </c>
      <c r="F15">
        <v>5</v>
      </c>
      <c r="G15">
        <v>0</v>
      </c>
      <c r="H15">
        <v>-135</v>
      </c>
      <c r="I15">
        <v>0</v>
      </c>
      <c r="J15">
        <v>60</v>
      </c>
      <c r="K15">
        <v>0</v>
      </c>
      <c r="L15">
        <v>0</v>
      </c>
      <c r="M15">
        <v>0</v>
      </c>
      <c r="N15">
        <v>0</v>
      </c>
      <c r="O15">
        <v>0</v>
      </c>
      <c r="P15">
        <v>0.1</v>
      </c>
      <c r="Q15">
        <v>-0.84</v>
      </c>
      <c r="R15">
        <v>7.22</v>
      </c>
      <c r="S15">
        <v>0</v>
      </c>
      <c r="T15">
        <v>-145</v>
      </c>
      <c r="U15">
        <v>0</v>
      </c>
      <c r="V15">
        <v>40</v>
      </c>
    </row>
    <row r="16" spans="2:22">
      <c r="B16" s="18" t="s">
        <v>1139</v>
      </c>
      <c r="D16">
        <v>0</v>
      </c>
      <c r="E16">
        <v>-1.4</v>
      </c>
      <c r="F16">
        <v>6.11</v>
      </c>
      <c r="G16">
        <v>0</v>
      </c>
      <c r="H16">
        <v>-145</v>
      </c>
      <c r="I16" s="8">
        <v>0</v>
      </c>
      <c r="J16" s="8">
        <v>60</v>
      </c>
      <c r="K16" s="8">
        <v>0</v>
      </c>
      <c r="L16" s="8">
        <v>0</v>
      </c>
      <c r="M16" s="8">
        <v>0</v>
      </c>
      <c r="N16" s="8">
        <v>-0.8</v>
      </c>
      <c r="O16" s="8">
        <v>4</v>
      </c>
      <c r="P16" s="8">
        <v>-0.21</v>
      </c>
      <c r="Q16">
        <v>-2.54</v>
      </c>
      <c r="R16" s="8">
        <v>4.98</v>
      </c>
      <c r="S16" s="8">
        <v>0</v>
      </c>
      <c r="T16" s="8">
        <v>-170</v>
      </c>
      <c r="U16">
        <v>0</v>
      </c>
      <c r="V16">
        <v>60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2"/>
  <sheetViews>
    <sheetView workbookViewId="0">
      <selection activeCell="E23" sqref="E23"/>
    </sheetView>
  </sheetViews>
  <sheetFormatPr defaultColWidth="9" defaultRowHeight="14.25"/>
  <cols>
    <col min="2" max="2" width="21.25" customWidth="1"/>
    <col min="3" max="3" width="15.375" customWidth="1"/>
    <col min="4" max="4" width="36.75" customWidth="1"/>
    <col min="5" max="5" width="23.625" customWidth="1"/>
  </cols>
  <sheetData>
    <row r="1" s="1" customFormat="1" spans="1:39">
      <c r="A1" s="1" t="s">
        <v>312</v>
      </c>
      <c r="B1" s="1" t="s">
        <v>389</v>
      </c>
      <c r="C1" s="1" t="s">
        <v>389</v>
      </c>
      <c r="D1" s="1" t="s">
        <v>1090</v>
      </c>
      <c r="E1" s="1" t="s">
        <v>1140</v>
      </c>
      <c r="F1" s="1" t="s">
        <v>1141</v>
      </c>
      <c r="G1" s="1" t="s">
        <v>1142</v>
      </c>
      <c r="H1" s="1" t="s">
        <v>1143</v>
      </c>
      <c r="I1" s="1" t="s">
        <v>1144</v>
      </c>
      <c r="J1" s="1" t="s">
        <v>1099</v>
      </c>
      <c r="K1" s="1" t="s">
        <v>1145</v>
      </c>
      <c r="L1" s="1" t="s">
        <v>1146</v>
      </c>
      <c r="M1" s="1" t="s">
        <v>1147</v>
      </c>
      <c r="N1" s="1" t="s">
        <v>1148</v>
      </c>
      <c r="O1" s="1" t="s">
        <v>1149</v>
      </c>
      <c r="P1" s="1" t="s">
        <v>1150</v>
      </c>
      <c r="Q1" s="1" t="s">
        <v>1151</v>
      </c>
      <c r="R1" s="1" t="s">
        <v>1152</v>
      </c>
      <c r="S1" s="1" t="s">
        <v>1153</v>
      </c>
      <c r="T1" s="1" t="s">
        <v>1154</v>
      </c>
      <c r="U1" s="1" t="s">
        <v>1155</v>
      </c>
      <c r="V1" s="1" t="s">
        <v>1156</v>
      </c>
      <c r="W1" s="1" t="s">
        <v>1157</v>
      </c>
      <c r="X1" s="1" t="s">
        <v>1158</v>
      </c>
      <c r="Y1" s="1" t="s">
        <v>1159</v>
      </c>
      <c r="Z1" s="1" t="s">
        <v>1160</v>
      </c>
      <c r="AA1" s="1" t="s">
        <v>1161</v>
      </c>
      <c r="AB1" s="1" t="s">
        <v>1162</v>
      </c>
      <c r="AC1" s="1" t="s">
        <v>1163</v>
      </c>
      <c r="AD1" s="1" t="s">
        <v>1164</v>
      </c>
      <c r="AE1" s="1" t="s">
        <v>1165</v>
      </c>
      <c r="AF1" s="1" t="s">
        <v>1166</v>
      </c>
      <c r="AG1" s="1" t="s">
        <v>1167</v>
      </c>
      <c r="AH1" s="1" t="s">
        <v>1168</v>
      </c>
      <c r="AI1" s="1" t="s">
        <v>1169</v>
      </c>
      <c r="AJ1" s="1" t="s">
        <v>1170</v>
      </c>
      <c r="AK1" s="1" t="s">
        <v>1171</v>
      </c>
      <c r="AL1" s="1" t="s">
        <v>1172</v>
      </c>
      <c r="AM1" s="1" t="s">
        <v>1173</v>
      </c>
    </row>
    <row r="2" s="1" customFormat="1" spans="1:39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316</v>
      </c>
      <c r="F2" s="1" t="s">
        <v>315</v>
      </c>
      <c r="G2" s="1" t="s">
        <v>315</v>
      </c>
      <c r="H2" s="1" t="s">
        <v>445</v>
      </c>
      <c r="I2" s="1" t="s">
        <v>445</v>
      </c>
      <c r="J2" s="1" t="s">
        <v>445</v>
      </c>
      <c r="K2" s="1" t="s">
        <v>445</v>
      </c>
      <c r="L2" s="1" t="s">
        <v>824</v>
      </c>
      <c r="M2" s="1" t="s">
        <v>824</v>
      </c>
      <c r="N2" s="1" t="s">
        <v>824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445</v>
      </c>
      <c r="Z2" s="1" t="s">
        <v>445</v>
      </c>
      <c r="AA2" s="1" t="s">
        <v>445</v>
      </c>
      <c r="AB2" s="1" t="s">
        <v>445</v>
      </c>
      <c r="AC2" s="1" t="s">
        <v>445</v>
      </c>
      <c r="AD2" s="1" t="s">
        <v>445</v>
      </c>
      <c r="AE2" s="1" t="s">
        <v>315</v>
      </c>
      <c r="AF2" s="1" t="s">
        <v>315</v>
      </c>
      <c r="AG2" s="1" t="s">
        <v>445</v>
      </c>
      <c r="AH2" s="1" t="s">
        <v>445</v>
      </c>
      <c r="AI2" s="1" t="s">
        <v>445</v>
      </c>
      <c r="AJ2" s="1" t="s">
        <v>315</v>
      </c>
      <c r="AK2" s="1" t="s">
        <v>445</v>
      </c>
      <c r="AL2" s="1" t="s">
        <v>445</v>
      </c>
      <c r="AM2" s="1" t="s">
        <v>445</v>
      </c>
    </row>
    <row r="3" s="1" customFormat="1" spans="1:1">
      <c r="A3" s="1" t="s">
        <v>317</v>
      </c>
    </row>
    <row r="4" s="1" customFormat="1" spans="1:39">
      <c r="A4" s="1" t="s">
        <v>1100</v>
      </c>
      <c r="B4" s="1" t="s">
        <v>319</v>
      </c>
      <c r="C4" s="1" t="s">
        <v>450</v>
      </c>
      <c r="D4" s="1" t="s">
        <v>1101</v>
      </c>
      <c r="E4" s="1" t="s">
        <v>1174</v>
      </c>
      <c r="F4" s="1" t="s">
        <v>1175</v>
      </c>
      <c r="G4" s="1" t="s">
        <v>1176</v>
      </c>
      <c r="H4" s="1" t="s">
        <v>1177</v>
      </c>
      <c r="I4" s="1" t="s">
        <v>1178</v>
      </c>
      <c r="J4" s="1" t="s">
        <v>1179</v>
      </c>
      <c r="K4" s="1" t="s">
        <v>1180</v>
      </c>
      <c r="L4" s="1" t="s">
        <v>1181</v>
      </c>
      <c r="M4" s="1" t="s">
        <v>1182</v>
      </c>
      <c r="N4" s="1" t="s">
        <v>1183</v>
      </c>
      <c r="O4" s="1" t="s">
        <v>1184</v>
      </c>
      <c r="P4" s="1" t="s">
        <v>1185</v>
      </c>
      <c r="Q4" s="1" t="s">
        <v>1186</v>
      </c>
      <c r="R4" s="1" t="s">
        <v>1187</v>
      </c>
      <c r="S4" s="1" t="s">
        <v>1188</v>
      </c>
      <c r="T4" s="1" t="s">
        <v>1189</v>
      </c>
      <c r="U4" s="1" t="s">
        <v>1190</v>
      </c>
      <c r="V4" s="1" t="s">
        <v>1191</v>
      </c>
      <c r="W4" s="1" t="s">
        <v>1192</v>
      </c>
      <c r="X4" s="1" t="s">
        <v>1193</v>
      </c>
      <c r="Y4" s="1" t="s">
        <v>1194</v>
      </c>
      <c r="Z4" s="1" t="s">
        <v>1195</v>
      </c>
      <c r="AA4" s="1" t="s">
        <v>1196</v>
      </c>
      <c r="AB4" s="1" t="s">
        <v>1197</v>
      </c>
      <c r="AC4" s="1" t="s">
        <v>1198</v>
      </c>
      <c r="AD4" s="1" t="s">
        <v>1199</v>
      </c>
      <c r="AE4" s="1" t="s">
        <v>1200</v>
      </c>
      <c r="AF4" s="1" t="s">
        <v>1201</v>
      </c>
      <c r="AG4" s="1" t="s">
        <v>1202</v>
      </c>
      <c r="AH4" s="1" t="s">
        <v>1203</v>
      </c>
      <c r="AI4" s="1" t="s">
        <v>1204</v>
      </c>
      <c r="AJ4" s="1" t="s">
        <v>1205</v>
      </c>
      <c r="AK4" s="1" t="s">
        <v>1206</v>
      </c>
      <c r="AL4" s="1" t="s">
        <v>1207</v>
      </c>
      <c r="AM4" s="1" t="s">
        <v>1208</v>
      </c>
    </row>
    <row r="5" spans="1:39">
      <c r="A5" s="7" t="str">
        <f>IF(配置总览!$B$18="导出",30000+配置总览!H20*25-24,"#")</f>
        <v>#</v>
      </c>
      <c r="B5" s="3" t="str">
        <f>配置总览!$E$18&amp;"（妖兽男）"</f>
        <v>蜜语轻舞（妖兽男）</v>
      </c>
      <c r="C5" t="s">
        <v>1209</v>
      </c>
      <c r="D5" s="13" t="str">
        <f>配置总览!N22</f>
        <v>pbrmodel/Zysz_yaoshounan_mifeng</v>
      </c>
      <c r="E5" t="s">
        <v>1210</v>
      </c>
      <c r="F5">
        <v>58</v>
      </c>
      <c r="G5">
        <v>44</v>
      </c>
      <c r="H5">
        <v>1.6</v>
      </c>
      <c r="I5">
        <v>2</v>
      </c>
      <c r="J5">
        <v>1</v>
      </c>
      <c r="K5">
        <v>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0</v>
      </c>
      <c r="U5">
        <v>-1</v>
      </c>
      <c r="V5">
        <v>40</v>
      </c>
      <c r="W5">
        <v>2541</v>
      </c>
      <c r="X5">
        <v>6</v>
      </c>
      <c r="Y5">
        <v>-1</v>
      </c>
      <c r="Z5">
        <v>0</v>
      </c>
      <c r="AA5">
        <v>0</v>
      </c>
      <c r="AB5">
        <v>0</v>
      </c>
      <c r="AC5">
        <v>0.5</v>
      </c>
      <c r="AD5">
        <v>1.5</v>
      </c>
      <c r="AE5">
        <v>-1</v>
      </c>
      <c r="AF5">
        <v>-1</v>
      </c>
      <c r="AG5">
        <v>0</v>
      </c>
      <c r="AH5">
        <v>0</v>
      </c>
      <c r="AI5">
        <v>0</v>
      </c>
      <c r="AJ5">
        <v>-1</v>
      </c>
      <c r="AK5">
        <v>0</v>
      </c>
      <c r="AL5">
        <v>98</v>
      </c>
      <c r="AM5">
        <v>1</v>
      </c>
    </row>
    <row r="6" spans="1:39">
      <c r="A6" s="3" t="str">
        <f t="shared" ref="A6:A23" si="0">IFERROR(A5+1,"#")</f>
        <v>#</v>
      </c>
      <c r="B6" s="3" t="str">
        <f>配置总览!$E$18&amp;"（妖精女）"</f>
        <v>蜜语轻舞（妖精女）</v>
      </c>
      <c r="C6" t="s">
        <v>1209</v>
      </c>
      <c r="D6" s="14" t="str">
        <f>配置总览!N24</f>
        <v>pbrmodel/Zysz_yulingnv_mifeng</v>
      </c>
      <c r="E6" t="s">
        <v>1211</v>
      </c>
      <c r="F6">
        <v>57</v>
      </c>
      <c r="G6">
        <v>44</v>
      </c>
      <c r="H6">
        <v>1.6</v>
      </c>
      <c r="I6">
        <v>2</v>
      </c>
      <c r="J6">
        <v>1</v>
      </c>
      <c r="K6">
        <v>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0</v>
      </c>
      <c r="U6">
        <v>-1</v>
      </c>
      <c r="V6">
        <v>40</v>
      </c>
      <c r="W6">
        <v>2541</v>
      </c>
      <c r="X6">
        <v>3</v>
      </c>
      <c r="Y6">
        <v>-1</v>
      </c>
      <c r="Z6">
        <v>0</v>
      </c>
      <c r="AA6">
        <v>0</v>
      </c>
      <c r="AB6">
        <v>0</v>
      </c>
      <c r="AC6">
        <v>0.5</v>
      </c>
      <c r="AD6">
        <v>1.5</v>
      </c>
      <c r="AE6">
        <v>-1</v>
      </c>
      <c r="AF6">
        <v>-1</v>
      </c>
      <c r="AG6">
        <v>0</v>
      </c>
      <c r="AH6">
        <v>0</v>
      </c>
      <c r="AI6">
        <v>0</v>
      </c>
      <c r="AJ6">
        <v>-1</v>
      </c>
      <c r="AK6">
        <v>0</v>
      </c>
      <c r="AL6">
        <v>98</v>
      </c>
      <c r="AM6">
        <v>1</v>
      </c>
    </row>
    <row r="7" spans="1:39">
      <c r="A7" s="3" t="str">
        <f t="shared" si="0"/>
        <v>#</v>
      </c>
      <c r="B7" s="3" t="str">
        <f>配置总览!$E$18&amp;"（武侠男双短）"</f>
        <v>蜜语轻舞（武侠男双短）</v>
      </c>
      <c r="C7" t="s">
        <v>1209</v>
      </c>
      <c r="D7" s="15" t="str">
        <f>配置总览!N23</f>
        <v>pbrmodel/Zysz_yumangnan_mifeng</v>
      </c>
      <c r="E7" t="s">
        <v>1212</v>
      </c>
      <c r="F7">
        <v>55</v>
      </c>
      <c r="G7">
        <v>44</v>
      </c>
      <c r="H7">
        <v>1.6</v>
      </c>
      <c r="I7">
        <v>2</v>
      </c>
      <c r="J7">
        <v>1</v>
      </c>
      <c r="K7">
        <v>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0</v>
      </c>
      <c r="U7">
        <v>-1</v>
      </c>
      <c r="V7">
        <v>40</v>
      </c>
      <c r="W7">
        <v>2541</v>
      </c>
      <c r="X7">
        <v>3</v>
      </c>
      <c r="Y7">
        <v>-1</v>
      </c>
      <c r="Z7">
        <v>0</v>
      </c>
      <c r="AA7">
        <v>0</v>
      </c>
      <c r="AB7">
        <v>0</v>
      </c>
      <c r="AC7">
        <v>0.5</v>
      </c>
      <c r="AD7">
        <v>1.5</v>
      </c>
      <c r="AE7">
        <v>-1</v>
      </c>
      <c r="AF7">
        <v>-1</v>
      </c>
      <c r="AG7">
        <v>0</v>
      </c>
      <c r="AH7">
        <v>0</v>
      </c>
      <c r="AI7">
        <v>0</v>
      </c>
      <c r="AJ7">
        <v>-1</v>
      </c>
      <c r="AK7">
        <v>0</v>
      </c>
      <c r="AL7">
        <v>98</v>
      </c>
      <c r="AM7">
        <v>1</v>
      </c>
    </row>
    <row r="8" spans="1:39">
      <c r="A8" s="3" t="str">
        <f t="shared" si="0"/>
        <v>#</v>
      </c>
      <c r="B8" s="3" t="str">
        <f>配置总览!$E$18&amp;"（武侠男长枪）"</f>
        <v>蜜语轻舞（武侠男长枪）</v>
      </c>
      <c r="C8" t="s">
        <v>1209</v>
      </c>
      <c r="D8" s="16" t="str">
        <f>$D$7</f>
        <v>pbrmodel/Zysz_yumangnan_mifeng</v>
      </c>
      <c r="E8" t="s">
        <v>1213</v>
      </c>
      <c r="F8">
        <v>55</v>
      </c>
      <c r="G8">
        <v>44</v>
      </c>
      <c r="H8">
        <v>1.6</v>
      </c>
      <c r="I8">
        <v>2</v>
      </c>
      <c r="J8">
        <v>1</v>
      </c>
      <c r="K8">
        <v>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0</v>
      </c>
      <c r="U8">
        <v>-1</v>
      </c>
      <c r="V8">
        <v>40</v>
      </c>
      <c r="W8">
        <v>2541</v>
      </c>
      <c r="X8">
        <v>3</v>
      </c>
      <c r="Y8">
        <v>-1</v>
      </c>
      <c r="Z8">
        <v>0</v>
      </c>
      <c r="AA8">
        <v>0</v>
      </c>
      <c r="AB8">
        <v>0</v>
      </c>
      <c r="AC8">
        <v>0.5</v>
      </c>
      <c r="AD8">
        <v>1.5</v>
      </c>
      <c r="AE8">
        <v>-1</v>
      </c>
      <c r="AF8">
        <v>-1</v>
      </c>
      <c r="AG8">
        <v>0</v>
      </c>
      <c r="AH8">
        <v>0</v>
      </c>
      <c r="AI8">
        <v>0</v>
      </c>
      <c r="AJ8">
        <v>-1</v>
      </c>
      <c r="AK8">
        <v>0</v>
      </c>
      <c r="AL8">
        <v>98</v>
      </c>
      <c r="AM8">
        <v>1</v>
      </c>
    </row>
    <row r="9" spans="1:39">
      <c r="A9" s="3" t="str">
        <f t="shared" si="0"/>
        <v>#</v>
      </c>
      <c r="B9" s="3" t="str">
        <f>配置总览!$E$18&amp;"（法师男）"</f>
        <v>蜜语轻舞（法师男）</v>
      </c>
      <c r="C9" t="s">
        <v>1209</v>
      </c>
      <c r="D9" s="16" t="str">
        <f>$D$7</f>
        <v>pbrmodel/Zysz_yumangnan_mifeng</v>
      </c>
      <c r="E9" t="s">
        <v>1214</v>
      </c>
      <c r="F9">
        <v>45</v>
      </c>
      <c r="G9">
        <v>44</v>
      </c>
      <c r="H9">
        <v>1.6</v>
      </c>
      <c r="I9">
        <v>2</v>
      </c>
      <c r="J9">
        <v>1</v>
      </c>
      <c r="K9">
        <v>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0</v>
      </c>
      <c r="U9">
        <v>-1</v>
      </c>
      <c r="V9">
        <v>40</v>
      </c>
      <c r="W9">
        <v>2541</v>
      </c>
      <c r="X9">
        <v>3</v>
      </c>
      <c r="Y9">
        <v>-1</v>
      </c>
      <c r="Z9">
        <v>0</v>
      </c>
      <c r="AA9">
        <v>0</v>
      </c>
      <c r="AB9">
        <v>0</v>
      </c>
      <c r="AC9">
        <v>0.5</v>
      </c>
      <c r="AD9">
        <v>1.5</v>
      </c>
      <c r="AE9">
        <v>-1</v>
      </c>
      <c r="AF9">
        <v>-1</v>
      </c>
      <c r="AG9">
        <v>0</v>
      </c>
      <c r="AH9">
        <v>0</v>
      </c>
      <c r="AI9">
        <v>0</v>
      </c>
      <c r="AJ9">
        <v>-1</v>
      </c>
      <c r="AK9">
        <v>0</v>
      </c>
      <c r="AL9">
        <v>98</v>
      </c>
      <c r="AM9">
        <v>1</v>
      </c>
    </row>
    <row r="10" spans="1:39">
      <c r="A10" s="3" t="str">
        <f t="shared" si="0"/>
        <v>#</v>
      </c>
      <c r="B10" s="3" t="str">
        <f>配置总览!$E$18&amp;"（法师女）"</f>
        <v>蜜语轻舞（法师女）</v>
      </c>
      <c r="C10" t="s">
        <v>1209</v>
      </c>
      <c r="D10" s="17" t="str">
        <f>$D$6</f>
        <v>pbrmodel/Zysz_yulingnv_mifeng</v>
      </c>
      <c r="E10" t="s">
        <v>1215</v>
      </c>
      <c r="F10">
        <v>54</v>
      </c>
      <c r="G10">
        <v>44</v>
      </c>
      <c r="H10">
        <v>1.6</v>
      </c>
      <c r="I10">
        <v>2</v>
      </c>
      <c r="J10">
        <v>1</v>
      </c>
      <c r="K10">
        <v>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0</v>
      </c>
      <c r="U10">
        <v>-1</v>
      </c>
      <c r="V10">
        <v>40</v>
      </c>
      <c r="W10">
        <v>2541</v>
      </c>
      <c r="X10">
        <v>3</v>
      </c>
      <c r="Y10">
        <v>-1</v>
      </c>
      <c r="Z10">
        <v>0</v>
      </c>
      <c r="AA10">
        <v>0</v>
      </c>
      <c r="AB10">
        <v>0</v>
      </c>
      <c r="AC10">
        <v>0.5</v>
      </c>
      <c r="AD10">
        <v>1.5</v>
      </c>
      <c r="AE10">
        <v>-1</v>
      </c>
      <c r="AF10">
        <v>-1</v>
      </c>
      <c r="AG10">
        <v>0</v>
      </c>
      <c r="AH10">
        <v>0</v>
      </c>
      <c r="AI10">
        <v>0</v>
      </c>
      <c r="AJ10">
        <v>-1</v>
      </c>
      <c r="AK10">
        <v>0</v>
      </c>
      <c r="AL10">
        <v>98</v>
      </c>
      <c r="AM10">
        <v>1</v>
      </c>
    </row>
    <row r="11" spans="1:39">
      <c r="A11" s="3" t="str">
        <f t="shared" si="0"/>
        <v>#</v>
      </c>
      <c r="B11" s="3" t="str">
        <f>配置总览!$E$18&amp;"（羽芒男）"</f>
        <v>蜜语轻舞（羽芒男）</v>
      </c>
      <c r="C11" t="s">
        <v>1209</v>
      </c>
      <c r="D11" s="16" t="str">
        <f>$D$7</f>
        <v>pbrmodel/Zysz_yumangnan_mifeng</v>
      </c>
      <c r="E11" t="s">
        <v>1216</v>
      </c>
      <c r="F11">
        <v>60</v>
      </c>
      <c r="G11">
        <v>44</v>
      </c>
      <c r="H11">
        <v>1.6</v>
      </c>
      <c r="I11">
        <v>2</v>
      </c>
      <c r="J11">
        <v>1</v>
      </c>
      <c r="K11">
        <v>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0</v>
      </c>
      <c r="U11">
        <v>-1</v>
      </c>
      <c r="V11">
        <v>40</v>
      </c>
      <c r="W11">
        <v>2541</v>
      </c>
      <c r="X11">
        <v>3</v>
      </c>
      <c r="Y11">
        <v>-1</v>
      </c>
      <c r="Z11">
        <v>0</v>
      </c>
      <c r="AA11">
        <v>0</v>
      </c>
      <c r="AB11">
        <v>0</v>
      </c>
      <c r="AC11">
        <v>0.5</v>
      </c>
      <c r="AD11">
        <v>1.5</v>
      </c>
      <c r="AE11">
        <v>-1</v>
      </c>
      <c r="AF11">
        <v>-1</v>
      </c>
      <c r="AG11">
        <v>0</v>
      </c>
      <c r="AH11">
        <v>0</v>
      </c>
      <c r="AI11">
        <v>0</v>
      </c>
      <c r="AJ11">
        <v>-1</v>
      </c>
      <c r="AK11">
        <v>0</v>
      </c>
      <c r="AL11">
        <v>98</v>
      </c>
      <c r="AM11">
        <v>1</v>
      </c>
    </row>
    <row r="12" spans="1:39">
      <c r="A12" s="3" t="str">
        <f t="shared" si="0"/>
        <v>#</v>
      </c>
      <c r="B12" s="3" t="str">
        <f>配置总览!$E$18&amp;"（羽芒女）"</f>
        <v>蜜语轻舞（羽芒女）</v>
      </c>
      <c r="C12" t="s">
        <v>1209</v>
      </c>
      <c r="D12" s="17" t="str">
        <f>$D$6</f>
        <v>pbrmodel/Zysz_yulingnv_mifeng</v>
      </c>
      <c r="E12" t="s">
        <v>1217</v>
      </c>
      <c r="F12">
        <v>61</v>
      </c>
      <c r="G12">
        <v>44</v>
      </c>
      <c r="H12">
        <v>1.6</v>
      </c>
      <c r="I12">
        <v>2</v>
      </c>
      <c r="J12">
        <v>1</v>
      </c>
      <c r="K12">
        <v>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0</v>
      </c>
      <c r="U12">
        <v>-1</v>
      </c>
      <c r="V12">
        <v>40</v>
      </c>
      <c r="W12">
        <v>2541</v>
      </c>
      <c r="X12">
        <v>3</v>
      </c>
      <c r="Y12">
        <v>-1</v>
      </c>
      <c r="Z12">
        <v>0</v>
      </c>
      <c r="AA12">
        <v>0</v>
      </c>
      <c r="AB12">
        <v>0</v>
      </c>
      <c r="AC12">
        <v>0.5</v>
      </c>
      <c r="AD12">
        <v>1.5</v>
      </c>
      <c r="AE12">
        <v>-1</v>
      </c>
      <c r="AF12">
        <v>-1</v>
      </c>
      <c r="AG12">
        <v>0</v>
      </c>
      <c r="AH12">
        <v>0</v>
      </c>
      <c r="AI12">
        <v>0</v>
      </c>
      <c r="AJ12">
        <v>-1</v>
      </c>
      <c r="AK12">
        <v>0</v>
      </c>
      <c r="AL12">
        <v>98</v>
      </c>
      <c r="AM12">
        <v>1</v>
      </c>
    </row>
    <row r="13" spans="1:39">
      <c r="A13" s="3" t="str">
        <f t="shared" si="0"/>
        <v>#</v>
      </c>
      <c r="B13" s="3" t="str">
        <f>配置总览!$E$18&amp;"（羽灵女）"</f>
        <v>蜜语轻舞（羽灵女）</v>
      </c>
      <c r="C13" t="s">
        <v>1209</v>
      </c>
      <c r="D13" s="17" t="str">
        <f>$D$6</f>
        <v>pbrmodel/Zysz_yulingnv_mifeng</v>
      </c>
      <c r="E13" t="s">
        <v>1218</v>
      </c>
      <c r="F13">
        <v>59</v>
      </c>
      <c r="G13">
        <v>44</v>
      </c>
      <c r="H13">
        <v>1.6</v>
      </c>
      <c r="I13">
        <v>2</v>
      </c>
      <c r="J13">
        <v>1</v>
      </c>
      <c r="K13">
        <v>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0</v>
      </c>
      <c r="U13">
        <v>-1</v>
      </c>
      <c r="V13">
        <v>40</v>
      </c>
      <c r="W13">
        <v>2541</v>
      </c>
      <c r="X13">
        <v>3</v>
      </c>
      <c r="Y13">
        <v>-1</v>
      </c>
      <c r="Z13">
        <v>0</v>
      </c>
      <c r="AA13">
        <v>0</v>
      </c>
      <c r="AB13">
        <v>0</v>
      </c>
      <c r="AC13">
        <v>0.5</v>
      </c>
      <c r="AD13">
        <v>1.5</v>
      </c>
      <c r="AE13">
        <v>-1</v>
      </c>
      <c r="AF13">
        <v>-1</v>
      </c>
      <c r="AG13">
        <v>0</v>
      </c>
      <c r="AH13">
        <v>0</v>
      </c>
      <c r="AI13">
        <v>0</v>
      </c>
      <c r="AJ13">
        <v>-1</v>
      </c>
      <c r="AK13">
        <v>0</v>
      </c>
      <c r="AL13">
        <v>98</v>
      </c>
      <c r="AM13">
        <v>1</v>
      </c>
    </row>
    <row r="14" spans="1:39">
      <c r="A14" s="3" t="str">
        <f t="shared" si="0"/>
        <v>#</v>
      </c>
      <c r="B14" s="3" t="str">
        <f>配置总览!$E$18&amp;"（刺客男）"</f>
        <v>蜜语轻舞（刺客男）</v>
      </c>
      <c r="C14" t="s">
        <v>1209</v>
      </c>
      <c r="D14" s="16" t="str">
        <f>$D$7</f>
        <v>pbrmodel/Zysz_yumangnan_mifeng</v>
      </c>
      <c r="E14" t="s">
        <v>1219</v>
      </c>
      <c r="F14">
        <v>67</v>
      </c>
      <c r="G14">
        <v>44</v>
      </c>
      <c r="H14">
        <v>1.6</v>
      </c>
      <c r="I14">
        <v>2</v>
      </c>
      <c r="J14">
        <v>1</v>
      </c>
      <c r="K14">
        <v>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0</v>
      </c>
      <c r="U14">
        <v>-1</v>
      </c>
      <c r="V14">
        <v>40</v>
      </c>
      <c r="W14">
        <v>2541</v>
      </c>
      <c r="X14">
        <v>3</v>
      </c>
      <c r="Y14">
        <v>-1</v>
      </c>
      <c r="Z14">
        <v>0</v>
      </c>
      <c r="AA14">
        <v>0</v>
      </c>
      <c r="AB14">
        <v>0</v>
      </c>
      <c r="AC14">
        <v>0.5</v>
      </c>
      <c r="AD14">
        <v>1.5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-1</v>
      </c>
      <c r="AK14">
        <v>0</v>
      </c>
      <c r="AL14">
        <v>98</v>
      </c>
      <c r="AM14">
        <v>1</v>
      </c>
    </row>
    <row r="15" spans="1:39">
      <c r="A15" s="3" t="str">
        <f t="shared" si="0"/>
        <v>#</v>
      </c>
      <c r="B15" s="3" t="str">
        <f>配置总览!$E$18&amp;"（刺客女）"</f>
        <v>蜜语轻舞（刺客女）</v>
      </c>
      <c r="C15" t="s">
        <v>1209</v>
      </c>
      <c r="D15" s="17" t="str">
        <f>$D$6</f>
        <v>pbrmodel/Zysz_yulingnv_mifeng</v>
      </c>
      <c r="E15" t="s">
        <v>1220</v>
      </c>
      <c r="F15">
        <v>68</v>
      </c>
      <c r="G15">
        <v>44</v>
      </c>
      <c r="H15">
        <v>1.6</v>
      </c>
      <c r="I15">
        <v>2</v>
      </c>
      <c r="J15">
        <v>1</v>
      </c>
      <c r="K15">
        <v>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0</v>
      </c>
      <c r="U15">
        <v>-1</v>
      </c>
      <c r="V15">
        <v>40</v>
      </c>
      <c r="W15">
        <v>2541</v>
      </c>
      <c r="X15">
        <v>3</v>
      </c>
      <c r="Y15">
        <v>-1</v>
      </c>
      <c r="Z15">
        <v>0</v>
      </c>
      <c r="AA15">
        <v>0</v>
      </c>
      <c r="AB15">
        <v>0</v>
      </c>
      <c r="AC15">
        <v>0.5</v>
      </c>
      <c r="AD15">
        <v>1.5</v>
      </c>
      <c r="AE15">
        <v>-1</v>
      </c>
      <c r="AF15">
        <v>-1</v>
      </c>
      <c r="AG15">
        <v>0</v>
      </c>
      <c r="AH15">
        <v>0</v>
      </c>
      <c r="AI15">
        <v>0</v>
      </c>
      <c r="AJ15">
        <v>-1</v>
      </c>
      <c r="AK15">
        <v>0</v>
      </c>
      <c r="AL15">
        <v>98</v>
      </c>
      <c r="AM15">
        <v>1</v>
      </c>
    </row>
    <row r="16" spans="1:39">
      <c r="A16" s="3" t="str">
        <f t="shared" si="0"/>
        <v>#</v>
      </c>
      <c r="B16" s="3" t="str">
        <f>配置总览!$E$18&amp;"（羽岚男）"</f>
        <v>蜜语轻舞（羽岚男）</v>
      </c>
      <c r="C16" t="s">
        <v>1209</v>
      </c>
      <c r="D16" s="16" t="str">
        <f>$D$7</f>
        <v>pbrmodel/Zysz_yumangnan_mifeng</v>
      </c>
      <c r="E16" t="s">
        <v>1221</v>
      </c>
      <c r="F16">
        <v>60</v>
      </c>
      <c r="G16">
        <v>44</v>
      </c>
      <c r="H16">
        <v>1.6</v>
      </c>
      <c r="I16">
        <v>2</v>
      </c>
      <c r="J16">
        <v>1</v>
      </c>
      <c r="K16">
        <v>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0</v>
      </c>
      <c r="U16">
        <v>-1</v>
      </c>
      <c r="V16">
        <v>40</v>
      </c>
      <c r="W16">
        <v>2541</v>
      </c>
      <c r="X16">
        <v>3</v>
      </c>
      <c r="Y16">
        <v>-1</v>
      </c>
      <c r="Z16">
        <v>0</v>
      </c>
      <c r="AA16">
        <v>0</v>
      </c>
      <c r="AB16">
        <v>0</v>
      </c>
      <c r="AC16">
        <v>0.5</v>
      </c>
      <c r="AD16">
        <v>1.5</v>
      </c>
      <c r="AE16">
        <v>-1</v>
      </c>
      <c r="AF16">
        <v>-1</v>
      </c>
      <c r="AG16">
        <v>0</v>
      </c>
      <c r="AH16">
        <v>0</v>
      </c>
      <c r="AI16">
        <v>0</v>
      </c>
      <c r="AJ16">
        <v>-1</v>
      </c>
      <c r="AK16">
        <v>0</v>
      </c>
      <c r="AL16">
        <v>98</v>
      </c>
      <c r="AM16">
        <v>1</v>
      </c>
    </row>
    <row r="17" spans="1:39">
      <c r="A17" s="3" t="str">
        <f t="shared" si="0"/>
        <v>#</v>
      </c>
      <c r="B17" s="3" t="str">
        <f>配置总览!$E$18&amp;"（羽岚女）"</f>
        <v>蜜语轻舞（羽岚女）</v>
      </c>
      <c r="C17" t="s">
        <v>1209</v>
      </c>
      <c r="D17" s="17" t="str">
        <f>$D$6</f>
        <v>pbrmodel/Zysz_yulingnv_mifeng</v>
      </c>
      <c r="E17" t="s">
        <v>1222</v>
      </c>
      <c r="F17">
        <v>61</v>
      </c>
      <c r="G17">
        <v>44</v>
      </c>
      <c r="H17">
        <v>1.6</v>
      </c>
      <c r="I17">
        <v>2</v>
      </c>
      <c r="J17">
        <v>1</v>
      </c>
      <c r="K17">
        <v>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0</v>
      </c>
      <c r="U17">
        <v>-1</v>
      </c>
      <c r="V17">
        <v>40</v>
      </c>
      <c r="W17">
        <v>2541</v>
      </c>
      <c r="X17">
        <v>3</v>
      </c>
      <c r="Y17">
        <v>-1</v>
      </c>
      <c r="Z17">
        <v>0</v>
      </c>
      <c r="AA17">
        <v>0</v>
      </c>
      <c r="AB17">
        <v>0</v>
      </c>
      <c r="AC17">
        <v>0.5</v>
      </c>
      <c r="AD17">
        <v>1.5</v>
      </c>
      <c r="AE17">
        <v>-1</v>
      </c>
      <c r="AF17">
        <v>-1</v>
      </c>
      <c r="AG17">
        <v>0</v>
      </c>
      <c r="AH17">
        <v>0</v>
      </c>
      <c r="AI17">
        <v>0</v>
      </c>
      <c r="AJ17">
        <v>-1</v>
      </c>
      <c r="AK17">
        <v>0</v>
      </c>
      <c r="AL17">
        <v>98</v>
      </c>
      <c r="AM17">
        <v>1</v>
      </c>
    </row>
    <row r="18" spans="1:39">
      <c r="A18" s="3" t="str">
        <f t="shared" si="0"/>
        <v>#</v>
      </c>
      <c r="B18" s="3" t="str">
        <f>配置总览!$E$18&amp;"（刀刹男）"</f>
        <v>蜜语轻舞（刀刹男）</v>
      </c>
      <c r="C18" t="s">
        <v>1209</v>
      </c>
      <c r="D18" s="16" t="str">
        <f t="shared" ref="D18:D23" si="1">$D$7</f>
        <v>pbrmodel/Zysz_yumangnan_mifeng</v>
      </c>
      <c r="E18" t="s">
        <v>1223</v>
      </c>
      <c r="F18">
        <v>60</v>
      </c>
      <c r="G18">
        <v>44</v>
      </c>
      <c r="H18">
        <v>1.6</v>
      </c>
      <c r="I18">
        <v>2</v>
      </c>
      <c r="J18">
        <v>1</v>
      </c>
      <c r="K18">
        <v>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0</v>
      </c>
      <c r="U18">
        <v>-1</v>
      </c>
      <c r="V18">
        <v>40</v>
      </c>
      <c r="W18">
        <v>2541</v>
      </c>
      <c r="X18">
        <v>3</v>
      </c>
      <c r="Y18">
        <v>-1</v>
      </c>
      <c r="Z18">
        <v>0</v>
      </c>
      <c r="AA18">
        <v>0</v>
      </c>
      <c r="AB18">
        <v>0</v>
      </c>
      <c r="AC18">
        <v>0.5</v>
      </c>
      <c r="AD18">
        <v>1.5</v>
      </c>
      <c r="AE18">
        <v>-1</v>
      </c>
      <c r="AF18">
        <v>-1</v>
      </c>
      <c r="AG18">
        <v>0</v>
      </c>
      <c r="AH18">
        <v>0</v>
      </c>
      <c r="AI18">
        <v>0</v>
      </c>
      <c r="AJ18">
        <v>-1</v>
      </c>
      <c r="AK18">
        <v>0</v>
      </c>
      <c r="AL18">
        <v>98</v>
      </c>
      <c r="AM18">
        <v>1</v>
      </c>
    </row>
    <row r="19" spans="1:39">
      <c r="A19" s="3" t="str">
        <f t="shared" si="0"/>
        <v>#</v>
      </c>
      <c r="B19" s="3" t="str">
        <f>配置总览!$E$18&amp;"（刀刹女）"</f>
        <v>蜜语轻舞（刀刹女）</v>
      </c>
      <c r="C19" t="s">
        <v>1209</v>
      </c>
      <c r="D19" s="17" t="str">
        <f>$D$6</f>
        <v>pbrmodel/Zysz_yulingnv_mifeng</v>
      </c>
      <c r="E19" t="s">
        <v>1224</v>
      </c>
      <c r="F19">
        <v>61</v>
      </c>
      <c r="G19">
        <v>44</v>
      </c>
      <c r="H19">
        <v>1.6</v>
      </c>
      <c r="I19">
        <v>2</v>
      </c>
      <c r="J19">
        <v>1</v>
      </c>
      <c r="K19">
        <v>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0</v>
      </c>
      <c r="U19">
        <v>-1</v>
      </c>
      <c r="V19">
        <v>40</v>
      </c>
      <c r="W19">
        <v>2541</v>
      </c>
      <c r="X19">
        <v>3</v>
      </c>
      <c r="Y19">
        <v>-1</v>
      </c>
      <c r="Z19">
        <v>0</v>
      </c>
      <c r="AA19">
        <v>0</v>
      </c>
      <c r="AB19">
        <v>0</v>
      </c>
      <c r="AC19">
        <v>0.5</v>
      </c>
      <c r="AD19">
        <v>1.5</v>
      </c>
      <c r="AE19">
        <v>-1</v>
      </c>
      <c r="AF19">
        <v>-1</v>
      </c>
      <c r="AG19">
        <v>0</v>
      </c>
      <c r="AH19">
        <v>0</v>
      </c>
      <c r="AI19">
        <v>0</v>
      </c>
      <c r="AJ19">
        <v>-1</v>
      </c>
      <c r="AK19">
        <v>0</v>
      </c>
      <c r="AL19">
        <v>98</v>
      </c>
      <c r="AM19">
        <v>1</v>
      </c>
    </row>
    <row r="20" spans="1:39">
      <c r="A20" s="3" t="str">
        <f t="shared" si="0"/>
        <v>#</v>
      </c>
      <c r="B20" s="3" t="str">
        <f>配置总览!$E$18&amp;"（妖兽女）"</f>
        <v>蜜语轻舞（妖兽女）</v>
      </c>
      <c r="C20" t="s">
        <v>1209</v>
      </c>
      <c r="D20" s="17" t="str">
        <f>$D$6</f>
        <v>pbrmodel/Zysz_yulingnv_mifeng</v>
      </c>
      <c r="E20" s="18" t="s">
        <v>1225</v>
      </c>
      <c r="F20">
        <v>54</v>
      </c>
      <c r="G20">
        <v>44</v>
      </c>
      <c r="H20">
        <v>1.6</v>
      </c>
      <c r="I20">
        <v>2</v>
      </c>
      <c r="J20">
        <v>1</v>
      </c>
      <c r="K20">
        <v>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0</v>
      </c>
      <c r="U20">
        <v>-1</v>
      </c>
      <c r="V20">
        <v>40</v>
      </c>
      <c r="W20">
        <v>2541</v>
      </c>
      <c r="X20">
        <v>3</v>
      </c>
      <c r="Y20">
        <v>-1</v>
      </c>
      <c r="Z20">
        <v>0</v>
      </c>
      <c r="AA20">
        <v>0</v>
      </c>
      <c r="AB20">
        <v>0</v>
      </c>
      <c r="AC20">
        <v>0.5</v>
      </c>
      <c r="AD20">
        <v>1.5</v>
      </c>
      <c r="AE20">
        <v>-1</v>
      </c>
      <c r="AF20">
        <v>-1</v>
      </c>
      <c r="AG20">
        <v>0</v>
      </c>
      <c r="AH20">
        <v>0</v>
      </c>
      <c r="AI20">
        <v>0</v>
      </c>
      <c r="AJ20">
        <v>-1</v>
      </c>
      <c r="AK20">
        <v>0</v>
      </c>
      <c r="AL20">
        <v>98</v>
      </c>
      <c r="AM20">
        <v>1</v>
      </c>
    </row>
    <row r="21" spans="1:39">
      <c r="A21" s="3" t="str">
        <f t="shared" si="0"/>
        <v>#</v>
      </c>
      <c r="B21" s="3" t="str">
        <f>配置总览!$E$18&amp;"（月仙男）"</f>
        <v>蜜语轻舞（月仙男）</v>
      </c>
      <c r="C21" t="s">
        <v>1209</v>
      </c>
      <c r="D21" s="16" t="str">
        <f t="shared" si="1"/>
        <v>pbrmodel/Zysz_yumangnan_mifeng</v>
      </c>
      <c r="E21" s="18" t="s">
        <v>1226</v>
      </c>
      <c r="F21">
        <v>67</v>
      </c>
      <c r="G21">
        <v>44</v>
      </c>
      <c r="H21">
        <v>1.6</v>
      </c>
      <c r="I21">
        <v>2</v>
      </c>
      <c r="J21">
        <v>1</v>
      </c>
      <c r="K21">
        <v>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0</v>
      </c>
      <c r="U21">
        <v>-1</v>
      </c>
      <c r="V21">
        <v>40</v>
      </c>
      <c r="W21">
        <v>2541</v>
      </c>
      <c r="X21">
        <v>3</v>
      </c>
      <c r="Y21">
        <v>-1</v>
      </c>
      <c r="Z21">
        <v>0</v>
      </c>
      <c r="AA21">
        <v>0</v>
      </c>
      <c r="AB21">
        <v>0</v>
      </c>
      <c r="AC21">
        <v>0.5</v>
      </c>
      <c r="AD21">
        <v>1.5</v>
      </c>
      <c r="AE21">
        <v>-1</v>
      </c>
      <c r="AF21">
        <v>-1</v>
      </c>
      <c r="AG21">
        <v>0</v>
      </c>
      <c r="AH21">
        <v>0</v>
      </c>
      <c r="AI21">
        <v>0</v>
      </c>
      <c r="AJ21">
        <v>-1</v>
      </c>
      <c r="AK21">
        <v>0</v>
      </c>
      <c r="AL21">
        <v>98</v>
      </c>
      <c r="AM21">
        <v>1</v>
      </c>
    </row>
    <row r="22" spans="1:39">
      <c r="A22" s="3" t="str">
        <f t="shared" si="0"/>
        <v>#</v>
      </c>
      <c r="B22" s="3" t="str">
        <f>配置总览!$E$18&amp;"（月仙女）"</f>
        <v>蜜语轻舞（月仙女）</v>
      </c>
      <c r="C22" t="s">
        <v>1209</v>
      </c>
      <c r="D22" s="17" t="str">
        <f>$D$6</f>
        <v>pbrmodel/Zysz_yulingnv_mifeng</v>
      </c>
      <c r="E22" s="18" t="s">
        <v>1227</v>
      </c>
      <c r="F22">
        <v>68</v>
      </c>
      <c r="G22">
        <v>44</v>
      </c>
      <c r="H22">
        <v>1.6</v>
      </c>
      <c r="I22">
        <v>2</v>
      </c>
      <c r="J22">
        <v>1</v>
      </c>
      <c r="K22">
        <v>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0</v>
      </c>
      <c r="U22">
        <v>-1</v>
      </c>
      <c r="V22">
        <v>40</v>
      </c>
      <c r="W22">
        <v>2541</v>
      </c>
      <c r="X22">
        <v>3</v>
      </c>
      <c r="Y22">
        <v>-1</v>
      </c>
      <c r="Z22">
        <v>0</v>
      </c>
      <c r="AA22">
        <v>0</v>
      </c>
      <c r="AB22">
        <v>0</v>
      </c>
      <c r="AC22">
        <v>0.5</v>
      </c>
      <c r="AD22">
        <v>1.5</v>
      </c>
      <c r="AE22">
        <v>-1</v>
      </c>
      <c r="AF22">
        <v>-1</v>
      </c>
      <c r="AG22">
        <v>0</v>
      </c>
      <c r="AH22">
        <v>0</v>
      </c>
      <c r="AI22">
        <v>0</v>
      </c>
      <c r="AJ22">
        <v>-1</v>
      </c>
      <c r="AK22">
        <v>0</v>
      </c>
      <c r="AL22">
        <v>98</v>
      </c>
      <c r="AM22">
        <v>1</v>
      </c>
    </row>
    <row r="23" spans="1:39">
      <c r="A23" s="3" t="str">
        <f t="shared" si="0"/>
        <v>#</v>
      </c>
      <c r="B23" s="3" t="str">
        <f>配置总览!$E$18&amp;"（羽灵男）"</f>
        <v>蜜语轻舞（羽灵男）</v>
      </c>
      <c r="C23" t="s">
        <v>1209</v>
      </c>
      <c r="D23" s="16" t="str">
        <f t="shared" si="1"/>
        <v>pbrmodel/Zysz_yumangnan_mifeng</v>
      </c>
      <c r="E23" s="18" t="s">
        <v>1228</v>
      </c>
      <c r="F23">
        <v>60</v>
      </c>
      <c r="G23">
        <v>44</v>
      </c>
      <c r="H23">
        <v>1.6</v>
      </c>
      <c r="I23">
        <v>2</v>
      </c>
      <c r="J23">
        <v>1</v>
      </c>
      <c r="K23">
        <v>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0</v>
      </c>
      <c r="U23">
        <v>-1</v>
      </c>
      <c r="V23">
        <v>40</v>
      </c>
      <c r="W23">
        <v>2541</v>
      </c>
      <c r="X23">
        <v>3</v>
      </c>
      <c r="Y23">
        <v>-1</v>
      </c>
      <c r="Z23">
        <v>0</v>
      </c>
      <c r="AA23">
        <v>0</v>
      </c>
      <c r="AB23">
        <v>0</v>
      </c>
      <c r="AC23">
        <v>0.5</v>
      </c>
      <c r="AD23">
        <v>1.5</v>
      </c>
      <c r="AE23">
        <v>-1</v>
      </c>
      <c r="AF23">
        <v>-1</v>
      </c>
      <c r="AG23">
        <v>0</v>
      </c>
      <c r="AH23">
        <v>0</v>
      </c>
      <c r="AI23">
        <v>0</v>
      </c>
      <c r="AJ23">
        <v>-1</v>
      </c>
      <c r="AK23">
        <v>0</v>
      </c>
      <c r="AL23">
        <v>98</v>
      </c>
      <c r="AM23">
        <v>1</v>
      </c>
    </row>
    <row r="24" spans="1:39">
      <c r="A24" s="7" t="str">
        <f>IF(配置总览!$B$32="导出",40000+配置总览!H34,"#")</f>
        <v>#</v>
      </c>
      <c r="B24" s="3" t="str">
        <f>FakeObject!B5</f>
        <v>坐骑-小狗蛇-吉祥如亿</v>
      </c>
      <c r="D24" s="7" t="str">
        <f>配置总览!N35</f>
        <v>Qc_xiaogoushe_zhaocaimao</v>
      </c>
      <c r="F24">
        <v>65</v>
      </c>
      <c r="G24">
        <v>-1</v>
      </c>
      <c r="H24">
        <v>1</v>
      </c>
      <c r="I24">
        <v>1</v>
      </c>
      <c r="J24">
        <v>1</v>
      </c>
      <c r="K24">
        <v>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0</v>
      </c>
      <c r="U24">
        <v>-1</v>
      </c>
      <c r="V24">
        <v>0</v>
      </c>
      <c r="W24">
        <v>-1</v>
      </c>
      <c r="X24">
        <v>-1</v>
      </c>
      <c r="Y24">
        <v>-1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-1</v>
      </c>
      <c r="AF24">
        <v>-1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98</v>
      </c>
      <c r="AM24">
        <v>1</v>
      </c>
    </row>
    <row r="25" spans="1:39">
      <c r="A25" s="7" t="str">
        <f>IF(配置总览!$B$46="导出",41000+配置总览!H48,"#")</f>
        <v>#</v>
      </c>
      <c r="B25" s="3" t="str">
        <f>FakeObject!B6</f>
        <v>飞行器-小飞猪</v>
      </c>
      <c r="D25" s="7" t="str">
        <f>配置总览!N49</f>
        <v>Fei_feizhu_02</v>
      </c>
      <c r="F25">
        <v>65</v>
      </c>
      <c r="G25">
        <v>-1</v>
      </c>
      <c r="H25">
        <v>1</v>
      </c>
      <c r="I25">
        <v>1</v>
      </c>
      <c r="J25">
        <v>1</v>
      </c>
      <c r="K25">
        <v>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0</v>
      </c>
      <c r="U25">
        <v>-1</v>
      </c>
      <c r="V25">
        <v>0</v>
      </c>
      <c r="W25">
        <v>-1</v>
      </c>
      <c r="X25">
        <v>-1</v>
      </c>
      <c r="Y25">
        <v>-1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-1</v>
      </c>
      <c r="AF25">
        <v>-1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98</v>
      </c>
      <c r="AM25">
        <v>1</v>
      </c>
    </row>
    <row r="26" spans="1:39">
      <c r="A26" s="7" t="str">
        <f>IF(配置总览!$B$60="导出",41000+配置总览!$H$62,"#")</f>
        <v>#</v>
      </c>
      <c r="B26" s="3" t="str">
        <f>FakeObject!B7</f>
        <v>飞行器-仙玉台</v>
      </c>
      <c r="D26" s="7" t="str">
        <f>配置总览!N63</f>
        <v>Fei_baiheyaozu</v>
      </c>
      <c r="F26">
        <v>65</v>
      </c>
      <c r="G26">
        <v>-1</v>
      </c>
      <c r="H26">
        <v>1</v>
      </c>
      <c r="I26">
        <v>1</v>
      </c>
      <c r="J26">
        <v>1</v>
      </c>
      <c r="K26">
        <v>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0</v>
      </c>
      <c r="U26">
        <v>-1</v>
      </c>
      <c r="V26">
        <v>0</v>
      </c>
      <c r="W26">
        <v>-1</v>
      </c>
      <c r="X26">
        <v>-1</v>
      </c>
      <c r="Y26">
        <v>-1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-1</v>
      </c>
      <c r="AF26">
        <v>-1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98</v>
      </c>
      <c r="AM26">
        <v>1</v>
      </c>
    </row>
    <row r="27" spans="1:39">
      <c r="A27" s="7" t="str">
        <f>IF(配置总览!$B$61="导出",41000+配置总览!$H$62+配置总览!A63,"#")</f>
        <v>#</v>
      </c>
      <c r="B27" s="3" t="str">
        <f>FakeObject!B8</f>
        <v>飞行器-仙合翼</v>
      </c>
      <c r="D27" s="7" t="str">
        <f>配置总览!N64</f>
        <v>Fei_yuzuchibang_140</v>
      </c>
      <c r="F27">
        <v>65</v>
      </c>
      <c r="G27">
        <v>-1</v>
      </c>
      <c r="H27">
        <v>1</v>
      </c>
      <c r="I27">
        <v>1</v>
      </c>
      <c r="J27">
        <v>1</v>
      </c>
      <c r="K27">
        <v>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0</v>
      </c>
      <c r="U27">
        <v>-1</v>
      </c>
      <c r="V27">
        <v>0</v>
      </c>
      <c r="W27">
        <v>-1</v>
      </c>
      <c r="X27">
        <v>-1</v>
      </c>
      <c r="Y27">
        <v>-1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-1</v>
      </c>
      <c r="AF27">
        <v>-1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98</v>
      </c>
      <c r="AM27">
        <v>1</v>
      </c>
    </row>
    <row r="28" spans="1:39">
      <c r="A28" s="7" t="str">
        <f>IF(配置总览!$B$62="导出",41000+配置总览!$H$62+配置总览!A64,"#")</f>
        <v>#</v>
      </c>
      <c r="B28" s="3" t="str">
        <f>FakeObject!B9</f>
        <v>飞行器-白玉仙</v>
      </c>
      <c r="D28" s="7" t="str">
        <f>配置总览!N65</f>
        <v>Fei_baiherenzu</v>
      </c>
      <c r="F28">
        <v>65</v>
      </c>
      <c r="G28">
        <v>-1</v>
      </c>
      <c r="H28">
        <v>1</v>
      </c>
      <c r="I28">
        <v>1</v>
      </c>
      <c r="J28">
        <v>1</v>
      </c>
      <c r="K28">
        <v>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0</v>
      </c>
      <c r="U28">
        <v>-1</v>
      </c>
      <c r="V28">
        <v>0</v>
      </c>
      <c r="W28">
        <v>-1</v>
      </c>
      <c r="X28">
        <v>-1</v>
      </c>
      <c r="Y28">
        <v>-1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-1</v>
      </c>
      <c r="AF28">
        <v>-1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98</v>
      </c>
      <c r="AM28">
        <v>1</v>
      </c>
    </row>
    <row r="29" s="2" customFormat="1" spans="1:39">
      <c r="A29" s="7" t="str">
        <f>IF(配置总览!$B$88="导出",43100+配置总览!H91*4-27,"#")</f>
        <v>#</v>
      </c>
      <c r="B29" s="10" t="str">
        <f>C29</f>
        <v>天渊星扇·宿</v>
      </c>
      <c r="C29" s="3" t="str">
        <f>FakeObject!B10</f>
        <v>天渊星扇·宿</v>
      </c>
      <c r="D29" s="10" t="str">
        <f>配置总览!N94</f>
        <v>Mq_tianyuanxingshansu</v>
      </c>
      <c r="F29" s="2">
        <v>65</v>
      </c>
      <c r="G29" s="2">
        <v>-1</v>
      </c>
      <c r="H29" s="2">
        <v>1.5</v>
      </c>
      <c r="I29" s="2">
        <v>1</v>
      </c>
      <c r="J29" s="2">
        <v>0.7</v>
      </c>
      <c r="K29" s="2">
        <v>1</v>
      </c>
      <c r="L29" s="2">
        <v>-1</v>
      </c>
      <c r="M29" s="2">
        <v>-1</v>
      </c>
      <c r="N29" s="2">
        <v>-1</v>
      </c>
      <c r="O29" s="2">
        <v>-1</v>
      </c>
      <c r="P29" s="2">
        <v>-1</v>
      </c>
      <c r="Q29" s="2">
        <v>-1</v>
      </c>
      <c r="R29" s="2">
        <v>-1</v>
      </c>
      <c r="S29" s="2">
        <v>-1</v>
      </c>
      <c r="T29" s="2">
        <v>0</v>
      </c>
      <c r="U29" s="2">
        <v>-1</v>
      </c>
      <c r="V29" s="2">
        <v>0</v>
      </c>
      <c r="W29" s="2">
        <v>-1</v>
      </c>
      <c r="X29" s="2">
        <v>-1</v>
      </c>
      <c r="Y29" s="2">
        <v>-1</v>
      </c>
      <c r="Z29" s="2">
        <v>0</v>
      </c>
      <c r="AA29" s="2">
        <v>0</v>
      </c>
      <c r="AB29" s="2">
        <v>0</v>
      </c>
      <c r="AC29" s="2">
        <v>0.5</v>
      </c>
      <c r="AD29" s="2">
        <v>1.5</v>
      </c>
      <c r="AE29" s="2">
        <v>-1</v>
      </c>
      <c r="AF29" s="2">
        <v>-1</v>
      </c>
      <c r="AG29" s="2">
        <v>0</v>
      </c>
      <c r="AH29" s="2">
        <v>0</v>
      </c>
      <c r="AI29" s="2">
        <v>0</v>
      </c>
      <c r="AJ29" s="2">
        <v>1</v>
      </c>
      <c r="AK29" s="2">
        <v>0</v>
      </c>
      <c r="AL29" s="2">
        <v>98</v>
      </c>
      <c r="AM29" s="2">
        <v>1</v>
      </c>
    </row>
    <row r="30" s="2" customFormat="1" spans="1:39">
      <c r="A30" s="3" t="str">
        <f t="shared" ref="A30:A32" si="2">IFERROR(A29+1,"#")</f>
        <v>#</v>
      </c>
      <c r="B30" s="10" t="str">
        <f>C30</f>
        <v>天渊星扇·星象</v>
      </c>
      <c r="C30" s="3" t="str">
        <f>FakeObject!B11</f>
        <v>天渊星扇·星象</v>
      </c>
      <c r="D30" s="10" t="str">
        <f>配置总览!N95</f>
        <v>Mq_tianyuanxingshantiangen</v>
      </c>
      <c r="F30" s="2">
        <v>65</v>
      </c>
      <c r="G30" s="2">
        <v>-1</v>
      </c>
      <c r="H30" s="2">
        <v>1.5</v>
      </c>
      <c r="I30" s="2">
        <v>1</v>
      </c>
      <c r="J30" s="2">
        <v>0.7</v>
      </c>
      <c r="K30" s="2">
        <v>1</v>
      </c>
      <c r="L30" s="2">
        <v>-1</v>
      </c>
      <c r="M30" s="2">
        <v>-1</v>
      </c>
      <c r="N30" s="2">
        <v>-1</v>
      </c>
      <c r="O30" s="2">
        <v>-1</v>
      </c>
      <c r="P30" s="2">
        <v>-1</v>
      </c>
      <c r="Q30" s="2">
        <v>-1</v>
      </c>
      <c r="R30" s="2">
        <v>-1</v>
      </c>
      <c r="S30" s="2">
        <v>-1</v>
      </c>
      <c r="T30" s="2">
        <v>0</v>
      </c>
      <c r="U30" s="2">
        <v>-1</v>
      </c>
      <c r="V30" s="2">
        <v>0</v>
      </c>
      <c r="W30" s="2">
        <v>-1</v>
      </c>
      <c r="X30" s="2">
        <v>-1</v>
      </c>
      <c r="Y30" s="2">
        <v>-1</v>
      </c>
      <c r="Z30" s="2">
        <v>0</v>
      </c>
      <c r="AA30" s="2">
        <v>0</v>
      </c>
      <c r="AB30" s="2">
        <v>0</v>
      </c>
      <c r="AC30" s="2">
        <v>0.5</v>
      </c>
      <c r="AD30" s="2">
        <v>1.5</v>
      </c>
      <c r="AE30" s="2">
        <v>-1</v>
      </c>
      <c r="AF30" s="2">
        <v>-1</v>
      </c>
      <c r="AG30" s="2">
        <v>0</v>
      </c>
      <c r="AH30" s="2">
        <v>0</v>
      </c>
      <c r="AI30" s="2">
        <v>0</v>
      </c>
      <c r="AJ30" s="2">
        <v>1</v>
      </c>
      <c r="AK30" s="2">
        <v>0</v>
      </c>
      <c r="AL30" s="2">
        <v>98</v>
      </c>
      <c r="AM30" s="2">
        <v>1</v>
      </c>
    </row>
    <row r="31" s="2" customFormat="1" spans="1:39">
      <c r="A31" s="3" t="str">
        <f t="shared" si="2"/>
        <v>#</v>
      </c>
      <c r="B31" s="10" t="str">
        <f>C31</f>
        <v>天渊星扇·天垣</v>
      </c>
      <c r="C31" s="3" t="str">
        <f>FakeObject!B12</f>
        <v>天渊星扇·天垣</v>
      </c>
      <c r="D31" s="10" t="str">
        <f>配置总览!N96</f>
        <v>Mq_tianyuanxingshantianxingyin</v>
      </c>
      <c r="F31" s="2">
        <v>65</v>
      </c>
      <c r="G31" s="2">
        <v>-1</v>
      </c>
      <c r="H31" s="2">
        <v>1.5</v>
      </c>
      <c r="I31" s="2">
        <v>1</v>
      </c>
      <c r="J31" s="2">
        <v>0.7</v>
      </c>
      <c r="K31" s="2">
        <v>1</v>
      </c>
      <c r="L31" s="2">
        <v>-1</v>
      </c>
      <c r="M31" s="2">
        <v>-1</v>
      </c>
      <c r="N31" s="2">
        <v>-1</v>
      </c>
      <c r="O31" s="2">
        <v>-1</v>
      </c>
      <c r="P31" s="2">
        <v>-1</v>
      </c>
      <c r="Q31" s="2">
        <v>-1</v>
      </c>
      <c r="R31" s="2">
        <v>-1</v>
      </c>
      <c r="S31" s="2">
        <v>-1</v>
      </c>
      <c r="T31" s="2">
        <v>0</v>
      </c>
      <c r="U31" s="2">
        <v>-1</v>
      </c>
      <c r="V31" s="2">
        <v>0</v>
      </c>
      <c r="W31" s="2">
        <v>-1</v>
      </c>
      <c r="X31" s="2">
        <v>-1</v>
      </c>
      <c r="Y31" s="2">
        <v>-1</v>
      </c>
      <c r="Z31" s="2">
        <v>0</v>
      </c>
      <c r="AA31" s="2">
        <v>0</v>
      </c>
      <c r="AB31" s="2">
        <v>0</v>
      </c>
      <c r="AC31" s="2">
        <v>0.5</v>
      </c>
      <c r="AD31" s="2">
        <v>1.5</v>
      </c>
      <c r="AE31" s="2">
        <v>-1</v>
      </c>
      <c r="AF31" s="2">
        <v>-1</v>
      </c>
      <c r="AG31" s="2">
        <v>0</v>
      </c>
      <c r="AH31" s="2">
        <v>0</v>
      </c>
      <c r="AI31" s="2">
        <v>0</v>
      </c>
      <c r="AJ31" s="2">
        <v>1</v>
      </c>
      <c r="AK31" s="2">
        <v>0</v>
      </c>
      <c r="AL31" s="2">
        <v>98</v>
      </c>
      <c r="AM31" s="2">
        <v>1</v>
      </c>
    </row>
    <row r="32" s="2" customFormat="1" spans="1:39">
      <c r="A32" s="3" t="str">
        <f t="shared" si="2"/>
        <v>#</v>
      </c>
      <c r="B32" s="10" t="str">
        <f>C32</f>
        <v>天渊星扇·天星引</v>
      </c>
      <c r="C32" s="3" t="str">
        <f>FakeObject!B13</f>
        <v>天渊星扇·天星引</v>
      </c>
      <c r="D32" s="10" t="str">
        <f>配置总览!N97</f>
        <v>Mq_tiankuiyinxiaoxingxiang</v>
      </c>
      <c r="F32" s="2">
        <v>65</v>
      </c>
      <c r="G32" s="2">
        <v>-1</v>
      </c>
      <c r="H32" s="2">
        <v>1.5</v>
      </c>
      <c r="I32" s="2">
        <v>1</v>
      </c>
      <c r="J32" s="2">
        <v>0.7</v>
      </c>
      <c r="K32" s="2">
        <v>1</v>
      </c>
      <c r="L32" s="2">
        <v>-1</v>
      </c>
      <c r="M32" s="2">
        <v>-1</v>
      </c>
      <c r="N32" s="2">
        <v>-1</v>
      </c>
      <c r="O32" s="2">
        <v>-1</v>
      </c>
      <c r="P32" s="2">
        <v>-1</v>
      </c>
      <c r="Q32" s="2">
        <v>-1</v>
      </c>
      <c r="R32" s="2">
        <v>-1</v>
      </c>
      <c r="S32" s="2">
        <v>-1</v>
      </c>
      <c r="T32" s="2">
        <v>0</v>
      </c>
      <c r="U32" s="2">
        <v>-1</v>
      </c>
      <c r="V32" s="2">
        <v>0</v>
      </c>
      <c r="W32" s="2">
        <v>-1</v>
      </c>
      <c r="X32" s="2">
        <v>-1</v>
      </c>
      <c r="Y32" s="2">
        <v>-1</v>
      </c>
      <c r="Z32" s="2">
        <v>0</v>
      </c>
      <c r="AA32" s="2">
        <v>0</v>
      </c>
      <c r="AB32" s="2">
        <v>0</v>
      </c>
      <c r="AC32" s="2">
        <v>0.5</v>
      </c>
      <c r="AD32" s="2">
        <v>1.5</v>
      </c>
      <c r="AE32" s="2">
        <v>-1</v>
      </c>
      <c r="AF32" s="2">
        <v>-1</v>
      </c>
      <c r="AG32" s="2">
        <v>0</v>
      </c>
      <c r="AH32" s="2">
        <v>0</v>
      </c>
      <c r="AI32" s="2">
        <v>0</v>
      </c>
      <c r="AJ32" s="2">
        <v>1</v>
      </c>
      <c r="AK32" s="2">
        <v>0</v>
      </c>
      <c r="AL32" s="2">
        <v>98</v>
      </c>
      <c r="AM32" s="2">
        <v>1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"/>
  <sheetViews>
    <sheetView workbookViewId="0">
      <selection activeCell="E4" sqref="E4"/>
    </sheetView>
  </sheetViews>
  <sheetFormatPr defaultColWidth="9" defaultRowHeight="14.25" outlineLevelRow="7" outlineLevelCol="6"/>
  <cols>
    <col min="2" max="2" width="33.25" customWidth="1"/>
    <col min="7" max="7" width="19.25" customWidth="1"/>
  </cols>
  <sheetData>
    <row r="1" spans="1:7">
      <c r="A1" s="1" t="s">
        <v>312</v>
      </c>
      <c r="B1" s="1" t="s">
        <v>313</v>
      </c>
      <c r="C1" s="1" t="s">
        <v>564</v>
      </c>
      <c r="D1" s="1" t="s">
        <v>1229</v>
      </c>
      <c r="E1" s="1" t="s">
        <v>1230</v>
      </c>
      <c r="F1" s="1" t="s">
        <v>1231</v>
      </c>
      <c r="G1" s="1" t="s">
        <v>389</v>
      </c>
    </row>
    <row r="2" spans="1:7">
      <c r="A2" s="1" t="s">
        <v>315</v>
      </c>
      <c r="B2" s="1" t="s">
        <v>316</v>
      </c>
      <c r="C2" s="1" t="s">
        <v>315</v>
      </c>
      <c r="D2" s="1" t="s">
        <v>316</v>
      </c>
      <c r="E2" s="1" t="s">
        <v>315</v>
      </c>
      <c r="F2" s="1" t="s">
        <v>315</v>
      </c>
      <c r="G2" s="1" t="s">
        <v>316</v>
      </c>
    </row>
    <row r="3" spans="1:7">
      <c r="A3" s="1" t="s">
        <v>1232</v>
      </c>
      <c r="B3" s="1"/>
      <c r="C3" s="1"/>
      <c r="D3" s="1"/>
      <c r="E3" s="1"/>
      <c r="F3" s="1"/>
      <c r="G3" s="1"/>
    </row>
    <row r="4" spans="1:7">
      <c r="A4" s="1" t="s">
        <v>1233</v>
      </c>
      <c r="B4" s="1" t="s">
        <v>536</v>
      </c>
      <c r="C4" s="1" t="s">
        <v>1234</v>
      </c>
      <c r="D4" s="1" t="s">
        <v>1235</v>
      </c>
      <c r="E4" s="1" t="s">
        <v>1236</v>
      </c>
      <c r="F4" s="1" t="s">
        <v>1237</v>
      </c>
      <c r="G4" s="1" t="s">
        <v>1238</v>
      </c>
    </row>
    <row r="5" spans="1:7">
      <c r="A5" s="7">
        <f>IF(配置总览!$B$116="导出",配置总览!H118,"#")</f>
        <v>78</v>
      </c>
      <c r="B5" s="3" t="str">
        <f>CommonItem!B53</f>
        <v>双人动作-经典制皂</v>
      </c>
      <c r="C5" s="7">
        <f>CommonItem!A53</f>
        <v>35098</v>
      </c>
      <c r="D5">
        <v>-1</v>
      </c>
      <c r="E5" s="7">
        <f>IF(配置总览!$H$116="单人",CharInteractSingle!A5,-1)</f>
        <v>-1</v>
      </c>
      <c r="F5" s="7">
        <f>IF(配置总览!$H$116="双人",CharInteract!$E$5,-1)</f>
        <v>24</v>
      </c>
      <c r="G5" s="7" t="str">
        <f>CommonItem!C53</f>
        <v>双人动作：经典制皂</v>
      </c>
    </row>
    <row r="6" spans="1:7">
      <c r="A6" s="2"/>
      <c r="B6" s="2"/>
      <c r="C6" s="2"/>
      <c r="D6" s="2"/>
      <c r="E6" s="2"/>
      <c r="F6" s="2"/>
      <c r="G6" s="2"/>
    </row>
    <row r="8" spans="5:5">
      <c r="E8" s="12"/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"/>
  <sheetViews>
    <sheetView workbookViewId="0">
      <selection activeCell="H15" sqref="H15"/>
    </sheetView>
  </sheetViews>
  <sheetFormatPr defaultColWidth="9" defaultRowHeight="14.25" outlineLevelRow="4"/>
  <cols>
    <col min="16" max="16" width="25.625" customWidth="1"/>
  </cols>
  <sheetData>
    <row r="1" spans="1:17">
      <c r="A1" s="1" t="s">
        <v>312</v>
      </c>
      <c r="B1" s="1" t="s">
        <v>313</v>
      </c>
      <c r="C1" s="1" t="s">
        <v>389</v>
      </c>
      <c r="D1" s="1" t="s">
        <v>1239</v>
      </c>
      <c r="E1" s="1" t="s">
        <v>1240</v>
      </c>
      <c r="F1" s="1" t="s">
        <v>1241</v>
      </c>
      <c r="G1" s="1" t="s">
        <v>1242</v>
      </c>
      <c r="H1" s="1" t="s">
        <v>1243</v>
      </c>
      <c r="I1" s="1" t="s">
        <v>1244</v>
      </c>
      <c r="J1" s="1" t="s">
        <v>1245</v>
      </c>
      <c r="K1" s="1" t="s">
        <v>1246</v>
      </c>
      <c r="L1" s="1" t="s">
        <v>1247</v>
      </c>
      <c r="M1" s="1" t="s">
        <v>413</v>
      </c>
      <c r="N1" s="1" t="s">
        <v>1248</v>
      </c>
      <c r="O1" s="1" t="s">
        <v>1249</v>
      </c>
      <c r="P1" s="1" t="s">
        <v>1250</v>
      </c>
      <c r="Q1" s="1" t="s">
        <v>735</v>
      </c>
    </row>
    <row r="2" spans="1:17">
      <c r="A2" s="1" t="s">
        <v>315</v>
      </c>
      <c r="B2" s="1" t="s">
        <v>316</v>
      </c>
      <c r="C2" s="1" t="s">
        <v>316</v>
      </c>
      <c r="D2" s="1" t="s">
        <v>1251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589</v>
      </c>
      <c r="O2" s="1" t="s">
        <v>589</v>
      </c>
      <c r="P2" s="1" t="s">
        <v>316</v>
      </c>
      <c r="Q2" s="1" t="s">
        <v>316</v>
      </c>
    </row>
    <row r="3" spans="1:17">
      <c r="A3" s="1" t="s">
        <v>1252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>
      <c r="A4" s="1" t="s">
        <v>1100</v>
      </c>
      <c r="B4" s="1" t="s">
        <v>319</v>
      </c>
      <c r="C4" s="1" t="s">
        <v>1253</v>
      </c>
      <c r="D4" s="1" t="s">
        <v>1254</v>
      </c>
      <c r="E4" s="1" t="s">
        <v>1255</v>
      </c>
      <c r="F4" s="1" t="s">
        <v>1256</v>
      </c>
      <c r="G4" s="1" t="s">
        <v>1257</v>
      </c>
      <c r="H4" s="1" t="s">
        <v>1258</v>
      </c>
      <c r="I4" s="1" t="s">
        <v>1259</v>
      </c>
      <c r="J4" s="1" t="s">
        <v>1260</v>
      </c>
      <c r="K4" s="1" t="s">
        <v>1261</v>
      </c>
      <c r="L4" s="1" t="s">
        <v>1262</v>
      </c>
      <c r="M4" s="1" t="s">
        <v>1263</v>
      </c>
      <c r="N4" s="1" t="s">
        <v>1264</v>
      </c>
      <c r="O4" s="1" t="s">
        <v>1265</v>
      </c>
      <c r="P4" s="1" t="s">
        <v>234</v>
      </c>
      <c r="Q4" s="1" t="s">
        <v>1266</v>
      </c>
    </row>
    <row r="5" spans="1:17">
      <c r="A5" s="7" t="str">
        <f>IF(配置总览!$B$116="导出",IF(配置总览!$H$116="单人",配置总览!H119,"#"),"#")</f>
        <v>#</v>
      </c>
      <c r="B5" s="3" t="str">
        <f>C5</f>
        <v>经典制皂</v>
      </c>
      <c r="C5" s="3" t="str">
        <f>配置总览!E116</f>
        <v>经典制皂</v>
      </c>
      <c r="D5">
        <v>-1</v>
      </c>
      <c r="E5">
        <v>-1</v>
      </c>
      <c r="F5" s="9" t="str">
        <f>Animation!A5</f>
        <v>#</v>
      </c>
      <c r="G5" s="9" t="str">
        <f>Animation!A6</f>
        <v>#</v>
      </c>
      <c r="H5" s="9" t="str">
        <f>Animation!A7</f>
        <v>#</v>
      </c>
      <c r="I5">
        <v>1</v>
      </c>
      <c r="J5">
        <v>1</v>
      </c>
      <c r="K5">
        <v>1</v>
      </c>
      <c r="L5">
        <v>-1</v>
      </c>
      <c r="M5">
        <v>-1</v>
      </c>
      <c r="N5">
        <v>1</v>
      </c>
      <c r="O5">
        <v>1</v>
      </c>
      <c r="P5" s="7" t="str">
        <f>配置总览!N119</f>
        <v>TP_x_icon_action_jingdianzhizao</v>
      </c>
      <c r="Q5" s="7" t="str">
        <f>配置总览!E118</f>
        <v>节日活动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6"/>
  <sheetViews>
    <sheetView workbookViewId="0">
      <selection activeCell="B18" sqref="B18"/>
    </sheetView>
  </sheetViews>
  <sheetFormatPr defaultColWidth="9" defaultRowHeight="14.25"/>
  <cols>
    <col min="1" max="1" width="9" style="2"/>
    <col min="2" max="2" width="26.5" style="2" customWidth="1"/>
    <col min="3" max="3" width="10.875" style="2" customWidth="1"/>
    <col min="4" max="16384" width="9" style="2"/>
  </cols>
  <sheetData>
    <row r="1" spans="1:36">
      <c r="A1" s="1" t="s">
        <v>312</v>
      </c>
      <c r="B1" s="1" t="s">
        <v>313</v>
      </c>
      <c r="C1" s="1" t="s">
        <v>389</v>
      </c>
      <c r="D1" s="1" t="s">
        <v>735</v>
      </c>
      <c r="E1" s="1" t="s">
        <v>1231</v>
      </c>
      <c r="F1" s="1" t="s">
        <v>1267</v>
      </c>
      <c r="G1" s="1" t="s">
        <v>1268</v>
      </c>
      <c r="H1" s="1" t="s">
        <v>1269</v>
      </c>
      <c r="I1" s="1" t="s">
        <v>1270</v>
      </c>
      <c r="J1" s="1" t="s">
        <v>1271</v>
      </c>
      <c r="K1" s="1" t="s">
        <v>1272</v>
      </c>
      <c r="L1" s="1" t="s">
        <v>1273</v>
      </c>
      <c r="M1" s="1" t="s">
        <v>1274</v>
      </c>
      <c r="N1" s="1" t="s">
        <v>1275</v>
      </c>
      <c r="O1" s="1" t="s">
        <v>1276</v>
      </c>
      <c r="P1" s="1" t="s">
        <v>1277</v>
      </c>
      <c r="Q1" s="1" t="s">
        <v>1278</v>
      </c>
      <c r="R1" s="1" t="s">
        <v>1279</v>
      </c>
      <c r="S1" s="1" t="s">
        <v>1280</v>
      </c>
      <c r="T1" s="1" t="s">
        <v>1281</v>
      </c>
      <c r="U1" s="1" t="s">
        <v>1282</v>
      </c>
      <c r="V1" s="1" t="s">
        <v>1283</v>
      </c>
      <c r="W1" s="1" t="s">
        <v>1284</v>
      </c>
      <c r="X1" s="1" t="s">
        <v>1285</v>
      </c>
      <c r="Y1" s="1" t="s">
        <v>1286</v>
      </c>
      <c r="Z1" s="1" t="s">
        <v>1287</v>
      </c>
      <c r="AA1" s="1" t="s">
        <v>1288</v>
      </c>
      <c r="AB1" s="1" t="s">
        <v>1289</v>
      </c>
      <c r="AC1" s="1" t="s">
        <v>1290</v>
      </c>
      <c r="AD1" s="1" t="s">
        <v>1291</v>
      </c>
      <c r="AE1" s="1" t="s">
        <v>1292</v>
      </c>
      <c r="AF1" s="1" t="s">
        <v>1293</v>
      </c>
      <c r="AG1" s="1" t="s">
        <v>1294</v>
      </c>
      <c r="AH1" s="1" t="s">
        <v>1295</v>
      </c>
      <c r="AI1" s="1" t="s">
        <v>1296</v>
      </c>
      <c r="AJ1" s="1" t="s">
        <v>1297</v>
      </c>
    </row>
    <row r="2" spans="1:36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445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445</v>
      </c>
      <c r="AF2" s="1" t="s">
        <v>315</v>
      </c>
      <c r="AG2" s="1" t="s">
        <v>315</v>
      </c>
      <c r="AH2" s="1" t="s">
        <v>315</v>
      </c>
      <c r="AI2" s="1" t="s">
        <v>315</v>
      </c>
      <c r="AJ2" s="1" t="s">
        <v>315</v>
      </c>
    </row>
    <row r="3" spans="1:36">
      <c r="A3" s="1" t="s">
        <v>1252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 t="s">
        <v>447</v>
      </c>
      <c r="AD3" s="1"/>
      <c r="AE3" s="1"/>
      <c r="AF3" s="1" t="s">
        <v>447</v>
      </c>
      <c r="AG3" s="1"/>
      <c r="AH3" s="1"/>
      <c r="AI3" s="1"/>
      <c r="AJ3" s="1"/>
    </row>
    <row r="4" spans="1:36">
      <c r="A4" s="1" t="s">
        <v>1100</v>
      </c>
      <c r="B4" s="1" t="s">
        <v>319</v>
      </c>
      <c r="C4" s="1" t="s">
        <v>1253</v>
      </c>
      <c r="D4" s="1" t="s">
        <v>1266</v>
      </c>
      <c r="E4" s="1" t="s">
        <v>1298</v>
      </c>
      <c r="F4" s="1" t="s">
        <v>1299</v>
      </c>
      <c r="G4" s="1" t="s">
        <v>1300</v>
      </c>
      <c r="H4" s="1" t="s">
        <v>1301</v>
      </c>
      <c r="I4" s="1" t="s">
        <v>1302</v>
      </c>
      <c r="J4" s="1" t="s">
        <v>1303</v>
      </c>
      <c r="K4" s="1" t="s">
        <v>1304</v>
      </c>
      <c r="L4" s="1" t="s">
        <v>1305</v>
      </c>
      <c r="M4" s="1" t="s">
        <v>1306</v>
      </c>
      <c r="N4" s="1" t="s">
        <v>1307</v>
      </c>
      <c r="O4" s="1" t="s">
        <v>1308</v>
      </c>
      <c r="P4" s="1" t="s">
        <v>1309</v>
      </c>
      <c r="Q4" s="1" t="s">
        <v>1310</v>
      </c>
      <c r="R4" s="1" t="s">
        <v>1311</v>
      </c>
      <c r="S4" s="1" t="s">
        <v>1312</v>
      </c>
      <c r="T4" s="1" t="s">
        <v>1313</v>
      </c>
      <c r="U4" s="1" t="s">
        <v>1314</v>
      </c>
      <c r="V4" s="1" t="s">
        <v>1315</v>
      </c>
      <c r="W4" s="1" t="s">
        <v>1316</v>
      </c>
      <c r="X4" s="1" t="s">
        <v>1317</v>
      </c>
      <c r="Y4" s="1" t="s">
        <v>1318</v>
      </c>
      <c r="Z4" s="1" t="s">
        <v>1319</v>
      </c>
      <c r="AA4" s="1" t="s">
        <v>1320</v>
      </c>
      <c r="AB4" s="1" t="s">
        <v>1321</v>
      </c>
      <c r="AC4" s="1"/>
      <c r="AD4" s="1" t="s">
        <v>1322</v>
      </c>
      <c r="AE4" s="1" t="s">
        <v>1323</v>
      </c>
      <c r="AF4" s="1" t="s">
        <v>1324</v>
      </c>
      <c r="AG4" s="1" t="s">
        <v>1325</v>
      </c>
      <c r="AH4" s="1" t="s">
        <v>1326</v>
      </c>
      <c r="AI4" s="1" t="s">
        <v>1327</v>
      </c>
      <c r="AJ4" s="1" t="s">
        <v>1328</v>
      </c>
    </row>
    <row r="5" spans="1:36">
      <c r="A5" s="11">
        <f>IF(配置总览!$B$116="导出",IF(配置总览!$H$116="双人",36+配置总览!H120*12,"#"),"#")</f>
        <v>324</v>
      </c>
      <c r="B5" s="11" t="str">
        <f>C5&amp;"-虎人+人毛女性"</f>
        <v>经典制皂-虎人+人毛女性</v>
      </c>
      <c r="C5" s="11" t="str">
        <f>配置总览!E116</f>
        <v>经典制皂</v>
      </c>
      <c r="D5" s="11" t="str">
        <f>配置总览!E118</f>
        <v>节日活动</v>
      </c>
      <c r="E5" s="11">
        <f>配置总览!H120</f>
        <v>24</v>
      </c>
      <c r="F5" s="2">
        <v>32</v>
      </c>
      <c r="G5" s="2">
        <v>0</v>
      </c>
      <c r="H5" s="2">
        <v>0</v>
      </c>
      <c r="I5" s="11">
        <f>Animation!A10</f>
        <v>22728</v>
      </c>
      <c r="J5" s="11">
        <f>Animation!A9</f>
        <v>22727</v>
      </c>
      <c r="K5" s="10">
        <f>I5</f>
        <v>22728</v>
      </c>
      <c r="L5" s="10">
        <f t="shared" ref="L5:L16" si="0">J5</f>
        <v>22727</v>
      </c>
      <c r="M5" s="2">
        <v>-1</v>
      </c>
      <c r="N5" s="2">
        <v>-1</v>
      </c>
      <c r="O5" s="2">
        <v>-1</v>
      </c>
      <c r="P5" s="2">
        <v>-1</v>
      </c>
      <c r="Q5" s="2">
        <v>-1</v>
      </c>
      <c r="R5" s="2">
        <v>-1</v>
      </c>
      <c r="S5" s="2">
        <v>-1</v>
      </c>
      <c r="T5" s="2">
        <v>-1</v>
      </c>
      <c r="U5" s="2">
        <v>-1</v>
      </c>
      <c r="V5" s="2">
        <v>-1</v>
      </c>
      <c r="W5" s="2">
        <v>-1</v>
      </c>
      <c r="X5" s="2">
        <v>-1</v>
      </c>
      <c r="Y5" s="11">
        <f>配置总览!N121</f>
        <v>22</v>
      </c>
      <c r="Z5" s="2">
        <v>1</v>
      </c>
      <c r="AA5" s="2">
        <v>1</v>
      </c>
      <c r="AB5" s="2">
        <v>1</v>
      </c>
      <c r="AC5" s="2">
        <v>-1</v>
      </c>
      <c r="AD5" s="2">
        <v>1</v>
      </c>
      <c r="AE5" s="2">
        <v>0.5</v>
      </c>
      <c r="AF5" s="2">
        <v>1</v>
      </c>
      <c r="AG5" s="2">
        <v>-1</v>
      </c>
      <c r="AH5" s="2">
        <v>0</v>
      </c>
      <c r="AI5" s="2">
        <v>0</v>
      </c>
      <c r="AJ5" s="2">
        <v>0</v>
      </c>
    </row>
    <row r="6" spans="1:36">
      <c r="A6" s="3">
        <f t="shared" ref="A6:A16" si="1">IFERROR(A5+1,"#")</f>
        <v>325</v>
      </c>
      <c r="B6" s="11" t="str">
        <f>C5&amp;"-人毛女性被虎人"</f>
        <v>经典制皂-人毛女性被虎人</v>
      </c>
      <c r="C6" s="3" t="str">
        <f t="shared" ref="C6:C16" si="2">C5</f>
        <v>经典制皂</v>
      </c>
      <c r="D6" s="3" t="str">
        <f>D5</f>
        <v>节日活动</v>
      </c>
      <c r="E6" s="3">
        <f>E5</f>
        <v>24</v>
      </c>
      <c r="F6" s="2">
        <v>23</v>
      </c>
      <c r="G6" s="2">
        <v>0</v>
      </c>
      <c r="H6" s="2">
        <v>0</v>
      </c>
      <c r="I6" s="10">
        <f t="shared" ref="I6:I10" si="3">$J$5</f>
        <v>22727</v>
      </c>
      <c r="J6" s="10">
        <f>$I$5</f>
        <v>22728</v>
      </c>
      <c r="K6" s="10">
        <f t="shared" ref="K6:K16" si="4">I6</f>
        <v>22727</v>
      </c>
      <c r="L6" s="10">
        <f t="shared" si="0"/>
        <v>22728</v>
      </c>
      <c r="M6" s="2">
        <v>-1</v>
      </c>
      <c r="N6" s="2">
        <v>-1</v>
      </c>
      <c r="O6" s="2">
        <v>-1</v>
      </c>
      <c r="P6" s="2">
        <v>-1</v>
      </c>
      <c r="Q6" s="2">
        <v>-1</v>
      </c>
      <c r="R6" s="2">
        <v>-1</v>
      </c>
      <c r="S6" s="2">
        <v>-1</v>
      </c>
      <c r="T6" s="2">
        <v>-1</v>
      </c>
      <c r="U6" s="2">
        <v>-1</v>
      </c>
      <c r="V6" s="2">
        <v>-1</v>
      </c>
      <c r="W6" s="2">
        <v>-1</v>
      </c>
      <c r="X6" s="2">
        <v>-1</v>
      </c>
      <c r="Y6" s="3">
        <f t="shared" ref="Y6:Y16" si="5">Y5</f>
        <v>22</v>
      </c>
      <c r="Z6" s="2">
        <v>1</v>
      </c>
      <c r="AA6" s="2">
        <v>1</v>
      </c>
      <c r="AB6" s="2">
        <v>1</v>
      </c>
      <c r="AC6" s="2">
        <v>-1</v>
      </c>
      <c r="AD6" s="2">
        <v>1</v>
      </c>
      <c r="AE6" s="2">
        <v>0.5</v>
      </c>
      <c r="AF6" s="2">
        <v>1</v>
      </c>
      <c r="AG6" s="2">
        <v>-1</v>
      </c>
      <c r="AH6" s="2">
        <v>0</v>
      </c>
      <c r="AI6" s="2">
        <v>0</v>
      </c>
      <c r="AJ6" s="2">
        <v>0</v>
      </c>
    </row>
    <row r="7" spans="1:36">
      <c r="A7" s="3">
        <f t="shared" si="1"/>
        <v>326</v>
      </c>
      <c r="B7" s="11" t="str">
        <f>C5&amp;"-毛人+人毛女性"</f>
        <v>经典制皂-毛人+人毛女性</v>
      </c>
      <c r="C7" s="3" t="str">
        <f t="shared" si="2"/>
        <v>经典制皂</v>
      </c>
      <c r="D7" s="3" t="str">
        <f t="shared" ref="D7:D16" si="6">D6</f>
        <v>节日活动</v>
      </c>
      <c r="E7" s="3">
        <f t="shared" ref="E7:E16" si="7">E6</f>
        <v>24</v>
      </c>
      <c r="F7" s="2">
        <v>12</v>
      </c>
      <c r="G7" s="2">
        <v>0</v>
      </c>
      <c r="H7" s="2">
        <v>0</v>
      </c>
      <c r="I7" s="11">
        <f>Animation!A8</f>
        <v>22726</v>
      </c>
      <c r="J7" s="10">
        <f t="shared" ref="J7:J11" si="8">$J$5</f>
        <v>22727</v>
      </c>
      <c r="K7" s="10">
        <f>I7</f>
        <v>22726</v>
      </c>
      <c r="L7" s="10">
        <f t="shared" si="0"/>
        <v>22727</v>
      </c>
      <c r="M7" s="2">
        <v>-1</v>
      </c>
      <c r="N7" s="2">
        <v>-1</v>
      </c>
      <c r="O7" s="2">
        <v>-1</v>
      </c>
      <c r="P7" s="2">
        <v>-1</v>
      </c>
      <c r="Q7" s="2">
        <v>-1</v>
      </c>
      <c r="R7" s="2">
        <v>-1</v>
      </c>
      <c r="S7" s="2">
        <v>-1</v>
      </c>
      <c r="T7" s="2">
        <v>-1</v>
      </c>
      <c r="U7" s="2">
        <v>-1</v>
      </c>
      <c r="V7" s="2">
        <v>-1</v>
      </c>
      <c r="W7" s="2">
        <v>-1</v>
      </c>
      <c r="X7" s="2">
        <v>-1</v>
      </c>
      <c r="Y7" s="3">
        <f t="shared" si="5"/>
        <v>22</v>
      </c>
      <c r="Z7" s="2">
        <v>1</v>
      </c>
      <c r="AA7" s="2">
        <v>1</v>
      </c>
      <c r="AB7" s="2">
        <v>1</v>
      </c>
      <c r="AC7" s="2">
        <v>-1</v>
      </c>
      <c r="AD7" s="2">
        <v>1</v>
      </c>
      <c r="AE7" s="2">
        <v>0.5</v>
      </c>
      <c r="AF7" s="2">
        <v>1</v>
      </c>
      <c r="AG7" s="2">
        <v>-1</v>
      </c>
      <c r="AH7" s="2">
        <v>0</v>
      </c>
      <c r="AI7" s="2">
        <v>0</v>
      </c>
      <c r="AJ7" s="2">
        <v>0</v>
      </c>
    </row>
    <row r="8" spans="1:36">
      <c r="A8" s="3">
        <f t="shared" si="1"/>
        <v>327</v>
      </c>
      <c r="B8" s="11" t="str">
        <f>C5&amp;"-人毛女性被毛人"</f>
        <v>经典制皂-人毛女性被毛人</v>
      </c>
      <c r="C8" s="3" t="str">
        <f t="shared" si="2"/>
        <v>经典制皂</v>
      </c>
      <c r="D8" s="3" t="str">
        <f t="shared" si="6"/>
        <v>节日活动</v>
      </c>
      <c r="E8" s="3">
        <f t="shared" si="7"/>
        <v>24</v>
      </c>
      <c r="F8" s="2">
        <v>21</v>
      </c>
      <c r="G8" s="2">
        <v>0</v>
      </c>
      <c r="H8" s="2">
        <v>0</v>
      </c>
      <c r="I8" s="10">
        <f t="shared" si="3"/>
        <v>22727</v>
      </c>
      <c r="J8" s="10">
        <f>$I$7</f>
        <v>22726</v>
      </c>
      <c r="K8" s="10">
        <f>I8</f>
        <v>22727</v>
      </c>
      <c r="L8" s="10">
        <f t="shared" si="0"/>
        <v>22726</v>
      </c>
      <c r="M8" s="2">
        <v>-1</v>
      </c>
      <c r="N8" s="2">
        <v>-1</v>
      </c>
      <c r="O8" s="2">
        <v>-1</v>
      </c>
      <c r="P8" s="2">
        <v>-1</v>
      </c>
      <c r="Q8" s="2">
        <v>-1</v>
      </c>
      <c r="R8" s="2">
        <v>-1</v>
      </c>
      <c r="S8" s="2">
        <v>-1</v>
      </c>
      <c r="T8" s="2">
        <v>-1</v>
      </c>
      <c r="U8" s="2">
        <v>-1</v>
      </c>
      <c r="V8" s="2">
        <v>-1</v>
      </c>
      <c r="W8" s="2">
        <v>-1</v>
      </c>
      <c r="X8" s="2">
        <v>-1</v>
      </c>
      <c r="Y8" s="3">
        <f t="shared" si="5"/>
        <v>22</v>
      </c>
      <c r="Z8" s="2">
        <v>1</v>
      </c>
      <c r="AA8" s="2">
        <v>1</v>
      </c>
      <c r="AB8" s="2">
        <v>1</v>
      </c>
      <c r="AC8" s="2">
        <v>-1</v>
      </c>
      <c r="AD8" s="2">
        <v>1</v>
      </c>
      <c r="AE8" s="2">
        <v>0.5</v>
      </c>
      <c r="AF8" s="2">
        <v>1</v>
      </c>
      <c r="AG8" s="2">
        <v>-1</v>
      </c>
      <c r="AH8" s="2">
        <v>0</v>
      </c>
      <c r="AI8" s="2">
        <v>0</v>
      </c>
      <c r="AJ8" s="2">
        <v>0</v>
      </c>
    </row>
    <row r="9" spans="1:36">
      <c r="A9" s="3">
        <f t="shared" si="1"/>
        <v>328</v>
      </c>
      <c r="B9" s="11" t="str">
        <f>C5&amp;"-男人+人毛女性"</f>
        <v>经典制皂-男人+人毛女性</v>
      </c>
      <c r="C9" s="3" t="str">
        <f t="shared" si="2"/>
        <v>经典制皂</v>
      </c>
      <c r="D9" s="3" t="str">
        <f t="shared" si="6"/>
        <v>节日活动</v>
      </c>
      <c r="E9" s="3">
        <f t="shared" si="7"/>
        <v>24</v>
      </c>
      <c r="F9" s="2">
        <v>72</v>
      </c>
      <c r="G9" s="2">
        <v>0</v>
      </c>
      <c r="H9" s="2">
        <v>0</v>
      </c>
      <c r="I9" s="10">
        <f t="shared" ref="I9:I13" si="9">$I$7</f>
        <v>22726</v>
      </c>
      <c r="J9" s="10">
        <f t="shared" si="8"/>
        <v>22727</v>
      </c>
      <c r="K9" s="10">
        <f t="shared" si="4"/>
        <v>22726</v>
      </c>
      <c r="L9" s="10">
        <f t="shared" si="0"/>
        <v>22727</v>
      </c>
      <c r="M9" s="2">
        <v>-1</v>
      </c>
      <c r="N9" s="2">
        <v>-1</v>
      </c>
      <c r="O9" s="2">
        <v>-1</v>
      </c>
      <c r="P9" s="2">
        <v>-1</v>
      </c>
      <c r="Q9" s="2">
        <v>-1</v>
      </c>
      <c r="R9" s="2">
        <v>-1</v>
      </c>
      <c r="S9" s="2">
        <v>-1</v>
      </c>
      <c r="T9" s="2">
        <v>-1</v>
      </c>
      <c r="U9" s="2">
        <v>-1</v>
      </c>
      <c r="V9" s="2">
        <v>-1</v>
      </c>
      <c r="W9" s="2">
        <v>-1</v>
      </c>
      <c r="X9" s="2">
        <v>-1</v>
      </c>
      <c r="Y9" s="3">
        <f t="shared" si="5"/>
        <v>22</v>
      </c>
      <c r="Z9" s="2">
        <v>1</v>
      </c>
      <c r="AA9" s="2">
        <v>1</v>
      </c>
      <c r="AB9" s="2">
        <v>1</v>
      </c>
      <c r="AC9" s="2">
        <v>-1</v>
      </c>
      <c r="AD9" s="2">
        <v>1</v>
      </c>
      <c r="AE9" s="2">
        <v>0.5</v>
      </c>
      <c r="AF9" s="2">
        <v>1</v>
      </c>
      <c r="AG9" s="2">
        <v>-1</v>
      </c>
      <c r="AH9" s="2">
        <v>0</v>
      </c>
      <c r="AI9" s="2">
        <v>0</v>
      </c>
      <c r="AJ9" s="2">
        <v>0</v>
      </c>
    </row>
    <row r="10" spans="1:36">
      <c r="A10" s="3">
        <f t="shared" si="1"/>
        <v>329</v>
      </c>
      <c r="B10" s="11" t="str">
        <f>C5&amp;"-人毛女性被男人"</f>
        <v>经典制皂-人毛女性被男人</v>
      </c>
      <c r="C10" s="3" t="str">
        <f t="shared" si="2"/>
        <v>经典制皂</v>
      </c>
      <c r="D10" s="3" t="str">
        <f t="shared" si="6"/>
        <v>节日活动</v>
      </c>
      <c r="E10" s="3">
        <f t="shared" si="7"/>
        <v>24</v>
      </c>
      <c r="F10" s="2">
        <v>27</v>
      </c>
      <c r="G10" s="2">
        <v>0</v>
      </c>
      <c r="H10" s="2">
        <v>0</v>
      </c>
      <c r="I10" s="10">
        <f t="shared" si="3"/>
        <v>22727</v>
      </c>
      <c r="J10" s="10">
        <f>$I$7</f>
        <v>22726</v>
      </c>
      <c r="K10" s="10">
        <f t="shared" si="4"/>
        <v>22727</v>
      </c>
      <c r="L10" s="10">
        <f t="shared" si="0"/>
        <v>22726</v>
      </c>
      <c r="M10" s="2">
        <v>-1</v>
      </c>
      <c r="N10" s="2">
        <v>-1</v>
      </c>
      <c r="O10" s="2">
        <v>-1</v>
      </c>
      <c r="P10" s="2">
        <v>-1</v>
      </c>
      <c r="Q10" s="2">
        <v>-1</v>
      </c>
      <c r="R10" s="2">
        <v>-1</v>
      </c>
      <c r="S10" s="2">
        <v>-1</v>
      </c>
      <c r="T10" s="2">
        <v>-1</v>
      </c>
      <c r="U10" s="2">
        <v>-1</v>
      </c>
      <c r="V10" s="2">
        <v>-1</v>
      </c>
      <c r="W10" s="2">
        <v>-1</v>
      </c>
      <c r="X10" s="2">
        <v>-1</v>
      </c>
      <c r="Y10" s="3">
        <f t="shared" si="5"/>
        <v>22</v>
      </c>
      <c r="Z10" s="2">
        <v>1</v>
      </c>
      <c r="AA10" s="2">
        <v>1</v>
      </c>
      <c r="AB10" s="2">
        <v>1</v>
      </c>
      <c r="AC10" s="2">
        <v>-1</v>
      </c>
      <c r="AD10" s="2">
        <v>1</v>
      </c>
      <c r="AE10" s="2">
        <v>0.5</v>
      </c>
      <c r="AF10" s="2">
        <v>1</v>
      </c>
      <c r="AG10" s="2">
        <v>-1</v>
      </c>
      <c r="AH10" s="2">
        <v>0</v>
      </c>
      <c r="AI10" s="2">
        <v>0</v>
      </c>
      <c r="AJ10" s="2">
        <v>0</v>
      </c>
    </row>
    <row r="11" spans="1:36">
      <c r="A11" s="3">
        <f t="shared" si="1"/>
        <v>330</v>
      </c>
      <c r="B11" s="11" t="str">
        <f>C5&amp;"-虎人+妖精人形"</f>
        <v>经典制皂-虎人+妖精人形</v>
      </c>
      <c r="C11" s="3" t="str">
        <f t="shared" si="2"/>
        <v>经典制皂</v>
      </c>
      <c r="D11" s="3" t="str">
        <f t="shared" si="6"/>
        <v>节日活动</v>
      </c>
      <c r="E11" s="3">
        <f t="shared" si="7"/>
        <v>24</v>
      </c>
      <c r="F11" s="2">
        <v>34</v>
      </c>
      <c r="G11" s="2">
        <v>0</v>
      </c>
      <c r="H11" s="2">
        <v>0</v>
      </c>
      <c r="I11" s="10">
        <f t="shared" si="9"/>
        <v>22726</v>
      </c>
      <c r="J11" s="10">
        <f t="shared" si="8"/>
        <v>22727</v>
      </c>
      <c r="K11" s="10">
        <f t="shared" si="4"/>
        <v>22726</v>
      </c>
      <c r="L11" s="10">
        <f t="shared" si="0"/>
        <v>22727</v>
      </c>
      <c r="M11" s="2">
        <v>-1</v>
      </c>
      <c r="N11" s="2">
        <v>-1</v>
      </c>
      <c r="O11" s="2">
        <v>-1</v>
      </c>
      <c r="P11" s="2">
        <v>-1</v>
      </c>
      <c r="Q11" s="2">
        <v>-1</v>
      </c>
      <c r="R11" s="2">
        <v>-1</v>
      </c>
      <c r="S11" s="2">
        <v>-1</v>
      </c>
      <c r="T11" s="2">
        <v>-1</v>
      </c>
      <c r="U11" s="2">
        <v>-1</v>
      </c>
      <c r="V11" s="2">
        <v>-1</v>
      </c>
      <c r="W11" s="2">
        <v>-1</v>
      </c>
      <c r="X11" s="2">
        <v>-1</v>
      </c>
      <c r="Y11" s="3">
        <f t="shared" si="5"/>
        <v>22</v>
      </c>
      <c r="Z11" s="2">
        <v>1</v>
      </c>
      <c r="AA11" s="2">
        <v>1</v>
      </c>
      <c r="AB11" s="2">
        <v>1</v>
      </c>
      <c r="AC11" s="2">
        <v>-1</v>
      </c>
      <c r="AD11" s="2">
        <v>1</v>
      </c>
      <c r="AE11" s="2">
        <v>0.5</v>
      </c>
      <c r="AF11" s="2">
        <v>1</v>
      </c>
      <c r="AG11" s="2">
        <v>-1</v>
      </c>
      <c r="AH11" s="2">
        <v>0</v>
      </c>
      <c r="AI11" s="2">
        <v>0</v>
      </c>
      <c r="AJ11" s="2">
        <v>0</v>
      </c>
    </row>
    <row r="12" spans="1:36">
      <c r="A12" s="3">
        <f t="shared" si="1"/>
        <v>331</v>
      </c>
      <c r="B12" s="11" t="str">
        <f>C5&amp;"-妖精人形被虎人"</f>
        <v>经典制皂-妖精人形被虎人</v>
      </c>
      <c r="C12" s="3" t="str">
        <f t="shared" si="2"/>
        <v>经典制皂</v>
      </c>
      <c r="D12" s="3" t="str">
        <f t="shared" si="6"/>
        <v>节日活动</v>
      </c>
      <c r="E12" s="3">
        <f t="shared" si="7"/>
        <v>24</v>
      </c>
      <c r="F12" s="2">
        <v>43</v>
      </c>
      <c r="G12" s="2">
        <v>0</v>
      </c>
      <c r="H12" s="2">
        <v>0</v>
      </c>
      <c r="I12" s="10">
        <f>$J$5</f>
        <v>22727</v>
      </c>
      <c r="J12" s="10">
        <f>$I$5</f>
        <v>22728</v>
      </c>
      <c r="K12" s="10">
        <f t="shared" si="4"/>
        <v>22727</v>
      </c>
      <c r="L12" s="10">
        <f t="shared" si="0"/>
        <v>22728</v>
      </c>
      <c r="M12" s="2">
        <v>-1</v>
      </c>
      <c r="N12" s="2">
        <v>-1</v>
      </c>
      <c r="O12" s="2">
        <v>-1</v>
      </c>
      <c r="P12" s="2">
        <v>-1</v>
      </c>
      <c r="Q12" s="2">
        <v>-1</v>
      </c>
      <c r="R12" s="2">
        <v>-1</v>
      </c>
      <c r="S12" s="2">
        <v>-1</v>
      </c>
      <c r="T12" s="2">
        <v>-1</v>
      </c>
      <c r="U12" s="2">
        <v>-1</v>
      </c>
      <c r="V12" s="2">
        <v>-1</v>
      </c>
      <c r="W12" s="2">
        <v>-1</v>
      </c>
      <c r="X12" s="2">
        <v>-1</v>
      </c>
      <c r="Y12" s="3">
        <f t="shared" si="5"/>
        <v>22</v>
      </c>
      <c r="Z12" s="2">
        <v>1</v>
      </c>
      <c r="AA12" s="2">
        <v>1</v>
      </c>
      <c r="AB12" s="2">
        <v>1</v>
      </c>
      <c r="AC12" s="2">
        <v>-1</v>
      </c>
      <c r="AD12" s="2">
        <v>1</v>
      </c>
      <c r="AE12" s="2">
        <v>0.5</v>
      </c>
      <c r="AF12" s="2">
        <v>1</v>
      </c>
      <c r="AG12" s="2">
        <v>-1</v>
      </c>
      <c r="AH12" s="2">
        <v>0</v>
      </c>
      <c r="AI12" s="2">
        <v>0</v>
      </c>
      <c r="AJ12" s="2">
        <v>0</v>
      </c>
    </row>
    <row r="13" spans="1:36">
      <c r="A13" s="3">
        <f t="shared" si="1"/>
        <v>332</v>
      </c>
      <c r="B13" s="11" t="str">
        <f>C5&amp;"-毛人+妖精人形"</f>
        <v>经典制皂-毛人+妖精人形</v>
      </c>
      <c r="C13" s="3" t="str">
        <f t="shared" si="2"/>
        <v>经典制皂</v>
      </c>
      <c r="D13" s="3" t="str">
        <f t="shared" si="6"/>
        <v>节日活动</v>
      </c>
      <c r="E13" s="3">
        <f t="shared" si="7"/>
        <v>24</v>
      </c>
      <c r="F13" s="2">
        <v>14</v>
      </c>
      <c r="G13" s="2">
        <v>0</v>
      </c>
      <c r="H13" s="2">
        <v>0</v>
      </c>
      <c r="I13" s="10">
        <f t="shared" si="9"/>
        <v>22726</v>
      </c>
      <c r="J13" s="10">
        <f>$J$5</f>
        <v>22727</v>
      </c>
      <c r="K13" s="10">
        <f t="shared" si="4"/>
        <v>22726</v>
      </c>
      <c r="L13" s="10">
        <f t="shared" si="0"/>
        <v>22727</v>
      </c>
      <c r="M13" s="2">
        <v>-1</v>
      </c>
      <c r="N13" s="2">
        <v>-1</v>
      </c>
      <c r="O13" s="2">
        <v>-1</v>
      </c>
      <c r="P13" s="2">
        <v>-1</v>
      </c>
      <c r="Q13" s="2">
        <v>-1</v>
      </c>
      <c r="R13" s="2">
        <v>-1</v>
      </c>
      <c r="S13" s="2">
        <v>-1</v>
      </c>
      <c r="T13" s="2">
        <v>-1</v>
      </c>
      <c r="U13" s="2">
        <v>-1</v>
      </c>
      <c r="V13" s="2">
        <v>-1</v>
      </c>
      <c r="W13" s="2">
        <v>-1</v>
      </c>
      <c r="X13" s="2">
        <v>-1</v>
      </c>
      <c r="Y13" s="3">
        <f t="shared" si="5"/>
        <v>22</v>
      </c>
      <c r="Z13" s="2">
        <v>1</v>
      </c>
      <c r="AA13" s="2">
        <v>1</v>
      </c>
      <c r="AB13" s="2">
        <v>1</v>
      </c>
      <c r="AC13" s="2">
        <v>-1</v>
      </c>
      <c r="AD13" s="2">
        <v>1</v>
      </c>
      <c r="AE13" s="2">
        <v>0.5</v>
      </c>
      <c r="AF13" s="2">
        <v>1</v>
      </c>
      <c r="AG13" s="2">
        <v>-1</v>
      </c>
      <c r="AH13" s="2">
        <v>0</v>
      </c>
      <c r="AI13" s="2">
        <v>0</v>
      </c>
      <c r="AJ13" s="2">
        <v>0</v>
      </c>
    </row>
    <row r="14" spans="1:36">
      <c r="A14" s="3">
        <f t="shared" si="1"/>
        <v>333</v>
      </c>
      <c r="B14" s="11" t="str">
        <f>C5&amp;"-妖精人形被毛人"</f>
        <v>经典制皂-妖精人形被毛人</v>
      </c>
      <c r="C14" s="3" t="str">
        <f t="shared" si="2"/>
        <v>经典制皂</v>
      </c>
      <c r="D14" s="3" t="str">
        <f t="shared" si="6"/>
        <v>节日活动</v>
      </c>
      <c r="E14" s="3">
        <f t="shared" si="7"/>
        <v>24</v>
      </c>
      <c r="F14" s="2">
        <v>41</v>
      </c>
      <c r="G14" s="2">
        <v>0</v>
      </c>
      <c r="H14" s="2">
        <v>0</v>
      </c>
      <c r="I14" s="10">
        <f t="shared" ref="I12:I16" si="10">$J$5</f>
        <v>22727</v>
      </c>
      <c r="J14" s="10">
        <f>$I$7</f>
        <v>22726</v>
      </c>
      <c r="K14" s="10">
        <f t="shared" si="4"/>
        <v>22727</v>
      </c>
      <c r="L14" s="10">
        <f t="shared" si="0"/>
        <v>22726</v>
      </c>
      <c r="M14" s="2">
        <v>-1</v>
      </c>
      <c r="N14" s="2">
        <v>-1</v>
      </c>
      <c r="O14" s="2">
        <v>-1</v>
      </c>
      <c r="P14" s="2">
        <v>-1</v>
      </c>
      <c r="Q14" s="2">
        <v>-1</v>
      </c>
      <c r="R14" s="2">
        <v>-1</v>
      </c>
      <c r="S14" s="2">
        <v>-1</v>
      </c>
      <c r="T14" s="2">
        <v>-1</v>
      </c>
      <c r="U14" s="2">
        <v>-1</v>
      </c>
      <c r="V14" s="2">
        <v>-1</v>
      </c>
      <c r="W14" s="2">
        <v>-1</v>
      </c>
      <c r="X14" s="2">
        <v>-1</v>
      </c>
      <c r="Y14" s="3">
        <f t="shared" si="5"/>
        <v>22</v>
      </c>
      <c r="Z14" s="2">
        <v>1</v>
      </c>
      <c r="AA14" s="2">
        <v>1</v>
      </c>
      <c r="AB14" s="2">
        <v>1</v>
      </c>
      <c r="AC14" s="2">
        <v>-1</v>
      </c>
      <c r="AD14" s="2">
        <v>1</v>
      </c>
      <c r="AE14" s="2">
        <v>0.5</v>
      </c>
      <c r="AF14" s="2">
        <v>1</v>
      </c>
      <c r="AG14" s="2">
        <v>-1</v>
      </c>
      <c r="AH14" s="2">
        <v>0</v>
      </c>
      <c r="AI14" s="2">
        <v>0</v>
      </c>
      <c r="AJ14" s="2">
        <v>0</v>
      </c>
    </row>
    <row r="15" spans="1:36">
      <c r="A15" s="3">
        <f t="shared" si="1"/>
        <v>334</v>
      </c>
      <c r="B15" s="11" t="str">
        <f>C5&amp;"-男人+妖精人形"</f>
        <v>经典制皂-男人+妖精人形</v>
      </c>
      <c r="C15" s="3" t="str">
        <f t="shared" si="2"/>
        <v>经典制皂</v>
      </c>
      <c r="D15" s="3" t="str">
        <f t="shared" si="6"/>
        <v>节日活动</v>
      </c>
      <c r="E15" s="3">
        <f t="shared" si="7"/>
        <v>24</v>
      </c>
      <c r="F15" s="2">
        <v>74</v>
      </c>
      <c r="G15" s="2">
        <v>0</v>
      </c>
      <c r="H15" s="2">
        <v>0</v>
      </c>
      <c r="I15" s="10">
        <f>$I$7</f>
        <v>22726</v>
      </c>
      <c r="J15" s="10">
        <f>$J$5</f>
        <v>22727</v>
      </c>
      <c r="K15" s="10">
        <f t="shared" si="4"/>
        <v>22726</v>
      </c>
      <c r="L15" s="10">
        <f t="shared" si="0"/>
        <v>22727</v>
      </c>
      <c r="M15" s="2">
        <v>-1</v>
      </c>
      <c r="N15" s="2">
        <v>-1</v>
      </c>
      <c r="O15" s="2">
        <v>-1</v>
      </c>
      <c r="P15" s="2">
        <v>-1</v>
      </c>
      <c r="Q15" s="2">
        <v>-1</v>
      </c>
      <c r="R15" s="2">
        <v>-1</v>
      </c>
      <c r="S15" s="2">
        <v>-1</v>
      </c>
      <c r="T15" s="2">
        <v>-1</v>
      </c>
      <c r="U15" s="2">
        <v>-1</v>
      </c>
      <c r="V15" s="2">
        <v>-1</v>
      </c>
      <c r="W15" s="2">
        <v>-1</v>
      </c>
      <c r="X15" s="2">
        <v>-1</v>
      </c>
      <c r="Y15" s="3">
        <f t="shared" si="5"/>
        <v>22</v>
      </c>
      <c r="Z15" s="2">
        <v>1</v>
      </c>
      <c r="AA15" s="2">
        <v>1</v>
      </c>
      <c r="AB15" s="2">
        <v>1</v>
      </c>
      <c r="AC15" s="2">
        <v>-1</v>
      </c>
      <c r="AD15" s="2">
        <v>1</v>
      </c>
      <c r="AE15" s="2">
        <v>0.5</v>
      </c>
      <c r="AF15" s="2">
        <v>1</v>
      </c>
      <c r="AG15" s="2">
        <v>-1</v>
      </c>
      <c r="AH15" s="2">
        <v>0</v>
      </c>
      <c r="AI15" s="2">
        <v>0</v>
      </c>
      <c r="AJ15" s="2">
        <v>0</v>
      </c>
    </row>
    <row r="16" spans="1:36">
      <c r="A16" s="3">
        <f t="shared" si="1"/>
        <v>335</v>
      </c>
      <c r="B16" s="11" t="str">
        <f>C5&amp;"-妖精人形被男人"</f>
        <v>经典制皂-妖精人形被男人</v>
      </c>
      <c r="C16" s="3" t="str">
        <f t="shared" si="2"/>
        <v>经典制皂</v>
      </c>
      <c r="D16" s="3" t="str">
        <f t="shared" si="6"/>
        <v>节日活动</v>
      </c>
      <c r="E16" s="3">
        <f t="shared" si="7"/>
        <v>24</v>
      </c>
      <c r="F16" s="2">
        <v>47</v>
      </c>
      <c r="G16" s="2">
        <v>0</v>
      </c>
      <c r="H16" s="2">
        <v>0</v>
      </c>
      <c r="I16" s="10">
        <f t="shared" si="10"/>
        <v>22727</v>
      </c>
      <c r="J16" s="10">
        <f>$I$7</f>
        <v>22726</v>
      </c>
      <c r="K16" s="10">
        <f t="shared" si="4"/>
        <v>22727</v>
      </c>
      <c r="L16" s="10">
        <f t="shared" si="0"/>
        <v>22726</v>
      </c>
      <c r="M16" s="2">
        <v>-1</v>
      </c>
      <c r="N16" s="2">
        <v>-1</v>
      </c>
      <c r="O16" s="2">
        <v>-1</v>
      </c>
      <c r="P16" s="2">
        <v>-1</v>
      </c>
      <c r="Q16" s="2">
        <v>-1</v>
      </c>
      <c r="R16" s="2">
        <v>-1</v>
      </c>
      <c r="S16" s="2">
        <v>-1</v>
      </c>
      <c r="T16" s="2">
        <v>-1</v>
      </c>
      <c r="U16" s="2">
        <v>-1</v>
      </c>
      <c r="V16" s="2">
        <v>-1</v>
      </c>
      <c r="W16" s="2">
        <v>-1</v>
      </c>
      <c r="X16" s="2">
        <v>-1</v>
      </c>
      <c r="Y16" s="3">
        <f t="shared" si="5"/>
        <v>22</v>
      </c>
      <c r="Z16" s="2">
        <v>1</v>
      </c>
      <c r="AA16" s="2">
        <v>1</v>
      </c>
      <c r="AB16" s="2">
        <v>1</v>
      </c>
      <c r="AC16" s="2">
        <v>-1</v>
      </c>
      <c r="AD16" s="2">
        <v>1</v>
      </c>
      <c r="AE16" s="2">
        <v>0.5</v>
      </c>
      <c r="AF16" s="2">
        <v>1</v>
      </c>
      <c r="AG16" s="2">
        <v>-1</v>
      </c>
      <c r="AH16" s="2">
        <v>0</v>
      </c>
      <c r="AI16" s="2">
        <v>0</v>
      </c>
      <c r="AJ16" s="2">
        <v>0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0"/>
  <sheetViews>
    <sheetView workbookViewId="0">
      <selection activeCell="M8" sqref="M8"/>
    </sheetView>
  </sheetViews>
  <sheetFormatPr defaultColWidth="9" defaultRowHeight="14.25"/>
  <cols>
    <col min="2" max="2" width="38.5" customWidth="1"/>
    <col min="3" max="3" width="19.75" customWidth="1"/>
  </cols>
  <sheetData>
    <row r="1" spans="1:44">
      <c r="A1" s="1" t="s">
        <v>1329</v>
      </c>
      <c r="B1" s="1" t="s">
        <v>389</v>
      </c>
      <c r="C1" s="1" t="s">
        <v>1330</v>
      </c>
      <c r="D1" s="1" t="s">
        <v>1331</v>
      </c>
      <c r="E1" s="1" t="s">
        <v>1332</v>
      </c>
      <c r="F1" s="1" t="s">
        <v>1333</v>
      </c>
      <c r="G1" s="1" t="s">
        <v>1334</v>
      </c>
      <c r="H1" s="1" t="s">
        <v>1335</v>
      </c>
      <c r="I1" s="1" t="s">
        <v>1336</v>
      </c>
      <c r="J1" s="1" t="s">
        <v>1337</v>
      </c>
      <c r="K1" s="1" t="s">
        <v>1338</v>
      </c>
      <c r="L1" s="1" t="s">
        <v>1339</v>
      </c>
      <c r="M1" s="1" t="s">
        <v>1340</v>
      </c>
      <c r="N1" s="1" t="s">
        <v>1341</v>
      </c>
      <c r="O1" s="1" t="s">
        <v>1342</v>
      </c>
      <c r="P1" s="1" t="s">
        <v>1343</v>
      </c>
      <c r="Q1" s="1" t="s">
        <v>1344</v>
      </c>
      <c r="R1" s="1" t="s">
        <v>1345</v>
      </c>
      <c r="S1" s="1" t="s">
        <v>1346</v>
      </c>
      <c r="T1" s="1" t="s">
        <v>1347</v>
      </c>
      <c r="U1" s="1" t="s">
        <v>1348</v>
      </c>
      <c r="V1" s="1" t="s">
        <v>1349</v>
      </c>
      <c r="W1" s="1" t="s">
        <v>1350</v>
      </c>
      <c r="X1" s="1" t="s">
        <v>1351</v>
      </c>
      <c r="Y1" s="1" t="s">
        <v>1352</v>
      </c>
      <c r="Z1" s="1" t="s">
        <v>1353</v>
      </c>
      <c r="AA1" s="1" t="s">
        <v>1354</v>
      </c>
      <c r="AB1" s="1" t="s">
        <v>413</v>
      </c>
      <c r="AC1" s="1" t="s">
        <v>1355</v>
      </c>
      <c r="AD1" s="1" t="s">
        <v>1356</v>
      </c>
      <c r="AE1" s="1" t="s">
        <v>1357</v>
      </c>
      <c r="AF1" s="1" t="s">
        <v>1358</v>
      </c>
      <c r="AG1" s="1" t="s">
        <v>1359</v>
      </c>
      <c r="AH1" s="1" t="s">
        <v>1360</v>
      </c>
      <c r="AI1" s="1" t="s">
        <v>1361</v>
      </c>
      <c r="AJ1" s="1" t="s">
        <v>1362</v>
      </c>
      <c r="AK1" s="1" t="s">
        <v>1363</v>
      </c>
      <c r="AL1" s="1" t="s">
        <v>1364</v>
      </c>
      <c r="AM1" s="1" t="s">
        <v>1365</v>
      </c>
      <c r="AN1" s="1" t="s">
        <v>1366</v>
      </c>
      <c r="AO1" s="1" t="s">
        <v>1367</v>
      </c>
      <c r="AP1" s="1" t="s">
        <v>1368</v>
      </c>
      <c r="AQ1" s="1" t="s">
        <v>1369</v>
      </c>
      <c r="AR1" s="1" t="s">
        <v>1370</v>
      </c>
    </row>
    <row r="2" spans="1:44">
      <c r="A2" s="1" t="s">
        <v>315</v>
      </c>
      <c r="B2" s="1" t="s">
        <v>316</v>
      </c>
      <c r="C2" s="1" t="s">
        <v>316</v>
      </c>
      <c r="D2" s="1" t="s">
        <v>315</v>
      </c>
      <c r="E2" s="1" t="s">
        <v>315</v>
      </c>
      <c r="F2" s="1" t="s">
        <v>1371</v>
      </c>
      <c r="G2" s="1" t="s">
        <v>1371</v>
      </c>
      <c r="H2" s="1" t="s">
        <v>445</v>
      </c>
      <c r="I2" s="1" t="s">
        <v>445</v>
      </c>
      <c r="J2" s="1" t="s">
        <v>315</v>
      </c>
      <c r="K2" s="1" t="s">
        <v>1251</v>
      </c>
      <c r="L2" s="1" t="s">
        <v>1372</v>
      </c>
      <c r="M2" s="1" t="s">
        <v>315</v>
      </c>
      <c r="N2" s="1" t="s">
        <v>1372</v>
      </c>
      <c r="O2" s="1" t="s">
        <v>315</v>
      </c>
      <c r="P2" s="1" t="s">
        <v>1372</v>
      </c>
      <c r="Q2" s="1" t="s">
        <v>315</v>
      </c>
      <c r="R2" s="1" t="s">
        <v>1372</v>
      </c>
      <c r="S2" s="1" t="s">
        <v>315</v>
      </c>
      <c r="T2" s="1" t="s">
        <v>1372</v>
      </c>
      <c r="U2" s="1" t="s">
        <v>315</v>
      </c>
      <c r="V2" s="1" t="s">
        <v>1372</v>
      </c>
      <c r="W2" s="1" t="s">
        <v>315</v>
      </c>
      <c r="X2" s="1" t="s">
        <v>1372</v>
      </c>
      <c r="Y2" s="1" t="s">
        <v>315</v>
      </c>
      <c r="Z2" s="1" t="s">
        <v>1372</v>
      </c>
      <c r="AA2" s="1" t="s">
        <v>315</v>
      </c>
      <c r="AB2" s="1" t="s">
        <v>315</v>
      </c>
      <c r="AC2" s="1" t="s">
        <v>1372</v>
      </c>
      <c r="AD2" s="1" t="s">
        <v>315</v>
      </c>
      <c r="AE2" s="1" t="s">
        <v>315</v>
      </c>
      <c r="AF2" s="1" t="s">
        <v>315</v>
      </c>
      <c r="AG2" s="1" t="s">
        <v>316</v>
      </c>
      <c r="AH2" s="1" t="s">
        <v>316</v>
      </c>
      <c r="AI2" s="1" t="s">
        <v>445</v>
      </c>
      <c r="AJ2" s="1" t="s">
        <v>445</v>
      </c>
      <c r="AK2" s="1" t="s">
        <v>316</v>
      </c>
      <c r="AL2" s="1" t="s">
        <v>316</v>
      </c>
      <c r="AM2" s="1" t="s">
        <v>1372</v>
      </c>
      <c r="AN2" s="1" t="s">
        <v>1372</v>
      </c>
      <c r="AO2" s="1" t="s">
        <v>1372</v>
      </c>
      <c r="AP2" s="1" t="s">
        <v>1372</v>
      </c>
      <c r="AQ2" s="1" t="s">
        <v>445</v>
      </c>
      <c r="AR2" s="1" t="s">
        <v>315</v>
      </c>
    </row>
    <row r="3" spans="1:44">
      <c r="A3" s="1" t="s">
        <v>1373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>
      <c r="A4" s="1" t="s">
        <v>1374</v>
      </c>
      <c r="B4" s="1" t="s">
        <v>16</v>
      </c>
      <c r="C4" s="1" t="s">
        <v>1375</v>
      </c>
      <c r="D4" s="1" t="s">
        <v>1376</v>
      </c>
      <c r="E4" s="1" t="s">
        <v>1377</v>
      </c>
      <c r="F4" s="1" t="s">
        <v>1378</v>
      </c>
      <c r="G4" s="1" t="s">
        <v>1379</v>
      </c>
      <c r="H4" s="1" t="s">
        <v>1380</v>
      </c>
      <c r="I4" s="1" t="s">
        <v>1381</v>
      </c>
      <c r="J4" s="1" t="s">
        <v>1382</v>
      </c>
      <c r="K4" s="1" t="s">
        <v>1383</v>
      </c>
      <c r="L4" s="1" t="s">
        <v>1384</v>
      </c>
      <c r="M4" s="1" t="s">
        <v>1385</v>
      </c>
      <c r="N4" s="1" t="s">
        <v>1386</v>
      </c>
      <c r="O4" s="1" t="s">
        <v>1387</v>
      </c>
      <c r="P4" s="1" t="s">
        <v>1388</v>
      </c>
      <c r="Q4" s="1" t="s">
        <v>1389</v>
      </c>
      <c r="R4" s="1" t="s">
        <v>1390</v>
      </c>
      <c r="S4" s="1" t="s">
        <v>1391</v>
      </c>
      <c r="T4" s="1" t="s">
        <v>1392</v>
      </c>
      <c r="U4" s="1" t="s">
        <v>1393</v>
      </c>
      <c r="V4" s="1" t="s">
        <v>1394</v>
      </c>
      <c r="W4" s="1" t="s">
        <v>1395</v>
      </c>
      <c r="X4" s="1" t="s">
        <v>1396</v>
      </c>
      <c r="Y4" s="1" t="s">
        <v>1397</v>
      </c>
      <c r="Z4" s="1" t="s">
        <v>1398</v>
      </c>
      <c r="AA4" s="1" t="s">
        <v>1399</v>
      </c>
      <c r="AB4" s="1" t="s">
        <v>1400</v>
      </c>
      <c r="AC4" s="1" t="s">
        <v>1401</v>
      </c>
      <c r="AD4" s="1" t="s">
        <v>1402</v>
      </c>
      <c r="AE4" s="1" t="s">
        <v>1403</v>
      </c>
      <c r="AF4" s="1" t="s">
        <v>1404</v>
      </c>
      <c r="AG4" s="1" t="s">
        <v>1405</v>
      </c>
      <c r="AH4" s="1" t="s">
        <v>1406</v>
      </c>
      <c r="AI4" s="1" t="s">
        <v>1407</v>
      </c>
      <c r="AJ4" s="1" t="s">
        <v>1408</v>
      </c>
      <c r="AK4" s="1" t="s">
        <v>1409</v>
      </c>
      <c r="AL4" s="1" t="s">
        <v>1410</v>
      </c>
      <c r="AM4" s="1" t="s">
        <v>1411</v>
      </c>
      <c r="AN4" s="1" t="s">
        <v>1412</v>
      </c>
      <c r="AO4" s="1" t="s">
        <v>1413</v>
      </c>
      <c r="AP4" s="1" t="s">
        <v>1414</v>
      </c>
      <c r="AQ4" s="1" t="s">
        <v>1415</v>
      </c>
      <c r="AR4" s="1" t="s">
        <v>1416</v>
      </c>
    </row>
    <row r="5" spans="1:44">
      <c r="A5" s="7" t="str">
        <f>IF(配置总览!$B$116="导出",IF(配置总览!$H$116="单人",配置总览!H119*3+22202,"#"),"#")</f>
        <v>#</v>
      </c>
      <c r="B5" s="3" t="str">
        <f>CommonItem!B53&amp;"男"</f>
        <v>双人动作-经典制皂男</v>
      </c>
      <c r="C5" s="7" t="str">
        <f>配置总览!N120</f>
        <v>Jh_cuopaopao</v>
      </c>
      <c r="D5">
        <v>0</v>
      </c>
      <c r="E5">
        <v>0</v>
      </c>
      <c r="F5">
        <v>2</v>
      </c>
      <c r="G5">
        <v>1</v>
      </c>
      <c r="H5">
        <v>1</v>
      </c>
      <c r="I5">
        <v>0.2</v>
      </c>
      <c r="J5">
        <v>-1</v>
      </c>
      <c r="K5">
        <v>-1</v>
      </c>
      <c r="L5">
        <v>1</v>
      </c>
      <c r="M5" s="7" t="str">
        <f>Effect!A5</f>
        <v>#</v>
      </c>
      <c r="N5">
        <v>0</v>
      </c>
      <c r="O5">
        <v>-1</v>
      </c>
      <c r="P5">
        <v>0</v>
      </c>
      <c r="Q5">
        <v>-1</v>
      </c>
      <c r="R5">
        <v>0</v>
      </c>
      <c r="S5">
        <v>-1</v>
      </c>
      <c r="T5">
        <v>0</v>
      </c>
      <c r="U5">
        <v>-1</v>
      </c>
      <c r="V5">
        <v>0</v>
      </c>
      <c r="W5">
        <v>-1</v>
      </c>
      <c r="X5">
        <v>0</v>
      </c>
      <c r="Y5">
        <v>-1</v>
      </c>
      <c r="Z5">
        <v>0</v>
      </c>
      <c r="AA5">
        <v>-1</v>
      </c>
      <c r="AB5">
        <v>-1</v>
      </c>
      <c r="AC5">
        <v>0</v>
      </c>
      <c r="AD5">
        <v>-1</v>
      </c>
      <c r="AE5">
        <v>-1</v>
      </c>
      <c r="AF5">
        <v>0</v>
      </c>
      <c r="AI5">
        <v>0</v>
      </c>
      <c r="AJ5">
        <v>0</v>
      </c>
      <c r="AM5">
        <v>0</v>
      </c>
      <c r="AN5">
        <v>1</v>
      </c>
      <c r="AO5" s="8">
        <v>0</v>
      </c>
      <c r="AP5">
        <v>0</v>
      </c>
      <c r="AQ5">
        <v>1</v>
      </c>
      <c r="AR5">
        <v>-1</v>
      </c>
    </row>
    <row r="6" customFormat="1" spans="1:44">
      <c r="A6" s="7" t="str">
        <f>IF(配置总览!$B$116="导出",IF(配置总览!$H$116="单人",配置总览!H119*3+22203,"#"),"#")</f>
        <v>#</v>
      </c>
      <c r="B6" s="3" t="str">
        <f>CommonItem!B53&amp;"女"</f>
        <v>双人动作-经典制皂女</v>
      </c>
      <c r="C6" s="7" t="str">
        <f>配置总览!N120</f>
        <v>Jh_cuopaopao</v>
      </c>
      <c r="D6">
        <v>0</v>
      </c>
      <c r="E6">
        <v>0</v>
      </c>
      <c r="F6">
        <v>2</v>
      </c>
      <c r="G6">
        <v>1</v>
      </c>
      <c r="H6">
        <v>1</v>
      </c>
      <c r="I6">
        <v>0.2</v>
      </c>
      <c r="J6">
        <v>-1</v>
      </c>
      <c r="K6">
        <v>-1</v>
      </c>
      <c r="L6">
        <v>1</v>
      </c>
      <c r="M6" s="7" t="str">
        <f>Effect!A6</f>
        <v>#</v>
      </c>
      <c r="N6">
        <v>0</v>
      </c>
      <c r="O6">
        <v>-1</v>
      </c>
      <c r="P6">
        <v>0</v>
      </c>
      <c r="Q6">
        <v>-1</v>
      </c>
      <c r="R6">
        <v>0</v>
      </c>
      <c r="S6">
        <v>-1</v>
      </c>
      <c r="T6">
        <v>0</v>
      </c>
      <c r="U6">
        <v>-1</v>
      </c>
      <c r="V6">
        <v>0</v>
      </c>
      <c r="W6">
        <v>-1</v>
      </c>
      <c r="X6">
        <v>0</v>
      </c>
      <c r="Y6">
        <v>-1</v>
      </c>
      <c r="Z6">
        <v>0</v>
      </c>
      <c r="AA6">
        <v>-1</v>
      </c>
      <c r="AB6">
        <v>-1</v>
      </c>
      <c r="AC6">
        <v>0</v>
      </c>
      <c r="AD6">
        <v>-1</v>
      </c>
      <c r="AE6">
        <v>-1</v>
      </c>
      <c r="AF6">
        <v>0</v>
      </c>
      <c r="AI6">
        <v>0</v>
      </c>
      <c r="AJ6">
        <v>0</v>
      </c>
      <c r="AM6">
        <v>0</v>
      </c>
      <c r="AN6">
        <v>1</v>
      </c>
      <c r="AO6" s="8">
        <v>0</v>
      </c>
      <c r="AP6">
        <v>0</v>
      </c>
      <c r="AQ6">
        <v>1</v>
      </c>
      <c r="AR6">
        <v>-1</v>
      </c>
    </row>
    <row r="7" customFormat="1" spans="1:44">
      <c r="A7" s="7" t="str">
        <f>IF(配置总览!$B$116="导出",IF(配置总览!$H$116="单人",配置总览!H119*3+22204,"#"),"#")</f>
        <v>#</v>
      </c>
      <c r="B7" s="3" t="str">
        <f>CommonItem!B53&amp;"妖兽"</f>
        <v>双人动作-经典制皂妖兽</v>
      </c>
      <c r="C7" s="7" t="str">
        <f>配置总览!N120</f>
        <v>Jh_cuopaopao</v>
      </c>
      <c r="D7">
        <v>0</v>
      </c>
      <c r="E7">
        <v>0</v>
      </c>
      <c r="F7">
        <v>2</v>
      </c>
      <c r="G7">
        <v>1</v>
      </c>
      <c r="H7">
        <v>1</v>
      </c>
      <c r="I7">
        <v>0.2</v>
      </c>
      <c r="J7">
        <v>-1</v>
      </c>
      <c r="K7">
        <v>-1</v>
      </c>
      <c r="L7">
        <v>1</v>
      </c>
      <c r="M7" s="7" t="str">
        <f>Effect!A7</f>
        <v>#</v>
      </c>
      <c r="N7">
        <v>0</v>
      </c>
      <c r="O7">
        <v>-1</v>
      </c>
      <c r="P7">
        <v>0</v>
      </c>
      <c r="Q7">
        <v>-1</v>
      </c>
      <c r="R7">
        <v>0</v>
      </c>
      <c r="S7">
        <v>-1</v>
      </c>
      <c r="T7">
        <v>0</v>
      </c>
      <c r="U7">
        <v>-1</v>
      </c>
      <c r="V7">
        <v>0</v>
      </c>
      <c r="W7">
        <v>-1</v>
      </c>
      <c r="X7">
        <v>0</v>
      </c>
      <c r="Y7">
        <v>-1</v>
      </c>
      <c r="Z7">
        <v>0</v>
      </c>
      <c r="AA7">
        <v>-1</v>
      </c>
      <c r="AB7">
        <v>-1</v>
      </c>
      <c r="AC7">
        <v>0</v>
      </c>
      <c r="AD7">
        <v>-1</v>
      </c>
      <c r="AE7">
        <v>-1</v>
      </c>
      <c r="AF7">
        <v>0</v>
      </c>
      <c r="AI7">
        <v>0</v>
      </c>
      <c r="AJ7">
        <v>0</v>
      </c>
      <c r="AM7">
        <v>0</v>
      </c>
      <c r="AN7">
        <v>1</v>
      </c>
      <c r="AO7" s="8">
        <v>0</v>
      </c>
      <c r="AP7">
        <v>0</v>
      </c>
      <c r="AQ7">
        <v>1</v>
      </c>
      <c r="AR7">
        <v>-1</v>
      </c>
    </row>
    <row r="8" s="2" customFormat="1" spans="1:44">
      <c r="A8" s="7">
        <f>IF(配置总览!$B$116="导出",IF(配置总览!$H$116="双人",配置总览!H120*3+22654,"#"),"#")</f>
        <v>22726</v>
      </c>
      <c r="B8" s="11" t="str">
        <f>CommonItem!B53&amp;"男"</f>
        <v>双人动作-经典制皂男</v>
      </c>
      <c r="C8" s="11" t="str">
        <f>配置总览!N120</f>
        <v>Jh_cuopaopao</v>
      </c>
      <c r="D8" s="2">
        <v>0</v>
      </c>
      <c r="E8" s="2">
        <v>0</v>
      </c>
      <c r="F8" s="2">
        <v>2</v>
      </c>
      <c r="G8" s="2">
        <v>1</v>
      </c>
      <c r="H8" s="2">
        <v>1</v>
      </c>
      <c r="I8" s="2">
        <v>0.2</v>
      </c>
      <c r="J8" s="2">
        <v>-1</v>
      </c>
      <c r="K8" s="2">
        <v>-1</v>
      </c>
      <c r="L8" s="2">
        <v>0</v>
      </c>
      <c r="M8" s="11">
        <f>Effect!A8</f>
        <v>34037</v>
      </c>
      <c r="N8" s="2">
        <v>0</v>
      </c>
      <c r="O8" s="2">
        <v>-1</v>
      </c>
      <c r="P8" s="2">
        <v>0</v>
      </c>
      <c r="Q8" s="2">
        <v>-1</v>
      </c>
      <c r="R8" s="2">
        <v>0</v>
      </c>
      <c r="S8" s="2">
        <v>-1</v>
      </c>
      <c r="T8" s="2">
        <v>0</v>
      </c>
      <c r="U8" s="2">
        <v>-1</v>
      </c>
      <c r="V8" s="2">
        <v>0</v>
      </c>
      <c r="W8" s="2">
        <v>-1</v>
      </c>
      <c r="X8" s="2">
        <v>0</v>
      </c>
      <c r="Y8" s="2">
        <v>-1</v>
      </c>
      <c r="Z8" s="2">
        <v>0</v>
      </c>
      <c r="AA8" s="2">
        <v>-1</v>
      </c>
      <c r="AB8" s="2">
        <v>-1</v>
      </c>
      <c r="AC8" s="2">
        <v>0</v>
      </c>
      <c r="AD8" s="2">
        <v>-1</v>
      </c>
      <c r="AE8" s="2">
        <v>-1</v>
      </c>
      <c r="AF8" s="2">
        <v>0</v>
      </c>
      <c r="AI8" s="2">
        <v>0</v>
      </c>
      <c r="AJ8" s="2">
        <v>0</v>
      </c>
      <c r="AM8" s="2">
        <v>0</v>
      </c>
      <c r="AN8" s="2">
        <v>1</v>
      </c>
      <c r="AO8" s="2">
        <v>1</v>
      </c>
      <c r="AP8" s="2">
        <v>0</v>
      </c>
      <c r="AQ8" s="2">
        <v>1</v>
      </c>
      <c r="AR8" s="2">
        <v>-1</v>
      </c>
    </row>
    <row r="9" s="2" customFormat="1" spans="1:44">
      <c r="A9" s="3">
        <f>IFERROR(A8+1,"#")</f>
        <v>22727</v>
      </c>
      <c r="B9" s="11" t="str">
        <f>CommonItem!B53&amp;"女"</f>
        <v>双人动作-经典制皂女</v>
      </c>
      <c r="C9" s="3" t="str">
        <f>C8</f>
        <v>Jh_cuopaopao</v>
      </c>
      <c r="D9" s="2">
        <v>0</v>
      </c>
      <c r="E9" s="2">
        <v>0</v>
      </c>
      <c r="F9" s="2">
        <v>2</v>
      </c>
      <c r="G9" s="2">
        <v>1</v>
      </c>
      <c r="H9" s="2">
        <v>1</v>
      </c>
      <c r="I9" s="2">
        <v>0.2</v>
      </c>
      <c r="J9" s="2">
        <v>-1</v>
      </c>
      <c r="K9" s="2">
        <v>-1</v>
      </c>
      <c r="L9" s="2">
        <v>0</v>
      </c>
      <c r="M9" s="2">
        <v>-1</v>
      </c>
      <c r="N9" s="2">
        <v>0</v>
      </c>
      <c r="O9" s="2">
        <v>-1</v>
      </c>
      <c r="P9" s="2">
        <v>0</v>
      </c>
      <c r="Q9" s="2">
        <v>-1</v>
      </c>
      <c r="R9" s="2">
        <v>0</v>
      </c>
      <c r="S9" s="2">
        <v>-1</v>
      </c>
      <c r="T9" s="2">
        <v>0</v>
      </c>
      <c r="U9" s="2">
        <v>-1</v>
      </c>
      <c r="V9" s="2">
        <v>0</v>
      </c>
      <c r="W9" s="2">
        <v>-1</v>
      </c>
      <c r="X9" s="2">
        <v>0</v>
      </c>
      <c r="Y9" s="2">
        <v>-1</v>
      </c>
      <c r="Z9" s="2">
        <v>0</v>
      </c>
      <c r="AA9" s="2">
        <v>-1</v>
      </c>
      <c r="AB9" s="2">
        <v>-1</v>
      </c>
      <c r="AC9" s="2">
        <v>0</v>
      </c>
      <c r="AD9" s="2">
        <v>-1</v>
      </c>
      <c r="AE9" s="2">
        <v>-1</v>
      </c>
      <c r="AF9" s="2">
        <v>0</v>
      </c>
      <c r="AI9" s="2">
        <v>0</v>
      </c>
      <c r="AJ9" s="2">
        <v>0</v>
      </c>
      <c r="AM9" s="2">
        <v>0</v>
      </c>
      <c r="AN9" s="2">
        <v>1</v>
      </c>
      <c r="AO9" s="2">
        <v>1</v>
      </c>
      <c r="AP9" s="2">
        <v>0</v>
      </c>
      <c r="AQ9" s="2">
        <v>1</v>
      </c>
      <c r="AR9" s="2">
        <v>-1</v>
      </c>
    </row>
    <row r="10" s="2" customFormat="1" spans="1:44">
      <c r="A10" s="3">
        <f>IFERROR(A9+1,"#")</f>
        <v>22728</v>
      </c>
      <c r="B10" s="11" t="str">
        <f>CommonItem!B53&amp;"妖兽"</f>
        <v>双人动作-经典制皂妖兽</v>
      </c>
      <c r="C10" s="3" t="str">
        <f>C9</f>
        <v>Jh_cuopaopao</v>
      </c>
      <c r="D10" s="2">
        <v>0</v>
      </c>
      <c r="E10" s="2">
        <v>0</v>
      </c>
      <c r="F10" s="2">
        <v>2</v>
      </c>
      <c r="G10" s="2">
        <v>1</v>
      </c>
      <c r="H10" s="2">
        <v>1</v>
      </c>
      <c r="I10" s="2">
        <v>0.2</v>
      </c>
      <c r="J10" s="2">
        <v>-1</v>
      </c>
      <c r="K10" s="2">
        <v>-1</v>
      </c>
      <c r="L10" s="2">
        <v>0</v>
      </c>
      <c r="M10" s="11" t="str">
        <f>Effect!A7</f>
        <v>#</v>
      </c>
      <c r="N10" s="2">
        <v>0</v>
      </c>
      <c r="O10" s="2">
        <v>-1</v>
      </c>
      <c r="P10" s="2">
        <v>0</v>
      </c>
      <c r="Q10" s="2">
        <v>-1</v>
      </c>
      <c r="R10" s="2">
        <v>0</v>
      </c>
      <c r="S10" s="2">
        <v>-1</v>
      </c>
      <c r="T10" s="2">
        <v>0</v>
      </c>
      <c r="U10" s="2">
        <v>-1</v>
      </c>
      <c r="V10" s="2">
        <v>0</v>
      </c>
      <c r="W10" s="2">
        <v>-1</v>
      </c>
      <c r="X10" s="2">
        <v>0</v>
      </c>
      <c r="Y10" s="2">
        <v>-1</v>
      </c>
      <c r="Z10" s="2">
        <v>0</v>
      </c>
      <c r="AA10" s="2">
        <v>-1</v>
      </c>
      <c r="AB10" s="2">
        <v>-1</v>
      </c>
      <c r="AC10" s="2">
        <v>0</v>
      </c>
      <c r="AD10" s="2">
        <v>-1</v>
      </c>
      <c r="AE10" s="2">
        <v>-1</v>
      </c>
      <c r="AF10" s="2">
        <v>0</v>
      </c>
      <c r="AI10" s="2">
        <v>0</v>
      </c>
      <c r="AJ10" s="2">
        <v>0</v>
      </c>
      <c r="AM10" s="2">
        <v>0</v>
      </c>
      <c r="AN10" s="2">
        <v>1</v>
      </c>
      <c r="AO10" s="2">
        <v>1</v>
      </c>
      <c r="AP10" s="2">
        <v>0</v>
      </c>
      <c r="AQ10" s="2">
        <v>1</v>
      </c>
      <c r="AR10" s="2">
        <v>-1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"/>
  <sheetViews>
    <sheetView topLeftCell="A4" workbookViewId="0">
      <selection activeCell="A8" sqref="A8"/>
    </sheetView>
  </sheetViews>
  <sheetFormatPr defaultColWidth="9" defaultRowHeight="14.25"/>
  <cols>
    <col min="2" max="2" width="27.125" customWidth="1"/>
  </cols>
  <sheetData>
    <row r="1" spans="1:20">
      <c r="A1" s="1" t="s">
        <v>1329</v>
      </c>
      <c r="B1" s="1" t="s">
        <v>389</v>
      </c>
      <c r="C1" s="1" t="s">
        <v>1417</v>
      </c>
      <c r="D1" s="1" t="s">
        <v>1418</v>
      </c>
      <c r="E1" s="1" t="s">
        <v>1419</v>
      </c>
      <c r="F1" s="1" t="s">
        <v>1420</v>
      </c>
      <c r="G1" s="1" t="s">
        <v>1421</v>
      </c>
      <c r="H1" s="1" t="s">
        <v>1422</v>
      </c>
      <c r="I1" s="1" t="s">
        <v>1423</v>
      </c>
      <c r="J1" s="1" t="s">
        <v>1424</v>
      </c>
      <c r="K1" s="1" t="s">
        <v>1425</v>
      </c>
      <c r="L1" s="1" t="s">
        <v>1426</v>
      </c>
      <c r="M1" s="1" t="s">
        <v>1427</v>
      </c>
      <c r="N1" s="1" t="s">
        <v>1428</v>
      </c>
      <c r="O1" s="1" t="s">
        <v>1429</v>
      </c>
      <c r="P1" s="1" t="s">
        <v>1430</v>
      </c>
      <c r="Q1" s="1" t="s">
        <v>1431</v>
      </c>
      <c r="R1" s="1" t="s">
        <v>1432</v>
      </c>
      <c r="S1" s="1" t="s">
        <v>1433</v>
      </c>
      <c r="T1" s="1" t="s">
        <v>1434</v>
      </c>
    </row>
    <row r="2" spans="1:20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316</v>
      </c>
      <c r="T2" s="1" t="s">
        <v>316</v>
      </c>
    </row>
    <row r="3" spans="1:20">
      <c r="A3" s="1" t="s">
        <v>1435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>
      <c r="A4" s="1" t="s">
        <v>1374</v>
      </c>
      <c r="B4" s="1" t="s">
        <v>16</v>
      </c>
      <c r="C4" s="1" t="s">
        <v>1436</v>
      </c>
      <c r="D4" s="1" t="s">
        <v>1437</v>
      </c>
      <c r="E4" s="1" t="s">
        <v>1438</v>
      </c>
      <c r="F4" s="1" t="s">
        <v>1439</v>
      </c>
      <c r="G4" s="1" t="s">
        <v>1440</v>
      </c>
      <c r="H4" s="1" t="s">
        <v>1441</v>
      </c>
      <c r="I4" s="1" t="s">
        <v>1442</v>
      </c>
      <c r="J4" s="1" t="s">
        <v>1443</v>
      </c>
      <c r="K4" s="1" t="s">
        <v>1444</v>
      </c>
      <c r="L4" s="1" t="s">
        <v>1445</v>
      </c>
      <c r="M4" s="1" t="s">
        <v>1446</v>
      </c>
      <c r="N4" s="1" t="s">
        <v>1444</v>
      </c>
      <c r="O4" s="1" t="s">
        <v>1444</v>
      </c>
      <c r="P4" s="1" t="s">
        <v>1444</v>
      </c>
      <c r="Q4" s="1" t="s">
        <v>1447</v>
      </c>
      <c r="R4" s="1" t="s">
        <v>1444</v>
      </c>
      <c r="S4" s="1" t="s">
        <v>1448</v>
      </c>
      <c r="T4" s="1" t="s">
        <v>1449</v>
      </c>
    </row>
    <row r="5" s="2" customFormat="1" spans="1:20">
      <c r="A5" s="10" t="str">
        <f>Animation!A5</f>
        <v>#</v>
      </c>
      <c r="B5" s="10" t="str">
        <f>Animation!B5</f>
        <v>双人动作-经典制皂男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0</v>
      </c>
      <c r="M5">
        <v>10</v>
      </c>
      <c r="N5">
        <v>12</v>
      </c>
      <c r="O5">
        <v>13</v>
      </c>
      <c r="P5">
        <v>14</v>
      </c>
      <c r="Q5">
        <v>15</v>
      </c>
      <c r="R5">
        <v>16</v>
      </c>
      <c r="S5" s="2" t="s">
        <v>1450</v>
      </c>
      <c r="T5" s="2" t="s">
        <v>1451</v>
      </c>
    </row>
    <row r="6" s="2" customFormat="1" spans="1:20">
      <c r="A6" s="10" t="str">
        <f>Animation!A6</f>
        <v>#</v>
      </c>
      <c r="B6" s="10" t="str">
        <f>Animation!B6</f>
        <v>双人动作-经典制皂女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>
        <v>8</v>
      </c>
      <c r="K6">
        <v>9</v>
      </c>
      <c r="L6">
        <v>0</v>
      </c>
      <c r="M6">
        <v>10</v>
      </c>
      <c r="N6">
        <v>12</v>
      </c>
      <c r="O6">
        <v>13</v>
      </c>
      <c r="P6">
        <v>14</v>
      </c>
      <c r="Q6">
        <v>15</v>
      </c>
      <c r="R6">
        <v>16</v>
      </c>
      <c r="S6" s="2" t="s">
        <v>1450</v>
      </c>
      <c r="T6" s="2" t="s">
        <v>1451</v>
      </c>
    </row>
    <row r="7" s="2" customFormat="1" spans="1:20">
      <c r="A7" s="10" t="str">
        <f>Animation!A7</f>
        <v>#</v>
      </c>
      <c r="B7" s="10" t="str">
        <f>Animation!B7</f>
        <v>双人动作-经典制皂妖兽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0</v>
      </c>
      <c r="M7">
        <v>10</v>
      </c>
      <c r="N7">
        <v>12</v>
      </c>
      <c r="O7">
        <v>13</v>
      </c>
      <c r="P7">
        <v>14</v>
      </c>
      <c r="Q7">
        <v>15</v>
      </c>
      <c r="R7">
        <v>16</v>
      </c>
      <c r="S7" s="2" t="s">
        <v>1450</v>
      </c>
      <c r="T7" s="2" t="s">
        <v>1451</v>
      </c>
    </row>
    <row r="8" s="2" customFormat="1" spans="1:20">
      <c r="A8" s="10">
        <f>Animation!A8</f>
        <v>22726</v>
      </c>
      <c r="B8" s="10" t="str">
        <f>Animation!B8</f>
        <v>双人动作-经典制皂男</v>
      </c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0</v>
      </c>
      <c r="M8">
        <v>10</v>
      </c>
      <c r="N8">
        <v>12</v>
      </c>
      <c r="O8">
        <v>13</v>
      </c>
      <c r="P8">
        <v>14</v>
      </c>
      <c r="Q8">
        <v>15</v>
      </c>
      <c r="R8">
        <v>16</v>
      </c>
      <c r="S8" s="2" t="s">
        <v>1450</v>
      </c>
      <c r="T8" s="2" t="s">
        <v>1451</v>
      </c>
    </row>
    <row r="9" s="2" customFormat="1" spans="1:20">
      <c r="A9" s="10">
        <f>Animation!A9</f>
        <v>22727</v>
      </c>
      <c r="B9" s="10" t="str">
        <f>Animation!B9</f>
        <v>双人动作-经典制皂女</v>
      </c>
      <c r="C9">
        <v>1</v>
      </c>
      <c r="D9">
        <v>2</v>
      </c>
      <c r="E9">
        <v>3</v>
      </c>
      <c r="F9">
        <v>4</v>
      </c>
      <c r="G9">
        <v>5</v>
      </c>
      <c r="H9">
        <v>6</v>
      </c>
      <c r="I9">
        <v>7</v>
      </c>
      <c r="J9">
        <v>8</v>
      </c>
      <c r="K9">
        <v>9</v>
      </c>
      <c r="L9">
        <v>0</v>
      </c>
      <c r="M9">
        <v>10</v>
      </c>
      <c r="N9">
        <v>12</v>
      </c>
      <c r="O9">
        <v>13</v>
      </c>
      <c r="P9">
        <v>14</v>
      </c>
      <c r="Q9">
        <v>15</v>
      </c>
      <c r="R9">
        <v>16</v>
      </c>
      <c r="S9" s="2" t="s">
        <v>1450</v>
      </c>
      <c r="T9" s="2" t="s">
        <v>1451</v>
      </c>
    </row>
    <row r="10" spans="1:20">
      <c r="A10" s="10">
        <f>Animation!A10</f>
        <v>22728</v>
      </c>
      <c r="B10" s="10" t="str">
        <f>Animation!B10</f>
        <v>双人动作-经典制皂妖兽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  <c r="K10">
        <v>9</v>
      </c>
      <c r="L10">
        <v>0</v>
      </c>
      <c r="M10">
        <v>10</v>
      </c>
      <c r="N10">
        <v>12</v>
      </c>
      <c r="O10">
        <v>13</v>
      </c>
      <c r="P10">
        <v>14</v>
      </c>
      <c r="Q10">
        <v>15</v>
      </c>
      <c r="R10">
        <v>16</v>
      </c>
      <c r="S10" s="2" t="s">
        <v>1450</v>
      </c>
      <c r="T10" s="2" t="s">
        <v>1451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"/>
  <sheetViews>
    <sheetView workbookViewId="0">
      <selection activeCell="A11" sqref="A11"/>
    </sheetView>
  </sheetViews>
  <sheetFormatPr defaultColWidth="9" defaultRowHeight="14.25"/>
  <cols>
    <col min="2" max="2" width="24.5" customWidth="1"/>
    <col min="3" max="3" width="33" customWidth="1"/>
    <col min="10" max="10" width="20" customWidth="1"/>
    <col min="27" max="27" width="9" customWidth="1"/>
  </cols>
  <sheetData>
    <row r="1" s="1" customFormat="1" spans="1:33">
      <c r="A1" s="1" t="s">
        <v>1452</v>
      </c>
      <c r="B1" s="1" t="s">
        <v>389</v>
      </c>
      <c r="C1" s="1" t="s">
        <v>1453</v>
      </c>
      <c r="D1" s="1" t="s">
        <v>1454</v>
      </c>
      <c r="E1" s="1" t="s">
        <v>1455</v>
      </c>
      <c r="F1" s="1" t="s">
        <v>1456</v>
      </c>
      <c r="G1" s="1" t="s">
        <v>1457</v>
      </c>
      <c r="H1" s="1" t="s">
        <v>1458</v>
      </c>
      <c r="I1" s="1" t="s">
        <v>1459</v>
      </c>
      <c r="J1" s="1" t="s">
        <v>1460</v>
      </c>
      <c r="K1" s="1" t="s">
        <v>1461</v>
      </c>
      <c r="L1" s="1" t="s">
        <v>1462</v>
      </c>
      <c r="M1" s="1" t="s">
        <v>1463</v>
      </c>
      <c r="N1" s="1" t="s">
        <v>1464</v>
      </c>
      <c r="O1" s="1" t="s">
        <v>1465</v>
      </c>
      <c r="P1" s="1" t="s">
        <v>1466</v>
      </c>
      <c r="Q1" s="1" t="s">
        <v>1467</v>
      </c>
      <c r="R1" s="1" t="s">
        <v>1468</v>
      </c>
      <c r="S1" s="1" t="s">
        <v>1469</v>
      </c>
      <c r="T1" s="1" t="s">
        <v>1286</v>
      </c>
      <c r="U1" s="1" t="s">
        <v>1470</v>
      </c>
      <c r="V1" s="1" t="s">
        <v>1471</v>
      </c>
      <c r="W1" s="1" t="s">
        <v>1472</v>
      </c>
      <c r="X1" s="1" t="s">
        <v>413</v>
      </c>
      <c r="Y1" s="1" t="s">
        <v>1473</v>
      </c>
      <c r="Z1" s="1" t="s">
        <v>1474</v>
      </c>
      <c r="AA1" s="1" t="s">
        <v>1475</v>
      </c>
      <c r="AB1" s="1" t="s">
        <v>1476</v>
      </c>
      <c r="AC1" s="1" t="s">
        <v>1477</v>
      </c>
      <c r="AD1" s="1" t="s">
        <v>1478</v>
      </c>
      <c r="AE1" s="1" t="s">
        <v>1479</v>
      </c>
      <c r="AF1" s="1" t="s">
        <v>1480</v>
      </c>
      <c r="AG1" s="1" t="s">
        <v>1481</v>
      </c>
    </row>
    <row r="2" s="1" customFormat="1" spans="1:33">
      <c r="A2" s="1" t="s">
        <v>315</v>
      </c>
      <c r="B2" s="1" t="s">
        <v>316</v>
      </c>
      <c r="C2" s="1" t="s">
        <v>316</v>
      </c>
      <c r="D2" s="1" t="s">
        <v>315</v>
      </c>
      <c r="E2" s="1" t="s">
        <v>315</v>
      </c>
      <c r="F2" s="1" t="s">
        <v>315</v>
      </c>
      <c r="G2" s="1" t="s">
        <v>445</v>
      </c>
      <c r="H2" s="1" t="s">
        <v>1372</v>
      </c>
      <c r="I2" s="1" t="s">
        <v>1371</v>
      </c>
      <c r="J2" s="1" t="s">
        <v>316</v>
      </c>
      <c r="K2" s="1" t="s">
        <v>315</v>
      </c>
      <c r="L2" s="1" t="s">
        <v>315</v>
      </c>
      <c r="M2" s="1" t="s">
        <v>445</v>
      </c>
      <c r="N2" s="1" t="s">
        <v>445</v>
      </c>
      <c r="O2" s="1" t="s">
        <v>445</v>
      </c>
      <c r="P2" s="1" t="s">
        <v>1372</v>
      </c>
      <c r="Q2" s="1" t="s">
        <v>445</v>
      </c>
      <c r="R2" s="1" t="s">
        <v>445</v>
      </c>
      <c r="S2" s="1" t="s">
        <v>445</v>
      </c>
      <c r="T2" s="1" t="s">
        <v>445</v>
      </c>
      <c r="U2" s="1" t="s">
        <v>1372</v>
      </c>
      <c r="V2" s="1" t="s">
        <v>1372</v>
      </c>
      <c r="W2" s="1" t="s">
        <v>1372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315</v>
      </c>
      <c r="AF2" s="1" t="s">
        <v>315</v>
      </c>
      <c r="AG2" s="1" t="s">
        <v>315</v>
      </c>
    </row>
    <row r="3" s="1" customFormat="1" spans="1:1">
      <c r="A3" s="1" t="s">
        <v>1373</v>
      </c>
    </row>
    <row r="4" s="1" customFormat="1" spans="1:33">
      <c r="A4" s="1" t="s">
        <v>1374</v>
      </c>
      <c r="B4" s="1" t="s">
        <v>16</v>
      </c>
      <c r="C4" s="1" t="s">
        <v>1482</v>
      </c>
      <c r="D4" s="1" t="s">
        <v>1483</v>
      </c>
      <c r="E4" s="1" t="s">
        <v>1484</v>
      </c>
      <c r="F4" s="1" t="s">
        <v>1485</v>
      </c>
      <c r="G4" s="1" t="s">
        <v>1486</v>
      </c>
      <c r="H4" s="1" t="s">
        <v>1487</v>
      </c>
      <c r="I4" s="1" t="s">
        <v>1488</v>
      </c>
      <c r="J4" s="1" t="s">
        <v>1489</v>
      </c>
      <c r="K4" s="1" t="s">
        <v>1490</v>
      </c>
      <c r="L4" s="1" t="s">
        <v>1491</v>
      </c>
      <c r="M4" s="1" t="s">
        <v>1492</v>
      </c>
      <c r="N4" s="1" t="s">
        <v>1493</v>
      </c>
      <c r="O4" s="1" t="s">
        <v>1494</v>
      </c>
      <c r="P4" s="1" t="s">
        <v>1495</v>
      </c>
      <c r="Q4" s="1" t="s">
        <v>1496</v>
      </c>
      <c r="R4" s="1" t="s">
        <v>1497</v>
      </c>
      <c r="S4" s="1" t="s">
        <v>1498</v>
      </c>
      <c r="T4" s="1" t="s">
        <v>1499</v>
      </c>
      <c r="U4" s="1" t="s">
        <v>1500</v>
      </c>
      <c r="V4" s="1" t="s">
        <v>1501</v>
      </c>
      <c r="W4" s="1" t="s">
        <v>1502</v>
      </c>
      <c r="X4" s="1" t="s">
        <v>1503</v>
      </c>
      <c r="Y4" s="1" t="s">
        <v>1402</v>
      </c>
      <c r="Z4" s="1" t="s">
        <v>1504</v>
      </c>
      <c r="AA4" s="1" t="s">
        <v>1505</v>
      </c>
      <c r="AB4" s="1" t="s">
        <v>1506</v>
      </c>
      <c r="AC4" s="1" t="s">
        <v>1507</v>
      </c>
      <c r="AD4" s="1" t="s">
        <v>1508</v>
      </c>
      <c r="AE4" s="1" t="s">
        <v>1509</v>
      </c>
      <c r="AF4" s="1" t="s">
        <v>1510</v>
      </c>
      <c r="AG4" s="1" t="s">
        <v>1511</v>
      </c>
    </row>
    <row r="5" spans="1:33">
      <c r="A5" s="7" t="str">
        <f>IF(配置总览!$B$116="导出",IF(配置总览!$H$116="单人",配置总览!H121,"#"),"#")</f>
        <v>#</v>
      </c>
      <c r="B5" s="3" t="str">
        <f>CommonItem!B53&amp;"男"</f>
        <v>双人动作-经典制皂男</v>
      </c>
      <c r="C5" s="7" t="str">
        <f>配置总览!N122</f>
        <v>wm_liandong_shanghaizhizao_nan_001</v>
      </c>
      <c r="D5">
        <v>1</v>
      </c>
      <c r="F5">
        <v>0</v>
      </c>
      <c r="G5">
        <v>0</v>
      </c>
      <c r="H5">
        <v>0</v>
      </c>
      <c r="I5">
        <v>0</v>
      </c>
      <c r="J5" t="str">
        <f>配置总览!H122</f>
        <v>CenterPoint</v>
      </c>
      <c r="K5">
        <v>1</v>
      </c>
      <c r="L5" s="8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9">
        <f>配置总览!$N$123</f>
        <v>0</v>
      </c>
      <c r="U5">
        <v>0</v>
      </c>
      <c r="V5">
        <v>0</v>
      </c>
      <c r="W5">
        <v>0</v>
      </c>
      <c r="X5">
        <v>-1</v>
      </c>
      <c r="Y5">
        <v>-1</v>
      </c>
      <c r="Z5" s="8">
        <v>0</v>
      </c>
      <c r="AA5">
        <v>1</v>
      </c>
      <c r="AB5" s="8">
        <v>-1</v>
      </c>
      <c r="AC5" s="8">
        <v>-1</v>
      </c>
      <c r="AD5" s="8">
        <v>-1</v>
      </c>
      <c r="AE5" s="8">
        <v>-1</v>
      </c>
      <c r="AF5" s="8">
        <v>0</v>
      </c>
      <c r="AG5" s="8">
        <v>0</v>
      </c>
    </row>
    <row r="6" spans="1:33">
      <c r="A6" s="7" t="str">
        <f>IF(配置总览!$B$116="导出",IF(配置总览!$H$116="单人",配置总览!H121+1,"#"),"#")</f>
        <v>#</v>
      </c>
      <c r="B6" s="3" t="str">
        <f>CommonItem!B53&amp;"女"</f>
        <v>双人动作-经典制皂女</v>
      </c>
      <c r="C6" s="7" t="str">
        <f>配置总览!N124</f>
        <v>wm_liandong_shanghaizhizao_nv_001</v>
      </c>
      <c r="D6">
        <v>1</v>
      </c>
      <c r="F6">
        <v>0</v>
      </c>
      <c r="G6">
        <v>0</v>
      </c>
      <c r="H6">
        <v>0</v>
      </c>
      <c r="I6">
        <v>0</v>
      </c>
      <c r="J6" t="str">
        <f>配置总览!H122</f>
        <v>CenterPoint</v>
      </c>
      <c r="K6">
        <v>1</v>
      </c>
      <c r="L6" s="8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9">
        <f>配置总览!$N$123</f>
        <v>0</v>
      </c>
      <c r="U6">
        <v>0</v>
      </c>
      <c r="V6">
        <v>0</v>
      </c>
      <c r="W6">
        <v>0</v>
      </c>
      <c r="X6">
        <v>-1</v>
      </c>
      <c r="Y6">
        <v>-1</v>
      </c>
      <c r="Z6" s="8">
        <v>0</v>
      </c>
      <c r="AA6">
        <v>1</v>
      </c>
      <c r="AB6" s="8">
        <v>-1</v>
      </c>
      <c r="AC6" s="8">
        <v>-1</v>
      </c>
      <c r="AD6" s="8">
        <v>-1</v>
      </c>
      <c r="AE6" s="8">
        <v>-1</v>
      </c>
      <c r="AF6" s="8">
        <v>0</v>
      </c>
      <c r="AG6" s="8">
        <v>0</v>
      </c>
    </row>
    <row r="7" spans="1:33">
      <c r="A7" s="7" t="str">
        <f>IF(配置总览!$B$116="导出",IF(配置总览!$H$116="单人",配置总览!H121+2,"#"),"#")</f>
        <v>#</v>
      </c>
      <c r="B7" s="3" t="str">
        <f>CommonItem!B53&amp;"妖兽"</f>
        <v>双人动作-经典制皂妖兽</v>
      </c>
      <c r="C7" s="7" t="str">
        <f>配置总览!N126</f>
        <v>wm_liandong_shanghaizhizao_yaoshou_001</v>
      </c>
      <c r="D7">
        <v>1</v>
      </c>
      <c r="F7">
        <v>0</v>
      </c>
      <c r="G7">
        <v>0</v>
      </c>
      <c r="H7">
        <v>0</v>
      </c>
      <c r="I7">
        <v>0</v>
      </c>
      <c r="J7" t="str">
        <f>配置总览!H122</f>
        <v>CenterPoint</v>
      </c>
      <c r="K7">
        <v>1</v>
      </c>
      <c r="L7" s="8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9">
        <f>配置总览!$N$125</f>
        <v>0</v>
      </c>
      <c r="U7">
        <v>0</v>
      </c>
      <c r="V7">
        <v>0</v>
      </c>
      <c r="W7">
        <v>0</v>
      </c>
      <c r="X7">
        <v>-1</v>
      </c>
      <c r="Y7">
        <v>-1</v>
      </c>
      <c r="Z7" s="8">
        <v>0</v>
      </c>
      <c r="AA7">
        <v>1</v>
      </c>
      <c r="AB7" s="8">
        <v>-1</v>
      </c>
      <c r="AC7" s="8">
        <v>-1</v>
      </c>
      <c r="AD7" s="8">
        <v>-1</v>
      </c>
      <c r="AE7" s="8">
        <v>-1</v>
      </c>
      <c r="AF7" s="8">
        <v>0</v>
      </c>
      <c r="AG7" s="8">
        <v>0</v>
      </c>
    </row>
    <row r="8" spans="1:33">
      <c r="A8" s="7">
        <f>IF(配置总览!$B$116="导出",IF(配置总览!$H$116="双人",配置总览!H121,"#"),"#")</f>
        <v>34037</v>
      </c>
      <c r="B8" s="3" t="str">
        <f>CommonItem!B53&amp;"男"</f>
        <v>双人动作-经典制皂男</v>
      </c>
      <c r="C8" s="7" t="str">
        <f>配置总览!N122</f>
        <v>wm_liandong_shanghaizhizao_nan_001</v>
      </c>
      <c r="D8">
        <v>1</v>
      </c>
      <c r="F8">
        <v>0</v>
      </c>
      <c r="G8">
        <v>0</v>
      </c>
      <c r="H8">
        <v>0</v>
      </c>
      <c r="I8">
        <v>0</v>
      </c>
      <c r="J8" t="str">
        <f>配置总览!H122</f>
        <v>CenterPoint</v>
      </c>
      <c r="K8">
        <v>1</v>
      </c>
      <c r="L8" s="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9">
        <f>配置总览!$N$123</f>
        <v>0</v>
      </c>
      <c r="U8">
        <v>0</v>
      </c>
      <c r="V8">
        <v>0</v>
      </c>
      <c r="W8">
        <v>0</v>
      </c>
      <c r="X8">
        <v>-1</v>
      </c>
      <c r="Y8">
        <v>-1</v>
      </c>
      <c r="Z8" s="8">
        <v>0</v>
      </c>
      <c r="AA8">
        <v>1</v>
      </c>
      <c r="AB8" s="8">
        <v>-1</v>
      </c>
      <c r="AC8" s="8">
        <v>-1</v>
      </c>
      <c r="AD8" s="8">
        <v>-1</v>
      </c>
      <c r="AE8" s="8">
        <v>-1</v>
      </c>
      <c r="AF8" s="8">
        <v>0</v>
      </c>
      <c r="AG8" s="8">
        <v>0</v>
      </c>
    </row>
    <row r="9" spans="1:33">
      <c r="A9" s="7">
        <f>IF(配置总览!$B$116="导出",IF(配置总览!$H$116="双人",配置总览!H121+1,"#"),"#")</f>
        <v>34038</v>
      </c>
      <c r="B9" s="3" t="str">
        <f>CommonItem!B53&amp;"女"</f>
        <v>双人动作-经典制皂女</v>
      </c>
      <c r="C9" s="7" t="str">
        <f>配置总览!N124</f>
        <v>wm_liandong_shanghaizhizao_nv_001</v>
      </c>
      <c r="D9">
        <v>1</v>
      </c>
      <c r="F9">
        <v>0</v>
      </c>
      <c r="G9">
        <v>0</v>
      </c>
      <c r="H9">
        <v>0</v>
      </c>
      <c r="I9">
        <v>0</v>
      </c>
      <c r="J9" t="str">
        <f>配置总览!H122</f>
        <v>CenterPoint</v>
      </c>
      <c r="K9">
        <v>1</v>
      </c>
      <c r="L9" s="8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9">
        <f>配置总览!$N$123</f>
        <v>0</v>
      </c>
      <c r="U9">
        <v>0</v>
      </c>
      <c r="V9">
        <v>0</v>
      </c>
      <c r="W9">
        <v>0</v>
      </c>
      <c r="X9">
        <v>-1</v>
      </c>
      <c r="Y9">
        <v>-1</v>
      </c>
      <c r="Z9" s="8">
        <v>0</v>
      </c>
      <c r="AA9">
        <v>1</v>
      </c>
      <c r="AB9" s="8">
        <v>-1</v>
      </c>
      <c r="AC9" s="8">
        <v>-1</v>
      </c>
      <c r="AD9" s="8">
        <v>-1</v>
      </c>
      <c r="AE9" s="8">
        <v>-1</v>
      </c>
      <c r="AF9" s="8">
        <v>0</v>
      </c>
      <c r="AG9" s="8">
        <v>0</v>
      </c>
    </row>
    <row r="10" spans="1:33">
      <c r="A10" s="7">
        <f>IF(配置总览!$B$116="导出",IF(配置总览!$H$116="双人",配置总览!H121+2,"#"),"#")</f>
        <v>34039</v>
      </c>
      <c r="B10" s="3" t="str">
        <f>CommonItem!B53&amp;"妖兽"</f>
        <v>双人动作-经典制皂妖兽</v>
      </c>
      <c r="C10" s="7" t="str">
        <f>配置总览!N126</f>
        <v>wm_liandong_shanghaizhizao_yaoshou_001</v>
      </c>
      <c r="D10">
        <v>1</v>
      </c>
      <c r="F10">
        <v>0</v>
      </c>
      <c r="G10">
        <v>0</v>
      </c>
      <c r="H10">
        <v>0</v>
      </c>
      <c r="I10">
        <v>0</v>
      </c>
      <c r="J10" t="str">
        <f>配置总览!H122</f>
        <v>CenterPoint</v>
      </c>
      <c r="K10">
        <v>1</v>
      </c>
      <c r="L10" s="8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9">
        <f>配置总览!$N$125</f>
        <v>0</v>
      </c>
      <c r="U10">
        <v>0</v>
      </c>
      <c r="V10">
        <v>0</v>
      </c>
      <c r="W10">
        <v>0</v>
      </c>
      <c r="X10">
        <v>-1</v>
      </c>
      <c r="Y10">
        <v>-1</v>
      </c>
      <c r="Z10" s="8">
        <v>0</v>
      </c>
      <c r="AA10">
        <v>1</v>
      </c>
      <c r="AB10" s="8">
        <v>-1</v>
      </c>
      <c r="AC10" s="8">
        <v>-1</v>
      </c>
      <c r="AD10" s="8">
        <v>-1</v>
      </c>
      <c r="AE10" s="8">
        <v>-1</v>
      </c>
      <c r="AF10" s="8">
        <v>0</v>
      </c>
      <c r="AG10" s="8">
        <v>0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23"/>
  <sheetViews>
    <sheetView workbookViewId="0">
      <selection activeCell="A23" sqref="$A23:$XFD23"/>
    </sheetView>
  </sheetViews>
  <sheetFormatPr defaultColWidth="9" defaultRowHeight="14.25"/>
  <cols>
    <col min="2" max="2" width="26.375" customWidth="1"/>
  </cols>
  <sheetData>
    <row r="1" s="1" customFormat="1" spans="1:67">
      <c r="A1" s="1" t="s">
        <v>312</v>
      </c>
      <c r="B1" s="1" t="s">
        <v>313</v>
      </c>
      <c r="C1" s="1" t="s">
        <v>1512</v>
      </c>
      <c r="D1" s="1" t="s">
        <v>1513</v>
      </c>
      <c r="E1" s="1" t="s">
        <v>1514</v>
      </c>
      <c r="F1" s="1" t="s">
        <v>1515</v>
      </c>
      <c r="G1" s="1" t="s">
        <v>1516</v>
      </c>
      <c r="H1" s="1" t="s">
        <v>1517</v>
      </c>
      <c r="I1" s="1" t="s">
        <v>1518</v>
      </c>
      <c r="J1" s="1" t="s">
        <v>1519</v>
      </c>
      <c r="K1" s="1" t="s">
        <v>1520</v>
      </c>
      <c r="L1" s="1" t="s">
        <v>1521</v>
      </c>
      <c r="M1" s="1" t="s">
        <v>1522</v>
      </c>
      <c r="N1" s="1" t="s">
        <v>1523</v>
      </c>
      <c r="O1" s="1" t="s">
        <v>1524</v>
      </c>
      <c r="P1" s="1" t="s">
        <v>1525</v>
      </c>
      <c r="Q1" s="1" t="s">
        <v>1526</v>
      </c>
      <c r="R1" s="1" t="s">
        <v>1527</v>
      </c>
      <c r="S1" s="1" t="s">
        <v>1528</v>
      </c>
      <c r="T1" s="1" t="s">
        <v>1529</v>
      </c>
      <c r="U1" s="1" t="s">
        <v>1530</v>
      </c>
      <c r="V1" s="1" t="s">
        <v>1531</v>
      </c>
      <c r="W1" s="1" t="s">
        <v>1532</v>
      </c>
      <c r="X1" s="1" t="s">
        <v>1533</v>
      </c>
      <c r="Y1" s="1" t="s">
        <v>1534</v>
      </c>
      <c r="Z1" s="1" t="s">
        <v>1535</v>
      </c>
      <c r="AA1" s="1" t="s">
        <v>1536</v>
      </c>
      <c r="AB1" s="1" t="s">
        <v>1537</v>
      </c>
      <c r="AC1" s="1" t="s">
        <v>1538</v>
      </c>
      <c r="AD1" s="1" t="s">
        <v>1539</v>
      </c>
      <c r="AE1" s="1" t="s">
        <v>1540</v>
      </c>
      <c r="AF1" s="1" t="s">
        <v>1541</v>
      </c>
      <c r="AG1" s="1" t="s">
        <v>1542</v>
      </c>
      <c r="AH1" s="1" t="s">
        <v>1543</v>
      </c>
      <c r="AI1" s="1" t="s">
        <v>1544</v>
      </c>
      <c r="AJ1" s="1" t="s">
        <v>1545</v>
      </c>
      <c r="AK1" s="1" t="s">
        <v>1546</v>
      </c>
      <c r="AL1" s="1" t="s">
        <v>1547</v>
      </c>
      <c r="AM1" s="1" t="s">
        <v>1548</v>
      </c>
      <c r="AN1" s="1" t="s">
        <v>1549</v>
      </c>
      <c r="AO1" s="1" t="s">
        <v>1550</v>
      </c>
      <c r="AP1" s="1" t="s">
        <v>1551</v>
      </c>
      <c r="AQ1" s="1" t="s">
        <v>1552</v>
      </c>
      <c r="AR1" s="1" t="s">
        <v>1553</v>
      </c>
      <c r="AS1" s="1" t="s">
        <v>1554</v>
      </c>
      <c r="AT1" s="1" t="s">
        <v>1555</v>
      </c>
      <c r="AU1" s="1" t="s">
        <v>1556</v>
      </c>
      <c r="AV1" s="1" t="s">
        <v>1557</v>
      </c>
      <c r="AW1" s="1" t="s">
        <v>1558</v>
      </c>
      <c r="AX1" s="1" t="s">
        <v>1559</v>
      </c>
      <c r="AY1" s="1" t="s">
        <v>1560</v>
      </c>
      <c r="AZ1" s="1" t="s">
        <v>1561</v>
      </c>
      <c r="BA1" s="1" t="s">
        <v>1562</v>
      </c>
      <c r="BB1" s="1" t="s">
        <v>1563</v>
      </c>
      <c r="BC1" s="1" t="s">
        <v>1564</v>
      </c>
      <c r="BD1" s="1" t="s">
        <v>1565</v>
      </c>
      <c r="BE1" s="1" t="s">
        <v>1566</v>
      </c>
      <c r="BF1" s="1" t="s">
        <v>1567</v>
      </c>
      <c r="BG1" s="1" t="s">
        <v>1568</v>
      </c>
      <c r="BH1" s="1" t="s">
        <v>1569</v>
      </c>
      <c r="BI1" s="1" t="s">
        <v>1570</v>
      </c>
      <c r="BJ1" s="1" t="s">
        <v>1571</v>
      </c>
      <c r="BK1" s="1" t="s">
        <v>1572</v>
      </c>
      <c r="BL1" s="1" t="s">
        <v>1573</v>
      </c>
      <c r="BM1" s="1" t="s">
        <v>1574</v>
      </c>
      <c r="BN1" s="1" t="s">
        <v>1575</v>
      </c>
      <c r="BO1" s="1" t="s">
        <v>1576</v>
      </c>
    </row>
    <row r="2" s="1" customFormat="1" spans="1:67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315</v>
      </c>
      <c r="F2" s="1" t="s">
        <v>315</v>
      </c>
      <c r="G2" s="1" t="s">
        <v>315</v>
      </c>
      <c r="H2" s="1" t="s">
        <v>315</v>
      </c>
      <c r="I2" s="1" t="s">
        <v>315</v>
      </c>
      <c r="J2" s="1" t="s">
        <v>315</v>
      </c>
      <c r="K2" s="1" t="s">
        <v>315</v>
      </c>
      <c r="L2" s="1" t="s">
        <v>315</v>
      </c>
      <c r="M2" s="1" t="s">
        <v>315</v>
      </c>
      <c r="N2" s="1" t="s">
        <v>315</v>
      </c>
      <c r="O2" s="1" t="s">
        <v>315</v>
      </c>
      <c r="P2" s="1" t="s">
        <v>315</v>
      </c>
      <c r="Q2" s="1" t="s">
        <v>315</v>
      </c>
      <c r="R2" s="1" t="s">
        <v>315</v>
      </c>
      <c r="S2" s="1" t="s">
        <v>315</v>
      </c>
      <c r="T2" s="1" t="s">
        <v>315</v>
      </c>
      <c r="U2" s="1" t="s">
        <v>315</v>
      </c>
      <c r="V2" s="1" t="s">
        <v>315</v>
      </c>
      <c r="W2" s="1" t="s">
        <v>315</v>
      </c>
      <c r="X2" s="1" t="s">
        <v>315</v>
      </c>
      <c r="Y2" s="1" t="s">
        <v>315</v>
      </c>
      <c r="Z2" s="1" t="s">
        <v>315</v>
      </c>
      <c r="AA2" s="1" t="s">
        <v>315</v>
      </c>
      <c r="AB2" s="1" t="s">
        <v>315</v>
      </c>
      <c r="AC2" s="1" t="s">
        <v>315</v>
      </c>
      <c r="AD2" s="1" t="s">
        <v>315</v>
      </c>
      <c r="AE2" s="1" t="s">
        <v>315</v>
      </c>
      <c r="AF2" s="1" t="s">
        <v>315</v>
      </c>
      <c r="AG2" s="1" t="s">
        <v>315</v>
      </c>
      <c r="AH2" s="1" t="s">
        <v>315</v>
      </c>
      <c r="AI2" s="1" t="s">
        <v>315</v>
      </c>
      <c r="AJ2" s="1" t="s">
        <v>315</v>
      </c>
      <c r="AK2" s="1" t="s">
        <v>315</v>
      </c>
      <c r="AL2" s="1" t="s">
        <v>315</v>
      </c>
      <c r="AM2" s="1" t="s">
        <v>315</v>
      </c>
      <c r="AN2" s="1" t="s">
        <v>315</v>
      </c>
      <c r="AO2" s="1" t="s">
        <v>315</v>
      </c>
      <c r="AP2" s="1" t="s">
        <v>315</v>
      </c>
      <c r="AQ2" s="1" t="s">
        <v>315</v>
      </c>
      <c r="AR2" s="1" t="s">
        <v>315</v>
      </c>
      <c r="AS2" s="1" t="s">
        <v>315</v>
      </c>
      <c r="AT2" s="1" t="s">
        <v>315</v>
      </c>
      <c r="AU2" s="1" t="s">
        <v>315</v>
      </c>
      <c r="AV2" s="1" t="s">
        <v>315</v>
      </c>
      <c r="AW2" s="1" t="s">
        <v>315</v>
      </c>
      <c r="AX2" s="1" t="s">
        <v>315</v>
      </c>
      <c r="AY2" s="1" t="s">
        <v>315</v>
      </c>
      <c r="AZ2" s="1" t="s">
        <v>315</v>
      </c>
      <c r="BA2" s="1" t="s">
        <v>315</v>
      </c>
      <c r="BB2" s="1" t="s">
        <v>315</v>
      </c>
      <c r="BC2" s="1" t="s">
        <v>315</v>
      </c>
      <c r="BD2" s="1" t="s">
        <v>315</v>
      </c>
      <c r="BE2" s="1" t="s">
        <v>315</v>
      </c>
      <c r="BF2" s="1" t="s">
        <v>315</v>
      </c>
      <c r="BG2" s="1" t="s">
        <v>315</v>
      </c>
      <c r="BH2" s="1" t="s">
        <v>315</v>
      </c>
      <c r="BI2" s="1" t="s">
        <v>315</v>
      </c>
      <c r="BJ2" s="1" t="s">
        <v>315</v>
      </c>
      <c r="BK2" s="1" t="s">
        <v>315</v>
      </c>
      <c r="BL2" s="1" t="s">
        <v>315</v>
      </c>
      <c r="BM2" s="1" t="s">
        <v>315</v>
      </c>
      <c r="BN2" s="1" t="s">
        <v>315</v>
      </c>
      <c r="BO2" s="1" t="s">
        <v>315</v>
      </c>
    </row>
    <row r="3" s="1" customFormat="1" spans="1:1">
      <c r="A3" s="1" t="s">
        <v>1577</v>
      </c>
    </row>
    <row r="4" s="1" customFormat="1" spans="1:67">
      <c r="A4" s="1" t="s">
        <v>448</v>
      </c>
      <c r="B4" s="1" t="s">
        <v>591</v>
      </c>
      <c r="C4" s="1" t="s">
        <v>1578</v>
      </c>
      <c r="D4" s="1" t="s">
        <v>1579</v>
      </c>
      <c r="E4" s="1" t="s">
        <v>1580</v>
      </c>
      <c r="F4" s="1" t="s">
        <v>1581</v>
      </c>
      <c r="G4" s="1" t="s">
        <v>1582</v>
      </c>
      <c r="H4" s="1" t="s">
        <v>1583</v>
      </c>
      <c r="I4" s="1" t="s">
        <v>1584</v>
      </c>
      <c r="J4" s="1" t="s">
        <v>1585</v>
      </c>
      <c r="K4" s="1" t="s">
        <v>1586</v>
      </c>
      <c r="L4" s="1" t="s">
        <v>1587</v>
      </c>
      <c r="M4" s="1" t="s">
        <v>1588</v>
      </c>
      <c r="N4" s="1" t="s">
        <v>1589</v>
      </c>
      <c r="O4" s="1" t="s">
        <v>1590</v>
      </c>
      <c r="P4" s="1" t="s">
        <v>1591</v>
      </c>
      <c r="Q4" s="1" t="s">
        <v>1592</v>
      </c>
      <c r="R4" s="1" t="s">
        <v>1593</v>
      </c>
      <c r="S4" s="1" t="s">
        <v>1594</v>
      </c>
      <c r="T4" s="1" t="s">
        <v>1595</v>
      </c>
      <c r="U4" s="1" t="s">
        <v>1596</v>
      </c>
      <c r="V4" s="1" t="s">
        <v>1597</v>
      </c>
      <c r="W4" s="1" t="s">
        <v>1598</v>
      </c>
      <c r="X4" s="1" t="s">
        <v>1599</v>
      </c>
      <c r="Y4" s="1" t="s">
        <v>1600</v>
      </c>
      <c r="Z4" s="1" t="s">
        <v>1601</v>
      </c>
      <c r="AA4" s="1" t="s">
        <v>1602</v>
      </c>
      <c r="AB4" s="1" t="s">
        <v>1603</v>
      </c>
      <c r="AC4" s="1" t="s">
        <v>1604</v>
      </c>
      <c r="AD4" s="1" t="s">
        <v>1605</v>
      </c>
      <c r="AE4" s="1" t="s">
        <v>1606</v>
      </c>
      <c r="AF4" s="1" t="s">
        <v>1607</v>
      </c>
      <c r="AG4" s="1" t="s">
        <v>1608</v>
      </c>
      <c r="AH4" s="1" t="s">
        <v>1609</v>
      </c>
      <c r="AI4" s="1" t="s">
        <v>1610</v>
      </c>
      <c r="AJ4" s="1" t="s">
        <v>1611</v>
      </c>
      <c r="AK4" s="1" t="s">
        <v>1612</v>
      </c>
      <c r="AL4" s="1" t="s">
        <v>1613</v>
      </c>
      <c r="AM4" s="1" t="s">
        <v>1614</v>
      </c>
      <c r="AN4" s="1" t="s">
        <v>1615</v>
      </c>
      <c r="AO4" s="1" t="s">
        <v>1616</v>
      </c>
      <c r="AP4" s="1" t="s">
        <v>1617</v>
      </c>
      <c r="AQ4" s="1" t="s">
        <v>1618</v>
      </c>
      <c r="AR4" s="1" t="s">
        <v>1619</v>
      </c>
      <c r="AS4" s="1" t="s">
        <v>1620</v>
      </c>
      <c r="AT4" s="1" t="s">
        <v>1621</v>
      </c>
      <c r="AU4" s="1" t="s">
        <v>1622</v>
      </c>
      <c r="AV4" s="1" t="s">
        <v>1623</v>
      </c>
      <c r="AW4" s="1" t="s">
        <v>1624</v>
      </c>
      <c r="AX4" s="1" t="s">
        <v>1625</v>
      </c>
      <c r="AY4" s="1" t="s">
        <v>1626</v>
      </c>
      <c r="AZ4" s="1" t="s">
        <v>1627</v>
      </c>
      <c r="BA4" s="1" t="s">
        <v>1628</v>
      </c>
      <c r="BB4" s="1" t="s">
        <v>1629</v>
      </c>
      <c r="BC4" s="1" t="s">
        <v>1630</v>
      </c>
      <c r="BD4" s="1" t="s">
        <v>1631</v>
      </c>
      <c r="BE4" s="1" t="s">
        <v>1632</v>
      </c>
      <c r="BF4" s="1" t="s">
        <v>1633</v>
      </c>
      <c r="BG4" s="1" t="s">
        <v>1634</v>
      </c>
      <c r="BH4" s="1" t="s">
        <v>1635</v>
      </c>
      <c r="BI4" s="1" t="s">
        <v>1636</v>
      </c>
      <c r="BJ4" s="1" t="s">
        <v>1637</v>
      </c>
      <c r="BK4" s="1" t="s">
        <v>1638</v>
      </c>
      <c r="BL4" s="1" t="s">
        <v>1639</v>
      </c>
      <c r="BM4" s="1" t="s">
        <v>1640</v>
      </c>
      <c r="BN4" s="1" t="s">
        <v>1641</v>
      </c>
      <c r="BO4" s="1" t="s">
        <v>1642</v>
      </c>
    </row>
    <row r="5" spans="1:67">
      <c r="A5" s="3" t="str">
        <f>FashionData!A5</f>
        <v>#</v>
      </c>
      <c r="B5" s="3" t="str">
        <f>FashionData!B5</f>
        <v>A：蜜语轻舞·头（男）</v>
      </c>
      <c r="C5">
        <v>0</v>
      </c>
      <c r="D5">
        <v>-1</v>
      </c>
      <c r="E5">
        <v>0</v>
      </c>
      <c r="F5">
        <v>-1</v>
      </c>
      <c r="G5">
        <v>0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</row>
    <row r="6" spans="1:67">
      <c r="A6" s="3" t="str">
        <f>FashionData!A6</f>
        <v>#</v>
      </c>
      <c r="B6" s="3" t="str">
        <f>FashionData!B6</f>
        <v>A：蜜语轻舞·头（女）</v>
      </c>
      <c r="C6">
        <v>0</v>
      </c>
      <c r="D6">
        <v>-1</v>
      </c>
      <c r="E6">
        <v>0</v>
      </c>
      <c r="F6">
        <v>-1</v>
      </c>
      <c r="G6">
        <v>0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</row>
    <row r="7" spans="1:67">
      <c r="A7" s="3" t="str">
        <f>FashionData!A7</f>
        <v>#</v>
      </c>
      <c r="B7" s="3" t="str">
        <f>FashionData!B7</f>
        <v>A：蜜语轻舞（男）</v>
      </c>
      <c r="C7">
        <v>0</v>
      </c>
      <c r="D7">
        <v>0</v>
      </c>
      <c r="E7">
        <v>0</v>
      </c>
      <c r="F7">
        <v>0</v>
      </c>
      <c r="G7">
        <v>0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</row>
    <row r="8" spans="1:67">
      <c r="A8" s="3" t="str">
        <f>FashionData!A8</f>
        <v>#</v>
      </c>
      <c r="B8" s="3" t="str">
        <f>FashionData!B8</f>
        <v>A：蜜语轻舞（女）</v>
      </c>
      <c r="C8">
        <v>0</v>
      </c>
      <c r="D8">
        <v>0</v>
      </c>
      <c r="E8">
        <v>0</v>
      </c>
      <c r="F8">
        <v>0</v>
      </c>
      <c r="G8">
        <v>0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</row>
    <row r="9" spans="1:67">
      <c r="A9" s="3" t="str">
        <f>FashionData!A14</f>
        <v>#</v>
      </c>
      <c r="B9" s="3" t="str">
        <f>FashionData!B14</f>
        <v>A：野趣风尚</v>
      </c>
      <c r="C9">
        <v>0</v>
      </c>
      <c r="D9">
        <v>-1</v>
      </c>
      <c r="E9">
        <v>0</v>
      </c>
      <c r="F9">
        <v>-1</v>
      </c>
      <c r="G9">
        <v>0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</row>
    <row r="10" s="2" customFormat="1" spans="1:67">
      <c r="A10" s="3" t="str">
        <f>FashionData!A15</f>
        <v>#</v>
      </c>
      <c r="B10" s="3" t="str">
        <f>FashionData!B15</f>
        <v>B：星扇·宿</v>
      </c>
      <c r="C10" s="2">
        <v>0</v>
      </c>
      <c r="D10" s="2">
        <v>-1</v>
      </c>
      <c r="E10" s="2">
        <v>0</v>
      </c>
      <c r="F10" s="2">
        <v>-1</v>
      </c>
      <c r="G10" s="2">
        <v>0</v>
      </c>
      <c r="H10" s="2">
        <v>-1</v>
      </c>
      <c r="I10" s="2">
        <v>-1</v>
      </c>
      <c r="J10" s="2">
        <v>-1</v>
      </c>
      <c r="K10" s="2">
        <v>-1</v>
      </c>
      <c r="L10" s="2">
        <v>-1</v>
      </c>
      <c r="M10" s="2">
        <v>-1</v>
      </c>
      <c r="N10" s="2">
        <v>-1</v>
      </c>
      <c r="O10" s="2">
        <v>-1</v>
      </c>
      <c r="P10" s="2">
        <v>-1</v>
      </c>
      <c r="Q10" s="2">
        <v>2</v>
      </c>
      <c r="R10" s="2">
        <v>2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2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2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  <c r="AS10" s="2">
        <v>2</v>
      </c>
      <c r="AT10" s="2">
        <v>2</v>
      </c>
      <c r="AU10" s="2">
        <v>2</v>
      </c>
      <c r="AV10" s="2">
        <v>2</v>
      </c>
      <c r="AW10" s="2">
        <v>2</v>
      </c>
      <c r="AX10" s="2">
        <v>2</v>
      </c>
      <c r="AY10" s="2">
        <v>2</v>
      </c>
      <c r="AZ10" s="2">
        <v>2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2</v>
      </c>
      <c r="BL10" s="2">
        <v>2</v>
      </c>
      <c r="BM10" s="2">
        <v>2</v>
      </c>
      <c r="BN10" s="2">
        <v>2</v>
      </c>
      <c r="BO10" s="2">
        <v>2</v>
      </c>
    </row>
    <row r="11" s="2" customFormat="1" spans="1:67">
      <c r="A11" s="3" t="str">
        <f>FashionData!A16</f>
        <v>#</v>
      </c>
      <c r="B11" s="3" t="str">
        <f>FashionData!B16</f>
        <v>A：星扇·星象</v>
      </c>
      <c r="C11" s="2">
        <v>0</v>
      </c>
      <c r="D11" s="2">
        <v>-1</v>
      </c>
      <c r="E11" s="2">
        <v>0</v>
      </c>
      <c r="F11" s="2">
        <v>-1</v>
      </c>
      <c r="G11" s="2">
        <v>0</v>
      </c>
      <c r="H11" s="2">
        <v>-1</v>
      </c>
      <c r="I11" s="2">
        <v>-1</v>
      </c>
      <c r="J11" s="2">
        <v>-1</v>
      </c>
      <c r="K11" s="2">
        <v>-1</v>
      </c>
      <c r="L11" s="2">
        <v>-1</v>
      </c>
      <c r="M11" s="2">
        <v>-1</v>
      </c>
      <c r="N11" s="2">
        <v>-1</v>
      </c>
      <c r="O11" s="2">
        <v>-1</v>
      </c>
      <c r="P11" s="2">
        <v>-1</v>
      </c>
      <c r="Q11" s="2">
        <v>2</v>
      </c>
      <c r="R11" s="2">
        <v>2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2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2</v>
      </c>
      <c r="AF11" s="2">
        <v>2</v>
      </c>
      <c r="AG11" s="2">
        <v>2</v>
      </c>
      <c r="AH11" s="2">
        <v>2</v>
      </c>
      <c r="AI11" s="2">
        <v>2</v>
      </c>
      <c r="AJ11" s="2">
        <v>2</v>
      </c>
      <c r="AK11" s="2">
        <v>2</v>
      </c>
      <c r="AL11" s="2">
        <v>2</v>
      </c>
      <c r="AM11" s="2">
        <v>2</v>
      </c>
      <c r="AN11" s="2">
        <v>2</v>
      </c>
      <c r="AO11" s="2">
        <v>2</v>
      </c>
      <c r="AP11" s="2">
        <v>2</v>
      </c>
      <c r="AQ11" s="2">
        <v>2</v>
      </c>
      <c r="AR11" s="2">
        <v>2</v>
      </c>
      <c r="AS11" s="2">
        <v>2</v>
      </c>
      <c r="AT11" s="2">
        <v>2</v>
      </c>
      <c r="AU11" s="2">
        <v>2</v>
      </c>
      <c r="AV11" s="2">
        <v>2</v>
      </c>
      <c r="AW11" s="2">
        <v>2</v>
      </c>
      <c r="AX11" s="2">
        <v>2</v>
      </c>
      <c r="AY11" s="2">
        <v>2</v>
      </c>
      <c r="AZ11" s="2">
        <v>2</v>
      </c>
      <c r="BA11" s="2">
        <v>2</v>
      </c>
      <c r="BB11" s="2">
        <v>2</v>
      </c>
      <c r="BC11" s="2">
        <v>2</v>
      </c>
      <c r="BD11" s="2">
        <v>2</v>
      </c>
      <c r="BE11" s="2">
        <v>2</v>
      </c>
      <c r="BF11" s="2">
        <v>2</v>
      </c>
      <c r="BG11" s="2">
        <v>2</v>
      </c>
      <c r="BH11" s="2">
        <v>2</v>
      </c>
      <c r="BI11" s="2">
        <v>2</v>
      </c>
      <c r="BJ11" s="2">
        <v>2</v>
      </c>
      <c r="BK11" s="2">
        <v>2</v>
      </c>
      <c r="BL11" s="2">
        <v>2</v>
      </c>
      <c r="BM11" s="2">
        <v>2</v>
      </c>
      <c r="BN11" s="2">
        <v>2</v>
      </c>
      <c r="BO11" s="2">
        <v>2</v>
      </c>
    </row>
    <row r="12" s="2" customFormat="1" spans="1:67">
      <c r="A12" s="3" t="str">
        <f>FashionData!A17</f>
        <v>#</v>
      </c>
      <c r="B12" s="3" t="str">
        <f>FashionData!B17</f>
        <v>S：星扇·天垣</v>
      </c>
      <c r="C12" s="2">
        <v>0</v>
      </c>
      <c r="D12" s="2">
        <v>-1</v>
      </c>
      <c r="E12" s="2">
        <v>0</v>
      </c>
      <c r="F12" s="2">
        <v>-1</v>
      </c>
      <c r="G12" s="2">
        <v>0</v>
      </c>
      <c r="H12" s="2">
        <v>-1</v>
      </c>
      <c r="I12" s="2">
        <v>-1</v>
      </c>
      <c r="J12" s="2">
        <v>-1</v>
      </c>
      <c r="K12" s="2">
        <v>-1</v>
      </c>
      <c r="L12" s="2">
        <v>-1</v>
      </c>
      <c r="M12" s="2">
        <v>-1</v>
      </c>
      <c r="N12" s="2">
        <v>-1</v>
      </c>
      <c r="O12" s="2">
        <v>-1</v>
      </c>
      <c r="P12" s="2">
        <v>-1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  <c r="AS12" s="2">
        <v>2</v>
      </c>
      <c r="AT12" s="2">
        <v>2</v>
      </c>
      <c r="AU12" s="2">
        <v>2</v>
      </c>
      <c r="AV12" s="2">
        <v>2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2</v>
      </c>
      <c r="BI12" s="2">
        <v>2</v>
      </c>
      <c r="BJ12" s="2">
        <v>2</v>
      </c>
      <c r="BK12" s="2">
        <v>2</v>
      </c>
      <c r="BL12" s="2">
        <v>2</v>
      </c>
      <c r="BM12" s="2">
        <v>2</v>
      </c>
      <c r="BN12" s="2">
        <v>2</v>
      </c>
      <c r="BO12" s="2">
        <v>2</v>
      </c>
    </row>
    <row r="13" s="2" customFormat="1" spans="1:67">
      <c r="A13" s="3" t="str">
        <f>FashionData!A18</f>
        <v>#</v>
      </c>
      <c r="B13" s="3" t="str">
        <f>FashionData!B18</f>
        <v>S+：星扇·天星引</v>
      </c>
      <c r="C13" s="2">
        <v>0</v>
      </c>
      <c r="D13" s="2">
        <v>-1</v>
      </c>
      <c r="E13" s="2">
        <v>0</v>
      </c>
      <c r="F13" s="2">
        <v>-1</v>
      </c>
      <c r="G13" s="2">
        <v>0</v>
      </c>
      <c r="H13" s="2">
        <v>-1</v>
      </c>
      <c r="I13" s="2">
        <v>-1</v>
      </c>
      <c r="J13" s="2">
        <v>-1</v>
      </c>
      <c r="K13" s="2">
        <v>-1</v>
      </c>
      <c r="L13" s="2">
        <v>-1</v>
      </c>
      <c r="M13" s="2">
        <v>-1</v>
      </c>
      <c r="N13" s="2">
        <v>-1</v>
      </c>
      <c r="O13" s="2">
        <v>-1</v>
      </c>
      <c r="P13" s="2">
        <v>-1</v>
      </c>
      <c r="Q13" s="2">
        <v>2</v>
      </c>
      <c r="R13" s="2">
        <v>2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2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2</v>
      </c>
      <c r="AI13" s="2">
        <v>2</v>
      </c>
      <c r="AJ13" s="2">
        <v>2</v>
      </c>
      <c r="AK13" s="2">
        <v>2</v>
      </c>
      <c r="AL13" s="2">
        <v>2</v>
      </c>
      <c r="AM13" s="2">
        <v>2</v>
      </c>
      <c r="AN13" s="2">
        <v>2</v>
      </c>
      <c r="AO13" s="2">
        <v>2</v>
      </c>
      <c r="AP13" s="2">
        <v>2</v>
      </c>
      <c r="AQ13" s="2">
        <v>2</v>
      </c>
      <c r="AR13" s="2">
        <v>2</v>
      </c>
      <c r="AS13" s="2">
        <v>2</v>
      </c>
      <c r="AT13" s="2">
        <v>2</v>
      </c>
      <c r="AU13" s="2">
        <v>2</v>
      </c>
      <c r="AV13" s="2">
        <v>2</v>
      </c>
      <c r="AW13" s="2">
        <v>2</v>
      </c>
      <c r="AX13" s="2">
        <v>2</v>
      </c>
      <c r="AY13" s="2">
        <v>2</v>
      </c>
      <c r="AZ13" s="2">
        <v>2</v>
      </c>
      <c r="BA13" s="2">
        <v>2</v>
      </c>
      <c r="BB13" s="2">
        <v>2</v>
      </c>
      <c r="BC13" s="2">
        <v>2</v>
      </c>
      <c r="BD13" s="2">
        <v>2</v>
      </c>
      <c r="BE13" s="2">
        <v>2</v>
      </c>
      <c r="BF13" s="2">
        <v>2</v>
      </c>
      <c r="BG13" s="2">
        <v>2</v>
      </c>
      <c r="BH13" s="2">
        <v>2</v>
      </c>
      <c r="BI13" s="2">
        <v>2</v>
      </c>
      <c r="BJ13" s="2">
        <v>2</v>
      </c>
      <c r="BK13" s="2">
        <v>2</v>
      </c>
      <c r="BL13" s="2">
        <v>2</v>
      </c>
      <c r="BM13" s="2">
        <v>2</v>
      </c>
      <c r="BN13" s="2">
        <v>2</v>
      </c>
      <c r="BO13" s="2">
        <v>2</v>
      </c>
    </row>
    <row r="14" spans="1:67">
      <c r="A14" s="3" t="str">
        <f>FashionData!A19</f>
        <v>#</v>
      </c>
      <c r="B14" s="3" t="str">
        <f>FashionData!B19</f>
        <v>S+：妖兽-无相·花颂锤</v>
      </c>
      <c r="C14">
        <v>0</v>
      </c>
      <c r="D14">
        <v>-1</v>
      </c>
      <c r="E14">
        <v>0</v>
      </c>
      <c r="F14">
        <v>-1</v>
      </c>
      <c r="G14">
        <v>2</v>
      </c>
      <c r="H14">
        <v>1</v>
      </c>
      <c r="I14">
        <v>0</v>
      </c>
      <c r="J14">
        <v>29</v>
      </c>
      <c r="K14">
        <v>29</v>
      </c>
      <c r="L14">
        <v>29</v>
      </c>
      <c r="M14">
        <v>7</v>
      </c>
      <c r="N14">
        <v>7</v>
      </c>
      <c r="O14">
        <v>6</v>
      </c>
      <c r="P14">
        <v>1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</row>
    <row r="15" spans="1:67">
      <c r="A15" s="3" t="str">
        <f>FashionData!A20</f>
        <v>#</v>
      </c>
      <c r="B15" s="3" t="str">
        <f>FashionData!B20</f>
        <v>S+：羽芒-无相·花颂弓</v>
      </c>
      <c r="C15">
        <v>0</v>
      </c>
      <c r="D15">
        <v>-1</v>
      </c>
      <c r="E15">
        <v>0</v>
      </c>
      <c r="F15">
        <v>-1</v>
      </c>
      <c r="G15">
        <v>2</v>
      </c>
      <c r="H15">
        <v>1</v>
      </c>
      <c r="I15">
        <v>0</v>
      </c>
      <c r="J15">
        <v>29</v>
      </c>
      <c r="K15">
        <v>29</v>
      </c>
      <c r="L15">
        <v>29</v>
      </c>
      <c r="M15">
        <v>7</v>
      </c>
      <c r="N15">
        <v>7</v>
      </c>
      <c r="O15">
        <v>6</v>
      </c>
      <c r="P15">
        <v>1</v>
      </c>
      <c r="Q15">
        <v>5</v>
      </c>
      <c r="R15">
        <v>5</v>
      </c>
      <c r="S15">
        <v>5</v>
      </c>
      <c r="T15">
        <v>5</v>
      </c>
      <c r="U15">
        <v>5</v>
      </c>
      <c r="V15">
        <v>5</v>
      </c>
      <c r="W15">
        <v>5</v>
      </c>
      <c r="X15">
        <v>5</v>
      </c>
      <c r="Y15">
        <v>5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5</v>
      </c>
      <c r="BO15">
        <v>5</v>
      </c>
    </row>
    <row r="16" spans="1:67">
      <c r="A16" s="3" t="str">
        <f>FashionData!A21</f>
        <v>#</v>
      </c>
      <c r="B16" s="3" t="str">
        <f>FashionData!B21</f>
        <v>S+：法师-无相·花颂剑</v>
      </c>
      <c r="C16">
        <v>0</v>
      </c>
      <c r="D16">
        <v>-1</v>
      </c>
      <c r="E16">
        <v>0</v>
      </c>
      <c r="F16">
        <v>-1</v>
      </c>
      <c r="G16">
        <v>2</v>
      </c>
      <c r="H16">
        <v>1</v>
      </c>
      <c r="I16">
        <v>0</v>
      </c>
      <c r="J16">
        <v>29</v>
      </c>
      <c r="K16">
        <v>29</v>
      </c>
      <c r="L16">
        <v>29</v>
      </c>
      <c r="M16">
        <v>7</v>
      </c>
      <c r="N16">
        <v>7</v>
      </c>
      <c r="O16">
        <v>6</v>
      </c>
      <c r="P16">
        <v>1</v>
      </c>
      <c r="Q16">
        <v>5</v>
      </c>
      <c r="R16">
        <v>5</v>
      </c>
      <c r="S16">
        <v>5</v>
      </c>
      <c r="T16">
        <v>5</v>
      </c>
      <c r="U16">
        <v>5</v>
      </c>
      <c r="V16">
        <v>5</v>
      </c>
      <c r="W16">
        <v>5</v>
      </c>
      <c r="X16">
        <v>5</v>
      </c>
      <c r="Y16">
        <v>5</v>
      </c>
      <c r="Z16">
        <v>5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5</v>
      </c>
      <c r="AR16">
        <v>5</v>
      </c>
      <c r="AS16">
        <v>5</v>
      </c>
      <c r="AT16">
        <v>5</v>
      </c>
      <c r="AU16">
        <v>5</v>
      </c>
      <c r="AV16">
        <v>5</v>
      </c>
      <c r="AW16">
        <v>5</v>
      </c>
      <c r="AX16">
        <v>5</v>
      </c>
      <c r="AY16">
        <v>5</v>
      </c>
      <c r="AZ16">
        <v>5</v>
      </c>
      <c r="BA16">
        <v>5</v>
      </c>
      <c r="BB16">
        <v>5</v>
      </c>
      <c r="BC16">
        <v>5</v>
      </c>
      <c r="BD16">
        <v>5</v>
      </c>
      <c r="BE16">
        <v>5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>
        <v>5</v>
      </c>
    </row>
    <row r="17" spans="1:67">
      <c r="A17" s="3" t="str">
        <f>FashionData!A22</f>
        <v>#</v>
      </c>
      <c r="B17" s="3" t="str">
        <f>FashionData!B22</f>
        <v>S+：羽灵-无相·花颂环</v>
      </c>
      <c r="C17">
        <v>0</v>
      </c>
      <c r="D17">
        <v>-1</v>
      </c>
      <c r="E17">
        <v>0</v>
      </c>
      <c r="F17">
        <v>-1</v>
      </c>
      <c r="G17">
        <v>2</v>
      </c>
      <c r="H17">
        <v>1</v>
      </c>
      <c r="I17">
        <v>0</v>
      </c>
      <c r="J17">
        <v>29</v>
      </c>
      <c r="K17">
        <v>29</v>
      </c>
      <c r="L17">
        <v>29</v>
      </c>
      <c r="M17">
        <v>7</v>
      </c>
      <c r="N17">
        <v>7</v>
      </c>
      <c r="O17">
        <v>6</v>
      </c>
      <c r="P17">
        <v>1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5</v>
      </c>
      <c r="Y17">
        <v>5</v>
      </c>
      <c r="Z17">
        <v>5</v>
      </c>
      <c r="AA17">
        <v>5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</row>
    <row r="18" spans="1:67">
      <c r="A18" s="3" t="str">
        <f>FashionData!A23</f>
        <v>#</v>
      </c>
      <c r="B18" s="3" t="str">
        <f>FashionData!B23</f>
        <v>S+：妖精-无相·花颂杖</v>
      </c>
      <c r="C18">
        <v>0</v>
      </c>
      <c r="D18">
        <v>-1</v>
      </c>
      <c r="E18">
        <v>0</v>
      </c>
      <c r="F18">
        <v>-1</v>
      </c>
      <c r="G18">
        <v>2</v>
      </c>
      <c r="H18">
        <v>1</v>
      </c>
      <c r="I18">
        <v>0</v>
      </c>
      <c r="J18">
        <v>29</v>
      </c>
      <c r="K18">
        <v>29</v>
      </c>
      <c r="L18">
        <v>29</v>
      </c>
      <c r="M18">
        <v>7</v>
      </c>
      <c r="N18">
        <v>7</v>
      </c>
      <c r="O18">
        <v>6</v>
      </c>
      <c r="P18">
        <v>1</v>
      </c>
      <c r="Q18">
        <v>5</v>
      </c>
      <c r="R18">
        <v>5</v>
      </c>
      <c r="S18">
        <v>5</v>
      </c>
      <c r="T18">
        <v>5</v>
      </c>
      <c r="U18">
        <v>5</v>
      </c>
      <c r="V18">
        <v>5</v>
      </c>
      <c r="W18">
        <v>5</v>
      </c>
      <c r="X18">
        <v>5</v>
      </c>
      <c r="Y18">
        <v>5</v>
      </c>
      <c r="Z18">
        <v>5</v>
      </c>
      <c r="AA18">
        <v>5</v>
      </c>
      <c r="AB18">
        <v>5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  <c r="AN18">
        <v>5</v>
      </c>
      <c r="AO18">
        <v>5</v>
      </c>
      <c r="AP18">
        <v>5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5</v>
      </c>
      <c r="AW18">
        <v>5</v>
      </c>
      <c r="AX18">
        <v>5</v>
      </c>
      <c r="AY18">
        <v>5</v>
      </c>
      <c r="AZ18">
        <v>5</v>
      </c>
      <c r="BA18">
        <v>5</v>
      </c>
      <c r="BB18">
        <v>5</v>
      </c>
      <c r="BC18">
        <v>5</v>
      </c>
      <c r="BD18">
        <v>5</v>
      </c>
      <c r="BE18">
        <v>5</v>
      </c>
      <c r="BF18">
        <v>5</v>
      </c>
      <c r="BG18">
        <v>5</v>
      </c>
      <c r="BH18">
        <v>5</v>
      </c>
      <c r="BI18">
        <v>5</v>
      </c>
      <c r="BJ18">
        <v>5</v>
      </c>
      <c r="BK18">
        <v>5</v>
      </c>
      <c r="BL18">
        <v>5</v>
      </c>
      <c r="BM18">
        <v>5</v>
      </c>
      <c r="BN18">
        <v>5</v>
      </c>
      <c r="BO18">
        <v>5</v>
      </c>
    </row>
    <row r="19" spans="1:67">
      <c r="A19" s="3" t="str">
        <f>FashionData!A24</f>
        <v>#</v>
      </c>
      <c r="B19" s="3" t="str">
        <f>FashionData!B24</f>
        <v>S+：武侠-无相·花颂兵</v>
      </c>
      <c r="C19">
        <v>0</v>
      </c>
      <c r="D19">
        <v>-1</v>
      </c>
      <c r="E19">
        <v>0</v>
      </c>
      <c r="F19">
        <v>-1</v>
      </c>
      <c r="G19">
        <v>2</v>
      </c>
      <c r="H19">
        <v>1</v>
      </c>
      <c r="I19">
        <v>0</v>
      </c>
      <c r="J19">
        <v>29</v>
      </c>
      <c r="K19">
        <v>29</v>
      </c>
      <c r="L19">
        <v>29</v>
      </c>
      <c r="M19">
        <v>7</v>
      </c>
      <c r="N19">
        <v>7</v>
      </c>
      <c r="O19">
        <v>6</v>
      </c>
      <c r="P19">
        <v>1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</row>
    <row r="20" spans="1:67">
      <c r="A20" s="3" t="str">
        <f>FashionData!A25</f>
        <v>#</v>
      </c>
      <c r="B20" s="3" t="str">
        <f>FashionData!B25</f>
        <v>S+：妖刃-无相·花颂刃</v>
      </c>
      <c r="C20">
        <v>0</v>
      </c>
      <c r="D20">
        <v>-1</v>
      </c>
      <c r="E20">
        <v>0</v>
      </c>
      <c r="F20">
        <v>-1</v>
      </c>
      <c r="G20">
        <v>2</v>
      </c>
      <c r="H20">
        <v>1</v>
      </c>
      <c r="I20">
        <v>0</v>
      </c>
      <c r="J20">
        <v>29</v>
      </c>
      <c r="K20">
        <v>29</v>
      </c>
      <c r="L20">
        <v>29</v>
      </c>
      <c r="M20">
        <v>7</v>
      </c>
      <c r="N20">
        <v>7</v>
      </c>
      <c r="O20">
        <v>6</v>
      </c>
      <c r="P20">
        <v>1</v>
      </c>
      <c r="Q20">
        <v>5</v>
      </c>
      <c r="R20">
        <v>5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5</v>
      </c>
      <c r="AW20">
        <v>5</v>
      </c>
      <c r="AX20">
        <v>5</v>
      </c>
      <c r="AY20">
        <v>5</v>
      </c>
      <c r="AZ20">
        <v>5</v>
      </c>
      <c r="BA20">
        <v>5</v>
      </c>
      <c r="BB20">
        <v>5</v>
      </c>
      <c r="BC20">
        <v>5</v>
      </c>
      <c r="BD20">
        <v>5</v>
      </c>
      <c r="BE20">
        <v>5</v>
      </c>
      <c r="BF20">
        <v>5</v>
      </c>
      <c r="BG20">
        <v>5</v>
      </c>
      <c r="BH20">
        <v>5</v>
      </c>
      <c r="BI20">
        <v>5</v>
      </c>
      <c r="BJ20">
        <v>5</v>
      </c>
      <c r="BK20">
        <v>5</v>
      </c>
      <c r="BL20">
        <v>5</v>
      </c>
      <c r="BM20">
        <v>5</v>
      </c>
      <c r="BN20">
        <v>5</v>
      </c>
      <c r="BO20">
        <v>5</v>
      </c>
    </row>
    <row r="21" spans="1:67">
      <c r="A21" s="3" t="str">
        <f>FashionData!A26</f>
        <v>#</v>
      </c>
      <c r="B21" s="3" t="str">
        <f>FashionData!B26</f>
        <v>S+：羽岚-无相·花颂书</v>
      </c>
      <c r="C21">
        <v>0</v>
      </c>
      <c r="D21">
        <v>-1</v>
      </c>
      <c r="E21">
        <v>0</v>
      </c>
      <c r="F21">
        <v>-1</v>
      </c>
      <c r="G21">
        <v>2</v>
      </c>
      <c r="H21">
        <v>1</v>
      </c>
      <c r="I21">
        <v>0</v>
      </c>
      <c r="J21">
        <v>29</v>
      </c>
      <c r="K21">
        <v>29</v>
      </c>
      <c r="L21">
        <v>29</v>
      </c>
      <c r="M21">
        <v>7</v>
      </c>
      <c r="N21">
        <v>7</v>
      </c>
      <c r="O21">
        <v>6</v>
      </c>
      <c r="P21">
        <v>1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  <c r="BN21">
        <v>5</v>
      </c>
      <c r="BO21">
        <v>5</v>
      </c>
    </row>
    <row r="22" spans="1:67">
      <c r="A22" s="3" t="str">
        <f>FashionData!A27</f>
        <v>#</v>
      </c>
      <c r="B22" s="3" t="str">
        <f>FashionData!B27</f>
        <v>S+：刀刹-无相·花颂刀</v>
      </c>
      <c r="C22">
        <v>0</v>
      </c>
      <c r="D22">
        <v>-1</v>
      </c>
      <c r="E22">
        <v>0</v>
      </c>
      <c r="F22">
        <v>-1</v>
      </c>
      <c r="G22">
        <v>2</v>
      </c>
      <c r="H22">
        <v>1</v>
      </c>
      <c r="I22">
        <v>0</v>
      </c>
      <c r="J22">
        <v>29</v>
      </c>
      <c r="K22">
        <v>29</v>
      </c>
      <c r="L22">
        <v>29</v>
      </c>
      <c r="M22">
        <v>7</v>
      </c>
      <c r="N22">
        <v>7</v>
      </c>
      <c r="O22">
        <v>6</v>
      </c>
      <c r="P22">
        <v>1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5</v>
      </c>
      <c r="BN22">
        <v>5</v>
      </c>
      <c r="BO22">
        <v>5</v>
      </c>
    </row>
    <row r="23" spans="1:67">
      <c r="A23" s="3" t="str">
        <f>FashionData!A28</f>
        <v>#</v>
      </c>
      <c r="B23" s="3" t="str">
        <f>FashionData!B28</f>
        <v>S+：月仙-无相·花颂镰</v>
      </c>
      <c r="C23">
        <v>0</v>
      </c>
      <c r="D23">
        <v>-1</v>
      </c>
      <c r="E23">
        <v>0</v>
      </c>
      <c r="F23">
        <v>-1</v>
      </c>
      <c r="G23">
        <v>2</v>
      </c>
      <c r="H23">
        <v>1</v>
      </c>
      <c r="I23">
        <v>0</v>
      </c>
      <c r="J23">
        <v>29</v>
      </c>
      <c r="K23">
        <v>29</v>
      </c>
      <c r="L23">
        <v>29</v>
      </c>
      <c r="M23">
        <v>7</v>
      </c>
      <c r="N23">
        <v>7</v>
      </c>
      <c r="O23">
        <v>6</v>
      </c>
      <c r="P23">
        <v>1</v>
      </c>
      <c r="Q23">
        <v>5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5</v>
      </c>
      <c r="AZ23">
        <v>5</v>
      </c>
      <c r="BA23">
        <v>5</v>
      </c>
      <c r="BB23">
        <v>5</v>
      </c>
      <c r="BC23">
        <v>5</v>
      </c>
      <c r="BD23">
        <v>5</v>
      </c>
      <c r="BE23">
        <v>5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5</v>
      </c>
      <c r="BO23">
        <v>5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"/>
  <sheetViews>
    <sheetView workbookViewId="0">
      <selection activeCell="G21" sqref="G21"/>
    </sheetView>
  </sheetViews>
  <sheetFormatPr defaultColWidth="8.625" defaultRowHeight="14.25"/>
  <cols>
    <col min="1" max="1" width="8.625" style="5"/>
    <col min="2" max="2" width="14.125" style="5" customWidth="1"/>
    <col min="3" max="16384" width="8.625" style="5"/>
  </cols>
  <sheetData>
    <row r="1" s="1" customFormat="1" spans="1:28">
      <c r="A1" s="1" t="s">
        <v>312</v>
      </c>
      <c r="B1" s="1" t="s">
        <v>313</v>
      </c>
      <c r="C1" s="1" t="s">
        <v>1643</v>
      </c>
      <c r="D1" s="1" t="s">
        <v>1644</v>
      </c>
      <c r="E1" s="1" t="s">
        <v>1645</v>
      </c>
      <c r="F1" s="1" t="s">
        <v>1646</v>
      </c>
      <c r="G1" s="1" t="s">
        <v>1647</v>
      </c>
      <c r="H1" s="1" t="s">
        <v>1527</v>
      </c>
      <c r="I1" s="1" t="s">
        <v>1516</v>
      </c>
      <c r="J1" s="1" t="s">
        <v>1648</v>
      </c>
      <c r="K1" s="1" t="s">
        <v>1649</v>
      </c>
      <c r="L1" s="1" t="s">
        <v>1650</v>
      </c>
      <c r="M1" s="1" t="s">
        <v>1528</v>
      </c>
      <c r="N1" s="1" t="s">
        <v>1517</v>
      </c>
      <c r="O1" s="1" t="s">
        <v>1651</v>
      </c>
      <c r="P1" s="1" t="s">
        <v>1652</v>
      </c>
      <c r="Q1" s="1" t="s">
        <v>1653</v>
      </c>
      <c r="R1" s="1" t="s">
        <v>1529</v>
      </c>
      <c r="S1" s="1" t="s">
        <v>1518</v>
      </c>
      <c r="T1" s="1" t="s">
        <v>1654</v>
      </c>
      <c r="U1" s="1" t="s">
        <v>1655</v>
      </c>
      <c r="V1" s="1" t="s">
        <v>1656</v>
      </c>
      <c r="W1" s="1" t="s">
        <v>1530</v>
      </c>
      <c r="X1" s="1" t="s">
        <v>1519</v>
      </c>
      <c r="Y1" s="1" t="s">
        <v>1657</v>
      </c>
      <c r="Z1" s="1" t="s">
        <v>1658</v>
      </c>
      <c r="AA1" s="1" t="s">
        <v>1659</v>
      </c>
      <c r="AB1" s="1" t="s">
        <v>1531</v>
      </c>
    </row>
    <row r="2" s="1" customFormat="1" spans="1:28">
      <c r="A2" s="1" t="s">
        <v>315</v>
      </c>
      <c r="B2" s="1" t="s">
        <v>316</v>
      </c>
      <c r="C2" s="1" t="s">
        <v>315</v>
      </c>
      <c r="D2" s="1" t="s">
        <v>315</v>
      </c>
      <c r="E2" s="1" t="s">
        <v>316</v>
      </c>
      <c r="F2" s="1" t="s">
        <v>316</v>
      </c>
      <c r="G2" s="1" t="s">
        <v>316</v>
      </c>
      <c r="H2" s="1" t="s">
        <v>315</v>
      </c>
      <c r="I2" s="1" t="s">
        <v>315</v>
      </c>
      <c r="J2" s="1" t="s">
        <v>316</v>
      </c>
      <c r="K2" s="1" t="s">
        <v>316</v>
      </c>
      <c r="L2" s="1" t="s">
        <v>316</v>
      </c>
      <c r="M2" s="1" t="s">
        <v>315</v>
      </c>
      <c r="N2" s="1" t="s">
        <v>315</v>
      </c>
      <c r="O2" s="1" t="s">
        <v>316</v>
      </c>
      <c r="P2" s="1" t="s">
        <v>316</v>
      </c>
      <c r="Q2" s="1" t="s">
        <v>316</v>
      </c>
      <c r="R2" s="1" t="s">
        <v>315</v>
      </c>
      <c r="S2" s="1" t="s">
        <v>315</v>
      </c>
      <c r="T2" s="1" t="s">
        <v>316</v>
      </c>
      <c r="U2" s="1" t="s">
        <v>316</v>
      </c>
      <c r="V2" s="1" t="s">
        <v>316</v>
      </c>
      <c r="W2" s="1" t="s">
        <v>315</v>
      </c>
      <c r="X2" s="1" t="s">
        <v>315</v>
      </c>
      <c r="Y2" s="1" t="s">
        <v>316</v>
      </c>
      <c r="Z2" s="1" t="s">
        <v>316</v>
      </c>
      <c r="AA2" s="1" t="s">
        <v>316</v>
      </c>
      <c r="AB2" s="1" t="s">
        <v>315</v>
      </c>
    </row>
    <row r="3" s="1" customFormat="1" spans="1:1">
      <c r="A3" s="1" t="s">
        <v>1660</v>
      </c>
    </row>
    <row r="4" s="1" customFormat="1" spans="1:28">
      <c r="A4" s="1" t="s">
        <v>1661</v>
      </c>
      <c r="B4" s="1" t="s">
        <v>591</v>
      </c>
      <c r="C4" s="1" t="s">
        <v>1662</v>
      </c>
      <c r="D4" s="1" t="s">
        <v>1663</v>
      </c>
      <c r="E4" s="1" t="s">
        <v>1664</v>
      </c>
      <c r="F4" s="1" t="s">
        <v>1665</v>
      </c>
      <c r="G4" s="1" t="s">
        <v>1666</v>
      </c>
      <c r="H4" s="1" t="s">
        <v>1667</v>
      </c>
      <c r="I4" s="1" t="s">
        <v>1668</v>
      </c>
      <c r="J4" s="1" t="s">
        <v>1669</v>
      </c>
      <c r="K4" s="1" t="s">
        <v>1670</v>
      </c>
      <c r="L4" s="1" t="s">
        <v>1671</v>
      </c>
      <c r="M4" s="1" t="s">
        <v>1672</v>
      </c>
      <c r="N4" s="1" t="s">
        <v>1673</v>
      </c>
      <c r="O4" s="1" t="s">
        <v>1674</v>
      </c>
      <c r="P4" s="1" t="s">
        <v>1675</v>
      </c>
      <c r="Q4" s="1" t="s">
        <v>1676</v>
      </c>
      <c r="R4" s="1" t="s">
        <v>1677</v>
      </c>
      <c r="S4" s="1" t="s">
        <v>1678</v>
      </c>
      <c r="T4" s="1" t="s">
        <v>1679</v>
      </c>
      <c r="U4" s="1" t="s">
        <v>1680</v>
      </c>
      <c r="V4" s="1" t="s">
        <v>1681</v>
      </c>
      <c r="W4" s="1" t="s">
        <v>1682</v>
      </c>
      <c r="X4" s="1" t="s">
        <v>1683</v>
      </c>
      <c r="Y4" s="1" t="s">
        <v>1684</v>
      </c>
      <c r="Z4" s="1" t="s">
        <v>1685</v>
      </c>
      <c r="AA4" s="1" t="s">
        <v>1686</v>
      </c>
      <c r="AB4" s="1" t="s">
        <v>1687</v>
      </c>
    </row>
    <row r="5" customFormat="1" spans="1:28">
      <c r="A5" s="6" t="str">
        <f>FashionData!A9</f>
        <v>#</v>
      </c>
      <c r="B5" s="6" t="str">
        <f>FashionData!B9</f>
        <v>S+：小狗蛇-吉祥如亿</v>
      </c>
      <c r="C5">
        <v>0</v>
      </c>
      <c r="D5">
        <v>0</v>
      </c>
      <c r="E5">
        <v>-1</v>
      </c>
      <c r="F5">
        <v>-1</v>
      </c>
      <c r="G5">
        <v>-1</v>
      </c>
      <c r="H5">
        <v>10</v>
      </c>
      <c r="I5">
        <v>-1</v>
      </c>
      <c r="J5">
        <v>-1</v>
      </c>
      <c r="K5">
        <v>-1</v>
      </c>
      <c r="L5">
        <v>-1</v>
      </c>
      <c r="M5">
        <v>10</v>
      </c>
      <c r="N5">
        <v>-1</v>
      </c>
      <c r="O5">
        <v>-1</v>
      </c>
      <c r="P5">
        <v>-1</v>
      </c>
      <c r="Q5">
        <v>-1</v>
      </c>
      <c r="R5">
        <v>10</v>
      </c>
      <c r="S5">
        <v>-1</v>
      </c>
      <c r="T5">
        <v>-1</v>
      </c>
      <c r="U5">
        <v>-1</v>
      </c>
      <c r="V5">
        <v>-1</v>
      </c>
      <c r="W5">
        <v>10</v>
      </c>
      <c r="X5">
        <v>-1</v>
      </c>
      <c r="Y5">
        <v>-1</v>
      </c>
      <c r="Z5">
        <v>-1</v>
      </c>
      <c r="AA5">
        <v>-1</v>
      </c>
      <c r="AB5">
        <v>10</v>
      </c>
    </row>
    <row r="6" spans="1:28">
      <c r="A6" s="6" t="str">
        <f>FashionData!A10</f>
        <v>#</v>
      </c>
      <c r="B6" s="6" t="str">
        <f>FashionData!B10</f>
        <v>S：小飞猪</v>
      </c>
      <c r="C6" s="5">
        <v>0</v>
      </c>
      <c r="D6" s="5">
        <v>0</v>
      </c>
      <c r="E6" s="5">
        <v>-1</v>
      </c>
      <c r="F6" s="5">
        <v>-1</v>
      </c>
      <c r="G6" s="5">
        <v>-1</v>
      </c>
      <c r="H6" s="5">
        <v>10</v>
      </c>
      <c r="I6" s="5">
        <v>-1</v>
      </c>
      <c r="J6" s="5">
        <v>-1</v>
      </c>
      <c r="K6" s="5">
        <v>-1</v>
      </c>
      <c r="L6" s="5">
        <v>-1</v>
      </c>
      <c r="M6" s="5">
        <v>10</v>
      </c>
      <c r="N6" s="5">
        <v>-1</v>
      </c>
      <c r="O6" s="5">
        <v>-1</v>
      </c>
      <c r="P6" s="5">
        <v>-1</v>
      </c>
      <c r="Q6" s="5">
        <v>-1</v>
      </c>
      <c r="R6" s="5">
        <v>10</v>
      </c>
      <c r="S6" s="5">
        <v>-1</v>
      </c>
      <c r="T6" s="5">
        <v>-1</v>
      </c>
      <c r="U6" s="5">
        <v>-1</v>
      </c>
      <c r="V6" s="5">
        <v>-1</v>
      </c>
      <c r="W6" s="5">
        <v>10</v>
      </c>
      <c r="X6" s="5">
        <v>-1</v>
      </c>
      <c r="Y6" s="5">
        <v>-1</v>
      </c>
      <c r="Z6" s="5">
        <v>-1</v>
      </c>
      <c r="AA6" s="5">
        <v>-1</v>
      </c>
      <c r="AB6" s="5">
        <v>10</v>
      </c>
    </row>
    <row r="7" customFormat="1" spans="1:28">
      <c r="A7" s="6" t="str">
        <f>FashionData!A11</f>
        <v>#</v>
      </c>
      <c r="B7" s="6" t="str">
        <f>FashionData!B11</f>
        <v>S：妖族-仙玉台</v>
      </c>
      <c r="C7">
        <v>0</v>
      </c>
      <c r="D7" s="5">
        <v>0</v>
      </c>
      <c r="E7">
        <v>-1</v>
      </c>
      <c r="F7">
        <v>-1</v>
      </c>
      <c r="G7">
        <v>-1</v>
      </c>
      <c r="H7">
        <v>10</v>
      </c>
      <c r="I7">
        <v>-1</v>
      </c>
      <c r="J7">
        <v>-1</v>
      </c>
      <c r="K7">
        <v>-1</v>
      </c>
      <c r="L7">
        <v>-1</v>
      </c>
      <c r="M7">
        <v>10</v>
      </c>
      <c r="N7">
        <v>-1</v>
      </c>
      <c r="O7">
        <v>-1</v>
      </c>
      <c r="P7">
        <v>-1</v>
      </c>
      <c r="Q7">
        <v>-1</v>
      </c>
      <c r="R7">
        <v>10</v>
      </c>
      <c r="S7">
        <v>-1</v>
      </c>
      <c r="T7">
        <v>-1</v>
      </c>
      <c r="U7">
        <v>-1</v>
      </c>
      <c r="V7">
        <v>-1</v>
      </c>
      <c r="W7">
        <v>10</v>
      </c>
      <c r="X7">
        <v>-1</v>
      </c>
      <c r="Y7">
        <v>-1</v>
      </c>
      <c r="Z7">
        <v>-1</v>
      </c>
      <c r="AA7">
        <v>-1</v>
      </c>
      <c r="AB7">
        <v>10</v>
      </c>
    </row>
    <row r="8" customFormat="1" spans="1:28">
      <c r="A8" s="6" t="str">
        <f>FashionData!A12</f>
        <v>#</v>
      </c>
      <c r="B8" s="6" t="str">
        <f>FashionData!B12</f>
        <v>S：羽族-仙合翼</v>
      </c>
      <c r="C8">
        <v>0</v>
      </c>
      <c r="D8" s="5">
        <v>0</v>
      </c>
      <c r="E8">
        <v>-1</v>
      </c>
      <c r="F8">
        <v>-1</v>
      </c>
      <c r="G8">
        <v>-1</v>
      </c>
      <c r="H8">
        <v>10</v>
      </c>
      <c r="I8">
        <v>-1</v>
      </c>
      <c r="J8">
        <v>-1</v>
      </c>
      <c r="K8">
        <v>-1</v>
      </c>
      <c r="L8">
        <v>-1</v>
      </c>
      <c r="M8">
        <v>10</v>
      </c>
      <c r="N8">
        <v>-1</v>
      </c>
      <c r="O8">
        <v>-1</v>
      </c>
      <c r="P8">
        <v>-1</v>
      </c>
      <c r="Q8">
        <v>-1</v>
      </c>
      <c r="R8">
        <v>10</v>
      </c>
      <c r="S8">
        <v>-1</v>
      </c>
      <c r="T8">
        <v>-1</v>
      </c>
      <c r="U8">
        <v>-1</v>
      </c>
      <c r="V8">
        <v>-1</v>
      </c>
      <c r="W8">
        <v>10</v>
      </c>
      <c r="X8">
        <v>-1</v>
      </c>
      <c r="Y8">
        <v>-1</v>
      </c>
      <c r="Z8">
        <v>-1</v>
      </c>
      <c r="AA8">
        <v>-1</v>
      </c>
      <c r="AB8">
        <v>10</v>
      </c>
    </row>
    <row r="9" customFormat="1" spans="1:28">
      <c r="A9" s="6" t="str">
        <f>FashionData!A13</f>
        <v>#</v>
      </c>
      <c r="B9" s="6" t="str">
        <f>FashionData!B13</f>
        <v>S：人族-白玉仙</v>
      </c>
      <c r="C9">
        <v>0</v>
      </c>
      <c r="D9" s="5">
        <v>0</v>
      </c>
      <c r="E9">
        <v>-1</v>
      </c>
      <c r="F9">
        <v>-1</v>
      </c>
      <c r="G9">
        <v>-1</v>
      </c>
      <c r="H9">
        <v>10</v>
      </c>
      <c r="I9">
        <v>-1</v>
      </c>
      <c r="J9">
        <v>-1</v>
      </c>
      <c r="K9">
        <v>-1</v>
      </c>
      <c r="L9">
        <v>-1</v>
      </c>
      <c r="M9">
        <v>10</v>
      </c>
      <c r="N9">
        <v>-1</v>
      </c>
      <c r="O9">
        <v>-1</v>
      </c>
      <c r="P9">
        <v>-1</v>
      </c>
      <c r="Q9">
        <v>-1</v>
      </c>
      <c r="R9">
        <v>10</v>
      </c>
      <c r="S9">
        <v>-1</v>
      </c>
      <c r="T9">
        <v>-1</v>
      </c>
      <c r="U9">
        <v>-1</v>
      </c>
      <c r="V9">
        <v>-1</v>
      </c>
      <c r="W9">
        <v>10</v>
      </c>
      <c r="X9">
        <v>-1</v>
      </c>
      <c r="Y9">
        <v>-1</v>
      </c>
      <c r="Z9">
        <v>-1</v>
      </c>
      <c r="AA9">
        <v>-1</v>
      </c>
      <c r="AB9">
        <v>10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"/>
  <sheetViews>
    <sheetView workbookViewId="0">
      <selection activeCell="A23" sqref="$A23:$XFD23"/>
    </sheetView>
  </sheetViews>
  <sheetFormatPr defaultColWidth="9" defaultRowHeight="14.25" outlineLevelCol="5"/>
  <cols>
    <col min="1" max="1" width="9" customWidth="1"/>
    <col min="2" max="2" width="26.375" customWidth="1"/>
  </cols>
  <sheetData>
    <row r="1" s="1" customFormat="1" spans="1:6">
      <c r="A1" s="1" t="s">
        <v>312</v>
      </c>
      <c r="B1" s="1" t="s">
        <v>313</v>
      </c>
      <c r="C1" s="1" t="s">
        <v>1688</v>
      </c>
      <c r="D1" s="1" t="s">
        <v>1689</v>
      </c>
      <c r="E1" s="1" t="s">
        <v>1690</v>
      </c>
      <c r="F1" s="1" t="s">
        <v>1691</v>
      </c>
    </row>
    <row r="2" s="1" customFormat="1" spans="1:6">
      <c r="A2" s="1" t="s">
        <v>315</v>
      </c>
      <c r="B2" s="1" t="s">
        <v>316</v>
      </c>
      <c r="C2" s="1" t="s">
        <v>316</v>
      </c>
      <c r="D2" s="1" t="s">
        <v>316</v>
      </c>
      <c r="E2" s="1" t="s">
        <v>316</v>
      </c>
      <c r="F2" s="1" t="s">
        <v>316</v>
      </c>
    </row>
    <row r="3" s="1" customFormat="1" spans="1:1">
      <c r="A3" s="1" t="s">
        <v>1692</v>
      </c>
    </row>
    <row r="4" s="1" customFormat="1" spans="1:6">
      <c r="A4" s="1" t="s">
        <v>1693</v>
      </c>
      <c r="B4" s="1" t="s">
        <v>16</v>
      </c>
      <c r="C4" s="1" t="s">
        <v>1694</v>
      </c>
      <c r="D4" s="1" t="s">
        <v>1695</v>
      </c>
      <c r="E4" s="1" t="s">
        <v>1696</v>
      </c>
      <c r="F4" s="1" t="s">
        <v>1697</v>
      </c>
    </row>
    <row r="5" spans="1:6">
      <c r="A5" s="3" t="str">
        <f>FashionData!A5</f>
        <v>#</v>
      </c>
      <c r="B5" s="3" t="str">
        <f>FashionData!B5</f>
        <v>A：蜜语轻舞·头（男）</v>
      </c>
      <c r="C5" s="3" t="str">
        <f t="array" ref="C5:F5">TRANSPOSE(配置总览!K7:K10)</f>
        <v>[FFEC72]</v>
      </c>
      <c r="D5" s="3">
        <v>-1</v>
      </c>
      <c r="E5" s="3">
        <v>-1</v>
      </c>
      <c r="F5" s="3">
        <v>-1</v>
      </c>
    </row>
    <row r="6" spans="1:6">
      <c r="A6" s="3" t="str">
        <f>FashionData!A6</f>
        <v>#</v>
      </c>
      <c r="B6" s="3" t="str">
        <f>FashionData!B6</f>
        <v>A：蜜语轻舞·头（女）</v>
      </c>
      <c r="C6" s="3" t="str">
        <f t="array" ref="C6:F6">TRANSPOSE(配置总览!K11:K14)</f>
        <v>[FFEC72]</v>
      </c>
      <c r="D6" s="3">
        <v>-1</v>
      </c>
      <c r="E6" s="3">
        <v>-1</v>
      </c>
      <c r="F6" s="3">
        <v>-1</v>
      </c>
    </row>
    <row r="7" spans="1:6">
      <c r="A7" s="3" t="str">
        <f>FashionData!A7</f>
        <v>#</v>
      </c>
      <c r="B7" s="3" t="str">
        <f>FashionData!B7</f>
        <v>A：蜜语轻舞（男）</v>
      </c>
      <c r="C7" s="3" t="str">
        <f t="array" ref="C7:F7">TRANSPOSE(配置总览!K21:K24)</f>
        <v>[FFEC72]</v>
      </c>
      <c r="D7" s="3" t="str">
        <v>[745F43]</v>
      </c>
      <c r="E7" s="3" t="str">
        <v>[FFEC72]</v>
      </c>
      <c r="F7" s="3" t="str">
        <v>[FFFFFF]</v>
      </c>
    </row>
    <row r="8" spans="1:6">
      <c r="A8" s="3" t="str">
        <f>FashionData!A8</f>
        <v>#</v>
      </c>
      <c r="B8" s="3" t="str">
        <f>FashionData!B8</f>
        <v>A：蜜语轻舞（女）</v>
      </c>
      <c r="C8" s="3" t="str">
        <f t="array" ref="C8:F8">TRANSPOSE(配置总览!K25:K28)</f>
        <v>[FFEC72]</v>
      </c>
      <c r="D8" s="3" t="str">
        <v>[745F43]</v>
      </c>
      <c r="E8" s="3" t="str">
        <v>[FFEC72]</v>
      </c>
      <c r="F8" s="3" t="str">
        <v>[FFFFFF]</v>
      </c>
    </row>
    <row r="9" spans="1:6">
      <c r="A9" s="3" t="str">
        <f>FashionData!A14</f>
        <v>#</v>
      </c>
      <c r="B9" s="3" t="str">
        <f>FashionData!B14</f>
        <v>A：野趣风尚</v>
      </c>
      <c r="C9" s="4">
        <v>-1</v>
      </c>
      <c r="D9" s="4">
        <v>-1</v>
      </c>
      <c r="E9" s="4">
        <v>-1</v>
      </c>
      <c r="F9" s="4">
        <v>-1</v>
      </c>
    </row>
    <row r="10" s="2" customFormat="1" spans="1:6">
      <c r="A10" s="3" t="str">
        <f>FashionData!A15</f>
        <v>#</v>
      </c>
      <c r="B10" s="3" t="str">
        <f>FashionData!B15</f>
        <v>B：星扇·宿</v>
      </c>
      <c r="C10" s="2">
        <v>-1</v>
      </c>
      <c r="D10" s="2">
        <v>-1</v>
      </c>
      <c r="E10" s="2">
        <v>-1</v>
      </c>
      <c r="F10" s="2">
        <v>-1</v>
      </c>
    </row>
    <row r="11" s="2" customFormat="1" spans="1:6">
      <c r="A11" s="3" t="str">
        <f>FashionData!A16</f>
        <v>#</v>
      </c>
      <c r="B11" s="3" t="str">
        <f>FashionData!B16</f>
        <v>A：星扇·星象</v>
      </c>
      <c r="C11" s="2">
        <v>-1</v>
      </c>
      <c r="D11" s="2">
        <v>-1</v>
      </c>
      <c r="E11" s="2">
        <v>-1</v>
      </c>
      <c r="F11" s="2">
        <v>-1</v>
      </c>
    </row>
    <row r="12" s="2" customFormat="1" spans="1:6">
      <c r="A12" s="3" t="str">
        <f>FashionData!A17</f>
        <v>#</v>
      </c>
      <c r="B12" s="3" t="str">
        <f>FashionData!B17</f>
        <v>S：星扇·天垣</v>
      </c>
      <c r="C12" s="2">
        <v>-1</v>
      </c>
      <c r="D12" s="2">
        <v>-1</v>
      </c>
      <c r="E12" s="2">
        <v>-1</v>
      </c>
      <c r="F12" s="2">
        <v>-1</v>
      </c>
    </row>
    <row r="13" s="2" customFormat="1" spans="1:6">
      <c r="A13" s="3" t="str">
        <f>FashionData!A18</f>
        <v>#</v>
      </c>
      <c r="B13" s="3" t="str">
        <f>FashionData!B18</f>
        <v>S+：星扇·天星引</v>
      </c>
      <c r="C13" s="2">
        <v>-1</v>
      </c>
      <c r="D13" s="2">
        <v>-1</v>
      </c>
      <c r="E13" s="2">
        <v>-1</v>
      </c>
      <c r="F13" s="2">
        <v>-1</v>
      </c>
    </row>
    <row r="14" spans="1:6">
      <c r="A14" s="3" t="str">
        <f>FashionData!A19</f>
        <v>#</v>
      </c>
      <c r="B14" s="3" t="str">
        <f>FashionData!B19</f>
        <v>S+：妖兽-无相·花颂锤</v>
      </c>
      <c r="C14" s="4">
        <v>-1</v>
      </c>
      <c r="D14" s="4">
        <v>-1</v>
      </c>
      <c r="E14" s="4">
        <v>-1</v>
      </c>
      <c r="F14" s="4">
        <v>-1</v>
      </c>
    </row>
    <row r="15" spans="1:6">
      <c r="A15" s="3" t="str">
        <f>FashionData!A20</f>
        <v>#</v>
      </c>
      <c r="B15" s="3" t="str">
        <f>FashionData!B20</f>
        <v>S+：羽芒-无相·花颂弓</v>
      </c>
      <c r="C15" s="4">
        <v>-1</v>
      </c>
      <c r="D15" s="4">
        <v>-1</v>
      </c>
      <c r="E15" s="4">
        <v>-1</v>
      </c>
      <c r="F15" s="4">
        <v>-1</v>
      </c>
    </row>
    <row r="16" spans="1:6">
      <c r="A16" s="3" t="str">
        <f>FashionData!A21</f>
        <v>#</v>
      </c>
      <c r="B16" s="3" t="str">
        <f>FashionData!B21</f>
        <v>S+：法师-无相·花颂剑</v>
      </c>
      <c r="C16" s="4">
        <v>-1</v>
      </c>
      <c r="D16" s="4">
        <v>-1</v>
      </c>
      <c r="E16" s="4">
        <v>-1</v>
      </c>
      <c r="F16" s="4">
        <v>-1</v>
      </c>
    </row>
    <row r="17" spans="1:6">
      <c r="A17" s="3" t="str">
        <f>FashionData!A22</f>
        <v>#</v>
      </c>
      <c r="B17" s="3" t="str">
        <f>FashionData!B22</f>
        <v>S+：羽灵-无相·花颂环</v>
      </c>
      <c r="C17" s="4">
        <v>-1</v>
      </c>
      <c r="D17" s="4">
        <v>-1</v>
      </c>
      <c r="E17" s="4">
        <v>-1</v>
      </c>
      <c r="F17" s="4">
        <v>-1</v>
      </c>
    </row>
    <row r="18" spans="1:6">
      <c r="A18" s="3" t="str">
        <f>FashionData!A23</f>
        <v>#</v>
      </c>
      <c r="B18" s="3" t="str">
        <f>FashionData!B23</f>
        <v>S+：妖精-无相·花颂杖</v>
      </c>
      <c r="C18" s="4">
        <v>-1</v>
      </c>
      <c r="D18" s="4">
        <v>-1</v>
      </c>
      <c r="E18" s="4">
        <v>-1</v>
      </c>
      <c r="F18" s="4">
        <v>-1</v>
      </c>
    </row>
    <row r="19" spans="1:6">
      <c r="A19" s="3" t="str">
        <f>FashionData!A24</f>
        <v>#</v>
      </c>
      <c r="B19" s="3" t="str">
        <f>FashionData!B24</f>
        <v>S+：武侠-无相·花颂兵</v>
      </c>
      <c r="C19" s="4">
        <v>-1</v>
      </c>
      <c r="D19" s="4">
        <v>-1</v>
      </c>
      <c r="E19" s="4">
        <v>-1</v>
      </c>
      <c r="F19" s="4">
        <v>-1</v>
      </c>
    </row>
    <row r="20" spans="1:6">
      <c r="A20" s="3" t="str">
        <f>FashionData!A25</f>
        <v>#</v>
      </c>
      <c r="B20" s="3" t="str">
        <f>FashionData!B25</f>
        <v>S+：妖刃-无相·花颂刃</v>
      </c>
      <c r="C20" s="4">
        <v>-1</v>
      </c>
      <c r="D20" s="4">
        <v>-1</v>
      </c>
      <c r="E20" s="4">
        <v>-1</v>
      </c>
      <c r="F20" s="4">
        <v>-1</v>
      </c>
    </row>
    <row r="21" spans="1:6">
      <c r="A21" s="3" t="str">
        <f>FashionData!A26</f>
        <v>#</v>
      </c>
      <c r="B21" s="3" t="str">
        <f>FashionData!B26</f>
        <v>S+：羽岚-无相·花颂书</v>
      </c>
      <c r="C21" s="4">
        <v>-1</v>
      </c>
      <c r="D21" s="4">
        <v>-1</v>
      </c>
      <c r="E21" s="4">
        <v>-1</v>
      </c>
      <c r="F21" s="4">
        <v>-1</v>
      </c>
    </row>
    <row r="22" spans="1:6">
      <c r="A22" s="3" t="str">
        <f>FashionData!A27</f>
        <v>#</v>
      </c>
      <c r="B22" s="3" t="str">
        <f>FashionData!B27</f>
        <v>S+：刀刹-无相·花颂刀</v>
      </c>
      <c r="C22" s="4">
        <v>-1</v>
      </c>
      <c r="D22" s="4">
        <v>-1</v>
      </c>
      <c r="E22" s="4">
        <v>-1</v>
      </c>
      <c r="F22" s="4">
        <v>-1</v>
      </c>
    </row>
    <row r="23" spans="1:6">
      <c r="A23" s="3" t="str">
        <f>FashionData!A28</f>
        <v>#</v>
      </c>
      <c r="B23" s="3" t="str">
        <f>FashionData!B28</f>
        <v>S+：月仙-无相·花颂镰</v>
      </c>
      <c r="C23" s="4">
        <v>-1</v>
      </c>
      <c r="D23" s="4">
        <v>-1</v>
      </c>
      <c r="E23" s="4">
        <v>-1</v>
      </c>
      <c r="F23" s="4">
        <v>-1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配置总览</vt:lpstr>
      <vt:lpstr>信息辅助</vt:lpstr>
      <vt:lpstr>StrDictionary</vt:lpstr>
      <vt:lpstr>CommonItem</vt:lpstr>
      <vt:lpstr>CommonItemTips</vt:lpstr>
      <vt:lpstr>UsableItem</vt:lpstr>
      <vt:lpstr>YuanBaoShop</vt:lpstr>
      <vt:lpstr>FashionBase</vt:lpstr>
      <vt:lpstr>FashionData</vt:lpstr>
      <vt:lpstr>FashionDisplay</vt:lpstr>
      <vt:lpstr>MountBase</vt:lpstr>
      <vt:lpstr>CharMount</vt:lpstr>
      <vt:lpstr>AircraftBase</vt:lpstr>
      <vt:lpstr>CharAircraft</vt:lpstr>
      <vt:lpstr>ItemVisual</vt:lpstr>
      <vt:lpstr>AvatarModel</vt:lpstr>
      <vt:lpstr>FakeObject</vt:lpstr>
      <vt:lpstr>CharModel</vt:lpstr>
      <vt:lpstr>UnlockEmotion</vt:lpstr>
      <vt:lpstr>CharInteractSingle</vt:lpstr>
      <vt:lpstr>CharInteract</vt:lpstr>
      <vt:lpstr>Animation</vt:lpstr>
      <vt:lpstr>AnimationEx</vt:lpstr>
      <vt:lpstr>Effect</vt:lpstr>
      <vt:lpstr>FashionColor</vt:lpstr>
      <vt:lpstr>FashionColorTexture</vt:lpstr>
      <vt:lpstr>FashionColorDefault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Wu</dc:creator>
  <cp:lastModifiedBy>Administrator</cp:lastModifiedBy>
  <dcterms:created xsi:type="dcterms:W3CDTF">2023-09-14T05:10:00Z</dcterms:created>
  <dcterms:modified xsi:type="dcterms:W3CDTF">2025-03-12T10:59:04Z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635EF55D88E5432CB88B6F1C3C9CE4A1_12</vt:lpwstr>
  </property>
  <property fmtid="{D5CDD505-2E9C-101B-9397-08002B2CF9AE}" pid="3" name="KSOProductBuildVer">
    <vt:lpwstr>2052-11.8.2.12085</vt:lpwstr>
  </property>
</Properties>
</file>