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eotech/Dropbox/"/>
    </mc:Choice>
  </mc:AlternateContent>
  <xr:revisionPtr revIDLastSave="0" documentId="8_{EC8C6A2A-892E-B14A-832D-46F31B87991A}" xr6:coauthVersionLast="45" xr6:coauthVersionMax="45" xr10:uidLastSave="{00000000-0000-0000-0000-000000000000}"/>
  <bookViews>
    <workbookView xWindow="0" yWindow="460" windowWidth="32800" windowHeight="18180" xr2:uid="{22AB3E93-2C6F-4B12-889A-575CB8A8853D}"/>
  </bookViews>
  <sheets>
    <sheet name="CALCULATION" sheetId="1" r:id="rId1"/>
    <sheet name="ĐiệnNăng_Input" sheetId="2" r:id="rId2"/>
    <sheet name="VayMB" sheetId="5" r:id="rId3"/>
    <sheet name="PARAMETER" sheetId="4" r:id="rId4"/>
  </sheets>
  <definedNames>
    <definedName name="fit_price">PARAMETER!$A$2:$C$4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0" i="1" l="1"/>
  <c r="L303" i="1"/>
  <c r="L291" i="1"/>
  <c r="L279" i="1"/>
  <c r="L267" i="1"/>
  <c r="L255" i="1"/>
  <c r="L243" i="1"/>
  <c r="L231" i="1"/>
  <c r="L219" i="1"/>
  <c r="L207" i="1"/>
  <c r="L195" i="1"/>
  <c r="L183" i="1"/>
  <c r="L171" i="1"/>
  <c r="L159" i="1"/>
  <c r="L147" i="1"/>
  <c r="L135" i="1"/>
  <c r="L123" i="1"/>
  <c r="L111" i="1"/>
  <c r="L99" i="1"/>
  <c r="L87" i="1"/>
  <c r="L75" i="1"/>
  <c r="L63" i="1"/>
  <c r="L51" i="1"/>
  <c r="L39" i="1"/>
  <c r="L27" i="1"/>
  <c r="L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15" i="1"/>
  <c r="E13" i="2"/>
  <c r="E2" i="2"/>
  <c r="E3" i="2"/>
  <c r="E4" i="2"/>
  <c r="E5" i="2"/>
  <c r="E6" i="2"/>
  <c r="E7" i="2"/>
  <c r="E8" i="2"/>
  <c r="E9" i="2"/>
  <c r="E10" i="2"/>
  <c r="E11" i="2"/>
  <c r="E12" i="2"/>
  <c r="E1" i="2"/>
  <c r="E6" i="1" l="1"/>
  <c r="E7" i="1" s="1"/>
  <c r="B2" i="2"/>
  <c r="B3" i="2"/>
  <c r="B4" i="2"/>
  <c r="B5" i="2"/>
  <c r="B6" i="2"/>
  <c r="B7" i="2"/>
  <c r="B8" i="2"/>
  <c r="B9" i="2"/>
  <c r="B10" i="2"/>
  <c r="B11" i="2"/>
  <c r="B12" i="2"/>
  <c r="B1" i="2"/>
  <c r="E15" i="1" s="1"/>
  <c r="F15" i="1" l="1"/>
  <c r="D8" i="5"/>
  <c r="D7" i="5"/>
  <c r="C17" i="5" s="1"/>
  <c r="H17" i="5"/>
  <c r="B16" i="5"/>
  <c r="G4" i="1"/>
  <c r="H4" i="1" s="1"/>
  <c r="D5" i="5" s="1"/>
  <c r="H3" i="1"/>
  <c r="B17" i="5" l="1"/>
  <c r="B18" i="5" s="1"/>
  <c r="F5" i="5"/>
  <c r="D16" i="5"/>
  <c r="E18" i="5" s="1"/>
  <c r="C18" i="5"/>
  <c r="C19" i="5" l="1"/>
  <c r="B19" i="5"/>
  <c r="E19" i="5"/>
  <c r="C20" i="5" l="1"/>
  <c r="B20" i="5"/>
  <c r="E20" i="5"/>
  <c r="C21" i="5" l="1"/>
  <c r="B21" i="5"/>
  <c r="E21" i="5"/>
  <c r="C22" i="5" l="1"/>
  <c r="B22" i="5"/>
  <c r="E22" i="5"/>
  <c r="C23" i="5" l="1"/>
  <c r="B23" i="5"/>
  <c r="E23" i="5"/>
  <c r="E24" i="5" l="1"/>
  <c r="B24" i="5"/>
  <c r="C24" i="5"/>
  <c r="C25" i="5" l="1"/>
  <c r="B25" i="5"/>
  <c r="E25" i="5"/>
  <c r="E26" i="5" l="1"/>
  <c r="C26" i="5"/>
  <c r="B26" i="5"/>
  <c r="C27" i="5" l="1"/>
  <c r="B27" i="5"/>
  <c r="E27" i="5"/>
  <c r="E28" i="5" l="1"/>
  <c r="C28" i="5"/>
  <c r="B28" i="5"/>
  <c r="C29" i="5" l="1"/>
  <c r="B29" i="5"/>
  <c r="E29" i="5"/>
  <c r="E30" i="5" l="1"/>
  <c r="B30" i="5"/>
  <c r="C30" i="5"/>
  <c r="C31" i="5" l="1"/>
  <c r="B31" i="5"/>
  <c r="E31" i="5"/>
  <c r="E32" i="5" l="1"/>
  <c r="B32" i="5"/>
  <c r="C32" i="5"/>
  <c r="C33" i="5" l="1"/>
  <c r="B33" i="5"/>
  <c r="E33" i="5"/>
  <c r="E34" i="5" l="1"/>
  <c r="C34" i="5"/>
  <c r="B34" i="5"/>
  <c r="C35" i="5" l="1"/>
  <c r="B35" i="5"/>
  <c r="E35" i="5"/>
  <c r="B16" i="1"/>
  <c r="E16" i="1" s="1"/>
  <c r="F16" i="1" s="1"/>
  <c r="B17" i="1" l="1"/>
  <c r="E17" i="1" s="1"/>
  <c r="F17" i="1" s="1"/>
  <c r="E36" i="5"/>
  <c r="C36" i="5"/>
  <c r="B36" i="5"/>
  <c r="B18" i="1" l="1"/>
  <c r="E18" i="1" s="1"/>
  <c r="F18" i="1" s="1"/>
  <c r="C37" i="5"/>
  <c r="B37" i="5"/>
  <c r="E37" i="5"/>
  <c r="B19" i="1" l="1"/>
  <c r="E19" i="1" s="1"/>
  <c r="F19" i="1" s="1"/>
  <c r="E38" i="5"/>
  <c r="C38" i="5"/>
  <c r="B38" i="5"/>
  <c r="B20" i="1" l="1"/>
  <c r="E20" i="1" s="1"/>
  <c r="F20" i="1" s="1"/>
  <c r="E39" i="5"/>
  <c r="C39" i="5"/>
  <c r="B39" i="5"/>
  <c r="B21" i="1" l="1"/>
  <c r="E21" i="1" s="1"/>
  <c r="F21" i="1" s="1"/>
  <c r="B40" i="5"/>
  <c r="E40" i="5"/>
  <c r="C40" i="5"/>
  <c r="B22" i="1" l="1"/>
  <c r="E22" i="1" s="1"/>
  <c r="F22" i="1" s="1"/>
  <c r="C41" i="5"/>
  <c r="B41" i="5"/>
  <c r="E41" i="5"/>
  <c r="B23" i="1" l="1"/>
  <c r="E23" i="1" s="1"/>
  <c r="F23" i="1" s="1"/>
  <c r="C42" i="5"/>
  <c r="E42" i="5"/>
  <c r="B42" i="5"/>
  <c r="B24" i="1" l="1"/>
  <c r="E24" i="1" s="1"/>
  <c r="F24" i="1" s="1"/>
  <c r="E43" i="5"/>
  <c r="C43" i="5"/>
  <c r="B43" i="5"/>
  <c r="B25" i="1" l="1"/>
  <c r="E25" i="1" s="1"/>
  <c r="F25" i="1" s="1"/>
  <c r="B44" i="5"/>
  <c r="E44" i="5"/>
  <c r="C44" i="5"/>
  <c r="B26" i="1" l="1"/>
  <c r="E26" i="1" s="1"/>
  <c r="F26" i="1" s="1"/>
  <c r="C45" i="5"/>
  <c r="B45" i="5"/>
  <c r="E45" i="5"/>
  <c r="B27" i="1" l="1"/>
  <c r="E27" i="1" s="1"/>
  <c r="F27" i="1" s="1"/>
  <c r="C46" i="5"/>
  <c r="B46" i="5"/>
  <c r="E46" i="5"/>
  <c r="B28" i="1" l="1"/>
  <c r="E28" i="1" s="1"/>
  <c r="F28" i="1" s="1"/>
  <c r="E47" i="5"/>
  <c r="C47" i="5"/>
  <c r="B47" i="5"/>
  <c r="B29" i="1" l="1"/>
  <c r="E29" i="1" s="1"/>
  <c r="F29" i="1" s="1"/>
  <c r="B48" i="5"/>
  <c r="E48" i="5"/>
  <c r="C48" i="5"/>
  <c r="B30" i="1" l="1"/>
  <c r="E30" i="1" s="1"/>
  <c r="F30" i="1" s="1"/>
  <c r="C49" i="5"/>
  <c r="B49" i="5"/>
  <c r="E49" i="5"/>
  <c r="B31" i="1" l="1"/>
  <c r="E31" i="1" s="1"/>
  <c r="F31" i="1" s="1"/>
  <c r="C50" i="5"/>
  <c r="B50" i="5"/>
  <c r="E50" i="5"/>
  <c r="B32" i="1" l="1"/>
  <c r="E32" i="1" s="1"/>
  <c r="F32" i="1" s="1"/>
  <c r="E51" i="5"/>
  <c r="C51" i="5"/>
  <c r="B51" i="5"/>
  <c r="B33" i="1" l="1"/>
  <c r="E33" i="1" s="1"/>
  <c r="F33" i="1" s="1"/>
  <c r="B52" i="5"/>
  <c r="E52" i="5"/>
  <c r="C52" i="5"/>
  <c r="B34" i="1" l="1"/>
  <c r="E34" i="1" s="1"/>
  <c r="F34" i="1" s="1"/>
  <c r="C53" i="5"/>
  <c r="B53" i="5"/>
  <c r="E53" i="5"/>
  <c r="B35" i="1" l="1"/>
  <c r="E35" i="1" s="1"/>
  <c r="F35" i="1" s="1"/>
  <c r="C54" i="5"/>
  <c r="B54" i="5"/>
  <c r="E54" i="5"/>
  <c r="B36" i="1" l="1"/>
  <c r="E36" i="1" s="1"/>
  <c r="F36" i="1" s="1"/>
  <c r="E55" i="5"/>
  <c r="C55" i="5"/>
  <c r="B55" i="5"/>
  <c r="B37" i="1" l="1"/>
  <c r="E37" i="1" s="1"/>
  <c r="F37" i="1" s="1"/>
  <c r="B56" i="5"/>
  <c r="E56" i="5"/>
  <c r="C56" i="5"/>
  <c r="B38" i="1" l="1"/>
  <c r="E38" i="1" s="1"/>
  <c r="F38" i="1" s="1"/>
  <c r="C57" i="5"/>
  <c r="B57" i="5"/>
  <c r="E57" i="5"/>
  <c r="B39" i="1" l="1"/>
  <c r="E39" i="1" s="1"/>
  <c r="F39" i="1" s="1"/>
  <c r="C58" i="5"/>
  <c r="B58" i="5"/>
  <c r="E58" i="5"/>
  <c r="B40" i="1" l="1"/>
  <c r="E40" i="1" s="1"/>
  <c r="F40" i="1" s="1"/>
  <c r="E59" i="5"/>
  <c r="C59" i="5"/>
  <c r="B59" i="5"/>
  <c r="B41" i="1" l="1"/>
  <c r="E41" i="1" s="1"/>
  <c r="F41" i="1" s="1"/>
  <c r="B60" i="5"/>
  <c r="E60" i="5"/>
  <c r="C60" i="5"/>
  <c r="B42" i="1" l="1"/>
  <c r="E42" i="1" s="1"/>
  <c r="F42" i="1" s="1"/>
  <c r="C61" i="5"/>
  <c r="B61" i="5"/>
  <c r="E61" i="5"/>
  <c r="B43" i="1" l="1"/>
  <c r="E43" i="1" s="1"/>
  <c r="F43" i="1" s="1"/>
  <c r="C62" i="5"/>
  <c r="B62" i="5"/>
  <c r="E62" i="5"/>
  <c r="B44" i="1" l="1"/>
  <c r="E44" i="1" s="1"/>
  <c r="F44" i="1" s="1"/>
  <c r="E63" i="5"/>
  <c r="C63" i="5"/>
  <c r="B63" i="5"/>
  <c r="B45" i="1" l="1"/>
  <c r="E45" i="1" s="1"/>
  <c r="F45" i="1" s="1"/>
  <c r="B64" i="5"/>
  <c r="E64" i="5"/>
  <c r="C64" i="5"/>
  <c r="B46" i="1" l="1"/>
  <c r="E46" i="1" s="1"/>
  <c r="F46" i="1" s="1"/>
  <c r="C65" i="5"/>
  <c r="B65" i="5"/>
  <c r="E65" i="5"/>
  <c r="B47" i="1" l="1"/>
  <c r="E47" i="1" s="1"/>
  <c r="F47" i="1" s="1"/>
  <c r="C66" i="5"/>
  <c r="B66" i="5"/>
  <c r="E66" i="5"/>
  <c r="B48" i="1" l="1"/>
  <c r="E48" i="1" s="1"/>
  <c r="F48" i="1" s="1"/>
  <c r="B67" i="5"/>
  <c r="E67" i="5"/>
  <c r="C67" i="5"/>
  <c r="B49" i="1" l="1"/>
  <c r="E49" i="1" s="1"/>
  <c r="F49" i="1" s="1"/>
  <c r="C68" i="5"/>
  <c r="B68" i="5"/>
  <c r="E68" i="5"/>
  <c r="B50" i="1" l="1"/>
  <c r="E50" i="1" s="1"/>
  <c r="F50" i="1" s="1"/>
  <c r="B69" i="5"/>
  <c r="E69" i="5"/>
  <c r="C69" i="5"/>
  <c r="B51" i="1" l="1"/>
  <c r="E51" i="1" s="1"/>
  <c r="F51" i="1" s="1"/>
  <c r="C70" i="5"/>
  <c r="B70" i="5"/>
  <c r="E70" i="5"/>
  <c r="B52" i="1" l="1"/>
  <c r="E52" i="1" s="1"/>
  <c r="F52" i="1" s="1"/>
  <c r="B71" i="5"/>
  <c r="E71" i="5"/>
  <c r="C71" i="5"/>
  <c r="B53" i="1" l="1"/>
  <c r="E53" i="1" s="1"/>
  <c r="F53" i="1" s="1"/>
  <c r="C72" i="5"/>
  <c r="B72" i="5"/>
  <c r="E72" i="5"/>
  <c r="B54" i="1" l="1"/>
  <c r="E54" i="1" s="1"/>
  <c r="F54" i="1" s="1"/>
  <c r="B73" i="5"/>
  <c r="E73" i="5"/>
  <c r="C73" i="5"/>
  <c r="B55" i="1" l="1"/>
  <c r="E55" i="1" s="1"/>
  <c r="F55" i="1" s="1"/>
  <c r="C74" i="5"/>
  <c r="B74" i="5"/>
  <c r="E74" i="5"/>
  <c r="B56" i="1" l="1"/>
  <c r="E56" i="1" s="1"/>
  <c r="F56" i="1" s="1"/>
  <c r="B75" i="5"/>
  <c r="E75" i="5"/>
  <c r="C75" i="5"/>
  <c r="B57" i="1" l="1"/>
  <c r="E57" i="1" s="1"/>
  <c r="F57" i="1" s="1"/>
  <c r="C76" i="5"/>
  <c r="B76" i="5"/>
  <c r="E76" i="5"/>
  <c r="B58" i="1" l="1"/>
  <c r="E58" i="1" s="1"/>
  <c r="F58" i="1" s="1"/>
  <c r="B77" i="5"/>
  <c r="E77" i="5"/>
  <c r="C77" i="5"/>
  <c r="B59" i="1" l="1"/>
  <c r="E59" i="1" s="1"/>
  <c r="F59" i="1" s="1"/>
  <c r="C78" i="5"/>
  <c r="B78" i="5"/>
  <c r="E78" i="5"/>
  <c r="B60" i="1" l="1"/>
  <c r="E60" i="1" s="1"/>
  <c r="F60" i="1" s="1"/>
  <c r="B79" i="5"/>
  <c r="E79" i="5"/>
  <c r="C79" i="5"/>
  <c r="B61" i="1" l="1"/>
  <c r="E61" i="1" s="1"/>
  <c r="F61" i="1" s="1"/>
  <c r="C80" i="5"/>
  <c r="B80" i="5"/>
  <c r="E80" i="5"/>
  <c r="B62" i="1" l="1"/>
  <c r="E62" i="1" s="1"/>
  <c r="F62" i="1" s="1"/>
  <c r="B81" i="5"/>
  <c r="E81" i="5"/>
  <c r="C81" i="5"/>
  <c r="B63" i="1" l="1"/>
  <c r="E63" i="1" s="1"/>
  <c r="F63" i="1" s="1"/>
  <c r="B82" i="5"/>
  <c r="E82" i="5"/>
  <c r="C82" i="5"/>
  <c r="B64" i="1" l="1"/>
  <c r="E64" i="1" s="1"/>
  <c r="F64" i="1" s="1"/>
  <c r="C83" i="5"/>
  <c r="B83" i="5"/>
  <c r="E83" i="5"/>
  <c r="B65" i="1" l="1"/>
  <c r="E65" i="1" s="1"/>
  <c r="F65" i="1" s="1"/>
  <c r="B84" i="5"/>
  <c r="E84" i="5"/>
  <c r="C84" i="5"/>
  <c r="B66" i="1" l="1"/>
  <c r="E66" i="1" s="1"/>
  <c r="F66" i="1" s="1"/>
  <c r="C85" i="5"/>
  <c r="B85" i="5"/>
  <c r="E85" i="5"/>
  <c r="B67" i="1" l="1"/>
  <c r="E67" i="1" s="1"/>
  <c r="F67" i="1" s="1"/>
  <c r="B86" i="5"/>
  <c r="E86" i="5"/>
  <c r="C86" i="5"/>
  <c r="B68" i="1" l="1"/>
  <c r="E68" i="1" s="1"/>
  <c r="F68" i="1" s="1"/>
  <c r="C87" i="5"/>
  <c r="B87" i="5"/>
  <c r="E87" i="5"/>
  <c r="B69" i="1" l="1"/>
  <c r="E69" i="1" s="1"/>
  <c r="F69" i="1" s="1"/>
  <c r="B88" i="5"/>
  <c r="E88" i="5"/>
  <c r="C88" i="5"/>
  <c r="B70" i="1" l="1"/>
  <c r="E70" i="1" s="1"/>
  <c r="F70" i="1" s="1"/>
  <c r="C89" i="5"/>
  <c r="B89" i="5"/>
  <c r="E89" i="5"/>
  <c r="B71" i="1" l="1"/>
  <c r="E71" i="1" s="1"/>
  <c r="F71" i="1" s="1"/>
  <c r="B90" i="5"/>
  <c r="E90" i="5"/>
  <c r="C90" i="5"/>
  <c r="B72" i="1" l="1"/>
  <c r="E72" i="1" s="1"/>
  <c r="F72" i="1" s="1"/>
  <c r="C91" i="5"/>
  <c r="B91" i="5"/>
  <c r="E91" i="5"/>
  <c r="B73" i="1" l="1"/>
  <c r="E73" i="1" s="1"/>
  <c r="F73" i="1" s="1"/>
  <c r="B92" i="5"/>
  <c r="E92" i="5"/>
  <c r="C92" i="5"/>
  <c r="B74" i="1" l="1"/>
  <c r="E74" i="1" s="1"/>
  <c r="F74" i="1" s="1"/>
  <c r="C93" i="5"/>
  <c r="B93" i="5"/>
  <c r="E93" i="5"/>
  <c r="B75" i="1" l="1"/>
  <c r="E75" i="1" s="1"/>
  <c r="F75" i="1" s="1"/>
  <c r="B94" i="5"/>
  <c r="E94" i="5"/>
  <c r="C94" i="5"/>
  <c r="B76" i="1" l="1"/>
  <c r="E76" i="1" s="1"/>
  <c r="F76" i="1" s="1"/>
  <c r="C95" i="5"/>
  <c r="B95" i="5"/>
  <c r="E95" i="5"/>
  <c r="B77" i="1" l="1"/>
  <c r="E77" i="1" s="1"/>
  <c r="F77" i="1" s="1"/>
  <c r="B96" i="5"/>
  <c r="E96" i="5"/>
  <c r="C96" i="5"/>
  <c r="B78" i="1" l="1"/>
  <c r="E78" i="1" s="1"/>
  <c r="F78" i="1" s="1"/>
  <c r="C97" i="5"/>
  <c r="B97" i="5"/>
  <c r="E97" i="5"/>
  <c r="B79" i="1" l="1"/>
  <c r="E79" i="1" s="1"/>
  <c r="F79" i="1" s="1"/>
  <c r="B98" i="5"/>
  <c r="E98" i="5"/>
  <c r="C98" i="5"/>
  <c r="B80" i="1" l="1"/>
  <c r="E80" i="1" s="1"/>
  <c r="F80" i="1" s="1"/>
  <c r="C99" i="5"/>
  <c r="B99" i="5"/>
  <c r="E99" i="5"/>
  <c r="B81" i="1" l="1"/>
  <c r="E81" i="1" s="1"/>
  <c r="F81" i="1" s="1"/>
  <c r="B100" i="5"/>
  <c r="E100" i="5"/>
  <c r="C100" i="5"/>
  <c r="B82" i="1" l="1"/>
  <c r="E82" i="1" s="1"/>
  <c r="F82" i="1" s="1"/>
  <c r="C101" i="5"/>
  <c r="B101" i="5"/>
  <c r="B83" i="1" l="1"/>
  <c r="E83" i="1" s="1"/>
  <c r="F83" i="1" s="1"/>
  <c r="F102" i="5"/>
  <c r="B102" i="5"/>
  <c r="D101" i="5"/>
  <c r="E102" i="5"/>
  <c r="G102" i="5"/>
  <c r="C102" i="5"/>
  <c r="B84" i="1" l="1"/>
  <c r="E84" i="1" s="1"/>
  <c r="F84" i="1" s="1"/>
  <c r="G103" i="5"/>
  <c r="C103" i="5"/>
  <c r="F103" i="5"/>
  <c r="B103" i="5"/>
  <c r="D102" i="5"/>
  <c r="E103" i="5"/>
  <c r="B85" i="1" l="1"/>
  <c r="E85" i="1" s="1"/>
  <c r="F85" i="1" s="1"/>
  <c r="F104" i="5"/>
  <c r="B104" i="5"/>
  <c r="D103" i="5"/>
  <c r="E104" i="5"/>
  <c r="G104" i="5"/>
  <c r="C104" i="5"/>
  <c r="B86" i="1" l="1"/>
  <c r="E86" i="1" s="1"/>
  <c r="F86" i="1" s="1"/>
  <c r="G105" i="5"/>
  <c r="C105" i="5"/>
  <c r="F105" i="5"/>
  <c r="B105" i="5"/>
  <c r="D104" i="5"/>
  <c r="E105" i="5"/>
  <c r="B87" i="1" l="1"/>
  <c r="E87" i="1" s="1"/>
  <c r="F87" i="1" s="1"/>
  <c r="F106" i="5"/>
  <c r="B106" i="5"/>
  <c r="D105" i="5"/>
  <c r="E106" i="5"/>
  <c r="G106" i="5"/>
  <c r="C106" i="5"/>
  <c r="B88" i="1" l="1"/>
  <c r="E88" i="1" s="1"/>
  <c r="F88" i="1" s="1"/>
  <c r="G107" i="5"/>
  <c r="C107" i="5"/>
  <c r="F107" i="5"/>
  <c r="B107" i="5"/>
  <c r="D106" i="5"/>
  <c r="E107" i="5"/>
  <c r="B89" i="1" l="1"/>
  <c r="E89" i="1" s="1"/>
  <c r="F89" i="1" s="1"/>
  <c r="F108" i="5"/>
  <c r="B108" i="5"/>
  <c r="D107" i="5"/>
  <c r="E108" i="5"/>
  <c r="C108" i="5"/>
  <c r="G108" i="5"/>
  <c r="B90" i="1" l="1"/>
  <c r="E90" i="1" s="1"/>
  <c r="F90" i="1" s="1"/>
  <c r="G109" i="5"/>
  <c r="C109" i="5"/>
  <c r="F109" i="5"/>
  <c r="B109" i="5"/>
  <c r="D108" i="5"/>
  <c r="E109" i="5"/>
  <c r="B91" i="1" l="1"/>
  <c r="E91" i="1" s="1"/>
  <c r="F91" i="1" s="1"/>
  <c r="F110" i="5"/>
  <c r="B110" i="5"/>
  <c r="D109" i="5"/>
  <c r="E110" i="5"/>
  <c r="G110" i="5"/>
  <c r="C110" i="5"/>
  <c r="B92" i="1" l="1"/>
  <c r="E92" i="1" s="1"/>
  <c r="F92" i="1" s="1"/>
  <c r="G111" i="5"/>
  <c r="C111" i="5"/>
  <c r="F111" i="5"/>
  <c r="B111" i="5"/>
  <c r="D110" i="5"/>
  <c r="E111" i="5"/>
  <c r="B93" i="1" l="1"/>
  <c r="E93" i="1" s="1"/>
  <c r="F93" i="1" s="1"/>
  <c r="F112" i="5"/>
  <c r="B112" i="5"/>
  <c r="D111" i="5"/>
  <c r="E112" i="5"/>
  <c r="G112" i="5"/>
  <c r="C112" i="5"/>
  <c r="B94" i="1" l="1"/>
  <c r="E94" i="1" s="1"/>
  <c r="F94" i="1" s="1"/>
  <c r="G113" i="5"/>
  <c r="C113" i="5"/>
  <c r="F113" i="5"/>
  <c r="B113" i="5"/>
  <c r="D112" i="5"/>
  <c r="E113" i="5"/>
  <c r="B95" i="1" l="1"/>
  <c r="E95" i="1" s="1"/>
  <c r="F95" i="1" s="1"/>
  <c r="F114" i="5"/>
  <c r="B114" i="5"/>
  <c r="D113" i="5"/>
  <c r="E114" i="5"/>
  <c r="G114" i="5"/>
  <c r="C114" i="5"/>
  <c r="B96" i="1" l="1"/>
  <c r="E96" i="1" s="1"/>
  <c r="F96" i="1" s="1"/>
  <c r="G115" i="5"/>
  <c r="C115" i="5"/>
  <c r="F115" i="5"/>
  <c r="B115" i="5"/>
  <c r="D114" i="5"/>
  <c r="E115" i="5"/>
  <c r="B97" i="1" l="1"/>
  <c r="E97" i="1" s="1"/>
  <c r="F97" i="1" s="1"/>
  <c r="F116" i="5"/>
  <c r="B116" i="5"/>
  <c r="D115" i="5"/>
  <c r="E116" i="5"/>
  <c r="C116" i="5"/>
  <c r="G116" i="5"/>
  <c r="B98" i="1" l="1"/>
  <c r="E98" i="1" s="1"/>
  <c r="F98" i="1" s="1"/>
  <c r="G117" i="5"/>
  <c r="C117" i="5"/>
  <c r="F117" i="5"/>
  <c r="B117" i="5"/>
  <c r="D116" i="5"/>
  <c r="E117" i="5"/>
  <c r="B99" i="1" l="1"/>
  <c r="E99" i="1" s="1"/>
  <c r="F99" i="1" s="1"/>
  <c r="F118" i="5"/>
  <c r="B118" i="5"/>
  <c r="D117" i="5"/>
  <c r="E118" i="5"/>
  <c r="G118" i="5"/>
  <c r="C118" i="5"/>
  <c r="B100" i="1" l="1"/>
  <c r="E100" i="1" s="1"/>
  <c r="F100" i="1" s="1"/>
  <c r="G119" i="5"/>
  <c r="C119" i="5"/>
  <c r="F119" i="5"/>
  <c r="B119" i="5"/>
  <c r="D118" i="5"/>
  <c r="E119" i="5"/>
  <c r="B101" i="1" l="1"/>
  <c r="E101" i="1" s="1"/>
  <c r="F101" i="1" s="1"/>
  <c r="F120" i="5"/>
  <c r="B120" i="5"/>
  <c r="D119" i="5"/>
  <c r="E120" i="5"/>
  <c r="G120" i="5"/>
  <c r="C120" i="5"/>
  <c r="B102" i="1" l="1"/>
  <c r="E102" i="1" s="1"/>
  <c r="F102" i="1" s="1"/>
  <c r="G121" i="5"/>
  <c r="C121" i="5"/>
  <c r="F121" i="5"/>
  <c r="B121" i="5"/>
  <c r="D120" i="5"/>
  <c r="E121" i="5"/>
  <c r="B103" i="1" l="1"/>
  <c r="E103" i="1" s="1"/>
  <c r="F103" i="1" s="1"/>
  <c r="F122" i="5"/>
  <c r="B122" i="5"/>
  <c r="D121" i="5"/>
  <c r="E122" i="5"/>
  <c r="G122" i="5"/>
  <c r="C122" i="5"/>
  <c r="B104" i="1" l="1"/>
  <c r="E104" i="1" s="1"/>
  <c r="F104" i="1" s="1"/>
  <c r="G123" i="5"/>
  <c r="C123" i="5"/>
  <c r="F123" i="5"/>
  <c r="B123" i="5"/>
  <c r="D122" i="5"/>
  <c r="E123" i="5"/>
  <c r="B105" i="1" l="1"/>
  <c r="E105" i="1" s="1"/>
  <c r="F105" i="1" s="1"/>
  <c r="F124" i="5"/>
  <c r="B124" i="5"/>
  <c r="D123" i="5"/>
  <c r="E124" i="5"/>
  <c r="C124" i="5"/>
  <c r="G124" i="5"/>
  <c r="B106" i="1" l="1"/>
  <c r="E106" i="1" s="1"/>
  <c r="F106" i="1" s="1"/>
  <c r="G125" i="5"/>
  <c r="C125" i="5"/>
  <c r="F125" i="5"/>
  <c r="B125" i="5"/>
  <c r="D124" i="5"/>
  <c r="E125" i="5"/>
  <c r="B107" i="1" l="1"/>
  <c r="E107" i="1" s="1"/>
  <c r="F107" i="1" s="1"/>
  <c r="F126" i="5"/>
  <c r="B126" i="5"/>
  <c r="D125" i="5"/>
  <c r="E126" i="5"/>
  <c r="G126" i="5"/>
  <c r="C126" i="5"/>
  <c r="B108" i="1" l="1"/>
  <c r="E108" i="1" s="1"/>
  <c r="F108" i="1" s="1"/>
  <c r="G127" i="5"/>
  <c r="C127" i="5"/>
  <c r="F127" i="5"/>
  <c r="B127" i="5"/>
  <c r="D126" i="5"/>
  <c r="E127" i="5"/>
  <c r="B109" i="1" l="1"/>
  <c r="E109" i="1" s="1"/>
  <c r="F109" i="1" s="1"/>
  <c r="F128" i="5"/>
  <c r="B128" i="5"/>
  <c r="D127" i="5"/>
  <c r="E128" i="5"/>
  <c r="G128" i="5"/>
  <c r="C128" i="5"/>
  <c r="B110" i="1" l="1"/>
  <c r="E110" i="1" s="1"/>
  <c r="F110" i="1" s="1"/>
  <c r="G129" i="5"/>
  <c r="C129" i="5"/>
  <c r="F129" i="5"/>
  <c r="B129" i="5"/>
  <c r="D128" i="5"/>
  <c r="E129" i="5"/>
  <c r="B111" i="1" l="1"/>
  <c r="E111" i="1" s="1"/>
  <c r="F111" i="1" s="1"/>
  <c r="F130" i="5"/>
  <c r="B130" i="5"/>
  <c r="D129" i="5"/>
  <c r="E130" i="5"/>
  <c r="G130" i="5"/>
  <c r="C130" i="5"/>
  <c r="B112" i="1" l="1"/>
  <c r="E112" i="1" s="1"/>
  <c r="F112" i="1" s="1"/>
  <c r="G131" i="5"/>
  <c r="C131" i="5"/>
  <c r="F131" i="5"/>
  <c r="B131" i="5"/>
  <c r="D130" i="5"/>
  <c r="E131" i="5"/>
  <c r="B113" i="1" l="1"/>
  <c r="E113" i="1" s="1"/>
  <c r="F113" i="1" s="1"/>
  <c r="F132" i="5"/>
  <c r="B132" i="5"/>
  <c r="D131" i="5"/>
  <c r="E132" i="5"/>
  <c r="C132" i="5"/>
  <c r="G132" i="5"/>
  <c r="B114" i="1" l="1"/>
  <c r="E114" i="1" s="1"/>
  <c r="F114" i="1" s="1"/>
  <c r="G133" i="5"/>
  <c r="C133" i="5"/>
  <c r="F133" i="5"/>
  <c r="B133" i="5"/>
  <c r="D132" i="5"/>
  <c r="E133" i="5"/>
  <c r="B115" i="1" l="1"/>
  <c r="E115" i="1" s="1"/>
  <c r="F115" i="1" s="1"/>
  <c r="F134" i="5"/>
  <c r="B134" i="5"/>
  <c r="D133" i="5"/>
  <c r="E134" i="5"/>
  <c r="G134" i="5"/>
  <c r="C134" i="5"/>
  <c r="B116" i="1" l="1"/>
  <c r="E116" i="1" s="1"/>
  <c r="F116" i="1" s="1"/>
  <c r="G135" i="5"/>
  <c r="C135" i="5"/>
  <c r="F135" i="5"/>
  <c r="B135" i="5"/>
  <c r="D134" i="5"/>
  <c r="E135" i="5"/>
  <c r="B117" i="1" l="1"/>
  <c r="E117" i="1" s="1"/>
  <c r="F117" i="1" s="1"/>
  <c r="F136" i="5"/>
  <c r="B136" i="5"/>
  <c r="D135" i="5"/>
  <c r="E136" i="5"/>
  <c r="G136" i="5"/>
  <c r="C136" i="5"/>
  <c r="B118" i="1" l="1"/>
  <c r="E118" i="1" s="1"/>
  <c r="F118" i="1" s="1"/>
  <c r="G137" i="5"/>
  <c r="C137" i="5"/>
  <c r="D137" i="5" s="1"/>
  <c r="F137" i="5"/>
  <c r="B137" i="5"/>
  <c r="D136" i="5"/>
  <c r="E137" i="5"/>
  <c r="F17" i="5"/>
  <c r="E17" i="5"/>
  <c r="B119" i="1" l="1"/>
  <c r="E119" i="1" s="1"/>
  <c r="F119" i="1" s="1"/>
  <c r="G17" i="5"/>
  <c r="H15" i="1" s="1"/>
  <c r="I15" i="1" s="1"/>
  <c r="D17" i="5"/>
  <c r="E101" i="5"/>
  <c r="B120" i="1" l="1"/>
  <c r="E120" i="1" s="1"/>
  <c r="F120" i="1" s="1"/>
  <c r="F18" i="5"/>
  <c r="D18" i="5"/>
  <c r="B121" i="1" l="1"/>
  <c r="E121" i="1" s="1"/>
  <c r="F121" i="1" s="1"/>
  <c r="G18" i="5"/>
  <c r="H16" i="1" s="1"/>
  <c r="I16" i="1" s="1"/>
  <c r="F19" i="5"/>
  <c r="G19" i="5" s="1"/>
  <c r="H17" i="1" s="1"/>
  <c r="I17" i="1" s="1"/>
  <c r="D19" i="5"/>
  <c r="B122" i="1" l="1"/>
  <c r="E122" i="1" s="1"/>
  <c r="F122" i="1" s="1"/>
  <c r="F20" i="5"/>
  <c r="G20" i="5" s="1"/>
  <c r="H18" i="1" s="1"/>
  <c r="I18" i="1" s="1"/>
  <c r="D20" i="5"/>
  <c r="B123" i="1" l="1"/>
  <c r="E123" i="1" s="1"/>
  <c r="F123" i="1" s="1"/>
  <c r="F21" i="5"/>
  <c r="D21" i="5"/>
  <c r="B124" i="1" l="1"/>
  <c r="E124" i="1" s="1"/>
  <c r="F124" i="1" s="1"/>
  <c r="F22" i="5"/>
  <c r="G22" i="5" s="1"/>
  <c r="H20" i="1" s="1"/>
  <c r="I20" i="1" s="1"/>
  <c r="D22" i="5"/>
  <c r="G21" i="5"/>
  <c r="H19" i="1" s="1"/>
  <c r="I19" i="1" s="1"/>
  <c r="B125" i="1" l="1"/>
  <c r="E125" i="1" s="1"/>
  <c r="F125" i="1" s="1"/>
  <c r="F23" i="5"/>
  <c r="G23" i="5" s="1"/>
  <c r="H21" i="1" s="1"/>
  <c r="I21" i="1" s="1"/>
  <c r="D23" i="5"/>
  <c r="B126" i="1" l="1"/>
  <c r="E126" i="1" s="1"/>
  <c r="F126" i="1" s="1"/>
  <c r="F24" i="5"/>
  <c r="G24" i="5" s="1"/>
  <c r="H22" i="1" s="1"/>
  <c r="I22" i="1" s="1"/>
  <c r="D24" i="5"/>
  <c r="B127" i="1" l="1"/>
  <c r="E127" i="1" s="1"/>
  <c r="F127" i="1" s="1"/>
  <c r="F25" i="5"/>
  <c r="G25" i="5" s="1"/>
  <c r="H23" i="1" s="1"/>
  <c r="I23" i="1" s="1"/>
  <c r="D25" i="5"/>
  <c r="B128" i="1" l="1"/>
  <c r="E128" i="1" s="1"/>
  <c r="F128" i="1" s="1"/>
  <c r="F26" i="5"/>
  <c r="G26" i="5" s="1"/>
  <c r="H24" i="1" s="1"/>
  <c r="I24" i="1" s="1"/>
  <c r="D26" i="5"/>
  <c r="B129" i="1" l="1"/>
  <c r="E129" i="1" s="1"/>
  <c r="F129" i="1" s="1"/>
  <c r="F27" i="5"/>
  <c r="G27" i="5" s="1"/>
  <c r="H25" i="1" s="1"/>
  <c r="I25" i="1" s="1"/>
  <c r="D27" i="5"/>
  <c r="B130" i="1" l="1"/>
  <c r="E130" i="1" s="1"/>
  <c r="F130" i="1" s="1"/>
  <c r="F28" i="5"/>
  <c r="G28" i="5" s="1"/>
  <c r="D28" i="5"/>
  <c r="B131" i="1" l="1"/>
  <c r="E131" i="1" s="1"/>
  <c r="F131" i="1" s="1"/>
  <c r="L16" i="5"/>
  <c r="M16" i="5" s="1"/>
  <c r="H26" i="1"/>
  <c r="I26" i="1" s="1"/>
  <c r="F29" i="5"/>
  <c r="G29" i="5" s="1"/>
  <c r="H27" i="1" s="1"/>
  <c r="I27" i="1" s="1"/>
  <c r="D29" i="5"/>
  <c r="B132" i="1" l="1"/>
  <c r="E132" i="1" s="1"/>
  <c r="F132" i="1" s="1"/>
  <c r="F30" i="5"/>
  <c r="G30" i="5" s="1"/>
  <c r="H28" i="1" s="1"/>
  <c r="I28" i="1" s="1"/>
  <c r="D30" i="5"/>
  <c r="B133" i="1" l="1"/>
  <c r="E133" i="1" s="1"/>
  <c r="F133" i="1" s="1"/>
  <c r="F31" i="5"/>
  <c r="G31" i="5" s="1"/>
  <c r="H29" i="1" s="1"/>
  <c r="I29" i="1" s="1"/>
  <c r="D31" i="5"/>
  <c r="B134" i="1" l="1"/>
  <c r="E134" i="1" s="1"/>
  <c r="F134" i="1" s="1"/>
  <c r="F32" i="5"/>
  <c r="G32" i="5" s="1"/>
  <c r="H30" i="1" s="1"/>
  <c r="I30" i="1" s="1"/>
  <c r="D32" i="5"/>
  <c r="B135" i="1" l="1"/>
  <c r="E135" i="1" s="1"/>
  <c r="F135" i="1" s="1"/>
  <c r="F33" i="5"/>
  <c r="G33" i="5" s="1"/>
  <c r="H31" i="1" s="1"/>
  <c r="I31" i="1" s="1"/>
  <c r="D33" i="5"/>
  <c r="B136" i="1" l="1"/>
  <c r="E136" i="1" s="1"/>
  <c r="F136" i="1" s="1"/>
  <c r="F34" i="5"/>
  <c r="G34" i="5" s="1"/>
  <c r="H32" i="1" s="1"/>
  <c r="I32" i="1" s="1"/>
  <c r="D34" i="5"/>
  <c r="B137" i="1" l="1"/>
  <c r="E137" i="1" s="1"/>
  <c r="F137" i="1" s="1"/>
  <c r="F35" i="5"/>
  <c r="G35" i="5" s="1"/>
  <c r="H33" i="1" s="1"/>
  <c r="I33" i="1" s="1"/>
  <c r="D35" i="5"/>
  <c r="B138" i="1" l="1"/>
  <c r="E138" i="1" s="1"/>
  <c r="F138" i="1" s="1"/>
  <c r="F36" i="5"/>
  <c r="G36" i="5" s="1"/>
  <c r="H34" i="1" s="1"/>
  <c r="I34" i="1" s="1"/>
  <c r="D36" i="5"/>
  <c r="B139" i="1" l="1"/>
  <c r="E139" i="1" s="1"/>
  <c r="F139" i="1" s="1"/>
  <c r="O37" i="5"/>
  <c r="F37" i="5"/>
  <c r="G37" i="5" s="1"/>
  <c r="H35" i="1" s="1"/>
  <c r="I35" i="1" s="1"/>
  <c r="D37" i="5"/>
  <c r="B140" i="1" l="1"/>
  <c r="E140" i="1" s="1"/>
  <c r="F140" i="1" s="1"/>
  <c r="F38" i="5"/>
  <c r="G38" i="5" s="1"/>
  <c r="H36" i="1" s="1"/>
  <c r="I36" i="1" s="1"/>
  <c r="O38" i="5"/>
  <c r="D38" i="5"/>
  <c r="B141" i="1" l="1"/>
  <c r="E141" i="1" s="1"/>
  <c r="F141" i="1" s="1"/>
  <c r="F39" i="5"/>
  <c r="G39" i="5" s="1"/>
  <c r="H37" i="1" s="1"/>
  <c r="I37" i="1" s="1"/>
  <c r="O39" i="5"/>
  <c r="D39" i="5"/>
  <c r="B142" i="1" l="1"/>
  <c r="E142" i="1" s="1"/>
  <c r="F142" i="1" s="1"/>
  <c r="F40" i="5"/>
  <c r="G40" i="5" s="1"/>
  <c r="O40" i="5"/>
  <c r="D40" i="5"/>
  <c r="B143" i="1" l="1"/>
  <c r="E143" i="1" s="1"/>
  <c r="F143" i="1" s="1"/>
  <c r="L17" i="5"/>
  <c r="M17" i="5" s="1"/>
  <c r="H38" i="1"/>
  <c r="I38" i="1" s="1"/>
  <c r="F41" i="5"/>
  <c r="G41" i="5" s="1"/>
  <c r="H39" i="1" s="1"/>
  <c r="I39" i="1" s="1"/>
  <c r="O41" i="5"/>
  <c r="D41" i="5"/>
  <c r="B144" i="1" l="1"/>
  <c r="E144" i="1" s="1"/>
  <c r="F144" i="1" s="1"/>
  <c r="O42" i="5"/>
  <c r="F42" i="5"/>
  <c r="G42" i="5" s="1"/>
  <c r="H40" i="1" s="1"/>
  <c r="I40" i="1" s="1"/>
  <c r="D42" i="5"/>
  <c r="B145" i="1" l="1"/>
  <c r="E145" i="1" s="1"/>
  <c r="F145" i="1" s="1"/>
  <c r="O43" i="5"/>
  <c r="F43" i="5"/>
  <c r="G43" i="5" s="1"/>
  <c r="H41" i="1" s="1"/>
  <c r="I41" i="1" s="1"/>
  <c r="D43" i="5"/>
  <c r="B146" i="1" l="1"/>
  <c r="E146" i="1" s="1"/>
  <c r="F146" i="1" s="1"/>
  <c r="F44" i="5"/>
  <c r="G44" i="5" s="1"/>
  <c r="H42" i="1" s="1"/>
  <c r="I42" i="1" s="1"/>
  <c r="O44" i="5"/>
  <c r="D44" i="5"/>
  <c r="B147" i="1" l="1"/>
  <c r="E147" i="1" s="1"/>
  <c r="F147" i="1" s="1"/>
  <c r="F45" i="5"/>
  <c r="G45" i="5" s="1"/>
  <c r="H43" i="1" s="1"/>
  <c r="I43" i="1" s="1"/>
  <c r="O45" i="5"/>
  <c r="D45" i="5"/>
  <c r="B148" i="1" l="1"/>
  <c r="E148" i="1" s="1"/>
  <c r="F148" i="1" s="1"/>
  <c r="O46" i="5"/>
  <c r="F46" i="5"/>
  <c r="G46" i="5" s="1"/>
  <c r="H44" i="1" s="1"/>
  <c r="I44" i="1" s="1"/>
  <c r="D46" i="5"/>
  <c r="B149" i="1" l="1"/>
  <c r="E149" i="1" s="1"/>
  <c r="F149" i="1" s="1"/>
  <c r="O47" i="5"/>
  <c r="F47" i="5"/>
  <c r="G47" i="5" s="1"/>
  <c r="H45" i="1" s="1"/>
  <c r="I45" i="1" s="1"/>
  <c r="D47" i="5"/>
  <c r="B150" i="1" l="1"/>
  <c r="E150" i="1" s="1"/>
  <c r="F150" i="1" s="1"/>
  <c r="F48" i="5"/>
  <c r="G48" i="5" s="1"/>
  <c r="H46" i="1" s="1"/>
  <c r="I46" i="1" s="1"/>
  <c r="O48" i="5"/>
  <c r="D48" i="5"/>
  <c r="B151" i="1" l="1"/>
  <c r="E151" i="1" s="1"/>
  <c r="F151" i="1" s="1"/>
  <c r="F49" i="5"/>
  <c r="G49" i="5" s="1"/>
  <c r="H47" i="1" s="1"/>
  <c r="I47" i="1" s="1"/>
  <c r="O49" i="5"/>
  <c r="D49" i="5"/>
  <c r="B152" i="1" l="1"/>
  <c r="E152" i="1" s="1"/>
  <c r="F152" i="1" s="1"/>
  <c r="O50" i="5"/>
  <c r="F50" i="5"/>
  <c r="G50" i="5" s="1"/>
  <c r="H48" i="1" s="1"/>
  <c r="I48" i="1" s="1"/>
  <c r="D50" i="5"/>
  <c r="B153" i="1" l="1"/>
  <c r="E153" i="1" s="1"/>
  <c r="F153" i="1" s="1"/>
  <c r="F51" i="5"/>
  <c r="G51" i="5" s="1"/>
  <c r="H49" i="1" s="1"/>
  <c r="I49" i="1" s="1"/>
  <c r="O51" i="5"/>
  <c r="D51" i="5"/>
  <c r="B154" i="1" l="1"/>
  <c r="E154" i="1" s="1"/>
  <c r="F154" i="1" s="1"/>
  <c r="F52" i="5"/>
  <c r="G52" i="5" s="1"/>
  <c r="O52" i="5"/>
  <c r="D52" i="5"/>
  <c r="B155" i="1" l="1"/>
  <c r="E155" i="1" s="1"/>
  <c r="F155" i="1" s="1"/>
  <c r="L18" i="5"/>
  <c r="M18" i="5" s="1"/>
  <c r="H50" i="1"/>
  <c r="I50" i="1" s="1"/>
  <c r="F53" i="5"/>
  <c r="G53" i="5" s="1"/>
  <c r="H51" i="1" s="1"/>
  <c r="I51" i="1" s="1"/>
  <c r="O53" i="5"/>
  <c r="D53" i="5"/>
  <c r="B156" i="1" l="1"/>
  <c r="E156" i="1" s="1"/>
  <c r="F156" i="1" s="1"/>
  <c r="F54" i="5"/>
  <c r="G54" i="5" s="1"/>
  <c r="H52" i="1" s="1"/>
  <c r="I52" i="1" s="1"/>
  <c r="O54" i="5"/>
  <c r="D54" i="5"/>
  <c r="B157" i="1" l="1"/>
  <c r="E157" i="1" s="1"/>
  <c r="F157" i="1" s="1"/>
  <c r="F55" i="5"/>
  <c r="G55" i="5" s="1"/>
  <c r="H53" i="1" s="1"/>
  <c r="I53" i="1" s="1"/>
  <c r="O55" i="5"/>
  <c r="D55" i="5"/>
  <c r="B158" i="1" l="1"/>
  <c r="E158" i="1" s="1"/>
  <c r="F158" i="1" s="1"/>
  <c r="F56" i="5"/>
  <c r="G56" i="5" s="1"/>
  <c r="H54" i="1" s="1"/>
  <c r="I54" i="1" s="1"/>
  <c r="O56" i="5"/>
  <c r="D56" i="5"/>
  <c r="B159" i="1" l="1"/>
  <c r="E159" i="1" s="1"/>
  <c r="F159" i="1" s="1"/>
  <c r="F57" i="5"/>
  <c r="G57" i="5" s="1"/>
  <c r="H55" i="1" s="1"/>
  <c r="I55" i="1" s="1"/>
  <c r="O57" i="5"/>
  <c r="D57" i="5"/>
  <c r="B160" i="1" l="1"/>
  <c r="E160" i="1" s="1"/>
  <c r="F160" i="1" s="1"/>
  <c r="O58" i="5"/>
  <c r="F58" i="5"/>
  <c r="G58" i="5" s="1"/>
  <c r="H56" i="1" s="1"/>
  <c r="I56" i="1" s="1"/>
  <c r="D58" i="5"/>
  <c r="B161" i="1" l="1"/>
  <c r="E161" i="1" s="1"/>
  <c r="F161" i="1" s="1"/>
  <c r="O59" i="5"/>
  <c r="F59" i="5"/>
  <c r="G59" i="5" s="1"/>
  <c r="H57" i="1" s="1"/>
  <c r="I57" i="1" s="1"/>
  <c r="D59" i="5"/>
  <c r="B162" i="1" l="1"/>
  <c r="E162" i="1" s="1"/>
  <c r="F162" i="1" s="1"/>
  <c r="F60" i="5"/>
  <c r="G60" i="5" s="1"/>
  <c r="H58" i="1" s="1"/>
  <c r="I58" i="1" s="1"/>
  <c r="D60" i="5"/>
  <c r="O60" i="5"/>
  <c r="B163" i="1" l="1"/>
  <c r="E163" i="1" s="1"/>
  <c r="F163" i="1" s="1"/>
  <c r="F61" i="5"/>
  <c r="G61" i="5" s="1"/>
  <c r="H59" i="1" s="1"/>
  <c r="I59" i="1" s="1"/>
  <c r="O61" i="5"/>
  <c r="D61" i="5"/>
  <c r="B164" i="1" l="1"/>
  <c r="E164" i="1" s="1"/>
  <c r="F164" i="1" s="1"/>
  <c r="O62" i="5"/>
  <c r="F62" i="5"/>
  <c r="G62" i="5" s="1"/>
  <c r="H60" i="1" s="1"/>
  <c r="I60" i="1" s="1"/>
  <c r="D62" i="5"/>
  <c r="B165" i="1" l="1"/>
  <c r="E165" i="1" s="1"/>
  <c r="F165" i="1" s="1"/>
  <c r="F63" i="5"/>
  <c r="G63" i="5" s="1"/>
  <c r="H61" i="1" s="1"/>
  <c r="I61" i="1" s="1"/>
  <c r="O63" i="5"/>
  <c r="D63" i="5"/>
  <c r="B166" i="1" l="1"/>
  <c r="E166" i="1" s="1"/>
  <c r="F166" i="1" s="1"/>
  <c r="F64" i="5"/>
  <c r="G64" i="5" s="1"/>
  <c r="O64" i="5"/>
  <c r="D64" i="5"/>
  <c r="B167" i="1" l="1"/>
  <c r="E167" i="1" s="1"/>
  <c r="F167" i="1" s="1"/>
  <c r="L19" i="5"/>
  <c r="M19" i="5" s="1"/>
  <c r="H62" i="1"/>
  <c r="I62" i="1" s="1"/>
  <c r="O65" i="5"/>
  <c r="F65" i="5"/>
  <c r="G65" i="5" s="1"/>
  <c r="H63" i="1" s="1"/>
  <c r="I63" i="1" s="1"/>
  <c r="D65" i="5"/>
  <c r="B168" i="1" l="1"/>
  <c r="E168" i="1" s="1"/>
  <c r="F168" i="1" s="1"/>
  <c r="F66" i="5"/>
  <c r="G66" i="5" s="1"/>
  <c r="H64" i="1" s="1"/>
  <c r="I64" i="1" s="1"/>
  <c r="D66" i="5"/>
  <c r="B169" i="1" l="1"/>
  <c r="E169" i="1" s="1"/>
  <c r="F169" i="1" s="1"/>
  <c r="F67" i="5"/>
  <c r="G67" i="5" s="1"/>
  <c r="H65" i="1" s="1"/>
  <c r="I65" i="1" s="1"/>
  <c r="D67" i="5"/>
  <c r="B170" i="1" l="1"/>
  <c r="E170" i="1" s="1"/>
  <c r="F170" i="1" s="1"/>
  <c r="F68" i="5"/>
  <c r="G68" i="5" s="1"/>
  <c r="H66" i="1" s="1"/>
  <c r="I66" i="1" s="1"/>
  <c r="D68" i="5"/>
  <c r="B171" i="1" l="1"/>
  <c r="E171" i="1" s="1"/>
  <c r="F171" i="1" s="1"/>
  <c r="F69" i="5"/>
  <c r="G69" i="5" s="1"/>
  <c r="H67" i="1" s="1"/>
  <c r="I67" i="1" s="1"/>
  <c r="D69" i="5"/>
  <c r="B172" i="1" l="1"/>
  <c r="E172" i="1" s="1"/>
  <c r="F172" i="1" s="1"/>
  <c r="F70" i="5"/>
  <c r="G70" i="5" s="1"/>
  <c r="H68" i="1" s="1"/>
  <c r="I68" i="1" s="1"/>
  <c r="D70" i="5"/>
  <c r="B173" i="1" l="1"/>
  <c r="E173" i="1" s="1"/>
  <c r="F173" i="1" s="1"/>
  <c r="F71" i="5"/>
  <c r="G71" i="5" s="1"/>
  <c r="H69" i="1" s="1"/>
  <c r="I69" i="1" s="1"/>
  <c r="D71" i="5"/>
  <c r="B174" i="1" l="1"/>
  <c r="E174" i="1" s="1"/>
  <c r="F174" i="1" s="1"/>
  <c r="F72" i="5"/>
  <c r="G72" i="5" s="1"/>
  <c r="H70" i="1" s="1"/>
  <c r="I70" i="1" s="1"/>
  <c r="D72" i="5"/>
  <c r="B175" i="1" l="1"/>
  <c r="E175" i="1" s="1"/>
  <c r="F175" i="1" s="1"/>
  <c r="F73" i="5"/>
  <c r="G73" i="5" s="1"/>
  <c r="H71" i="1" s="1"/>
  <c r="I71" i="1" s="1"/>
  <c r="D73" i="5"/>
  <c r="B176" i="1" l="1"/>
  <c r="E176" i="1" s="1"/>
  <c r="F176" i="1" s="1"/>
  <c r="F74" i="5"/>
  <c r="G74" i="5" s="1"/>
  <c r="H72" i="1" s="1"/>
  <c r="I72" i="1" s="1"/>
  <c r="D74" i="5"/>
  <c r="B177" i="1" l="1"/>
  <c r="E177" i="1" s="1"/>
  <c r="F177" i="1" s="1"/>
  <c r="F75" i="5"/>
  <c r="G75" i="5" s="1"/>
  <c r="H73" i="1" s="1"/>
  <c r="I73" i="1" s="1"/>
  <c r="D75" i="5"/>
  <c r="B178" i="1" l="1"/>
  <c r="E178" i="1" s="1"/>
  <c r="F178" i="1" s="1"/>
  <c r="F76" i="5"/>
  <c r="G76" i="5" s="1"/>
  <c r="D76" i="5"/>
  <c r="B179" i="1" l="1"/>
  <c r="E179" i="1" s="1"/>
  <c r="F179" i="1" s="1"/>
  <c r="L20" i="5"/>
  <c r="M20" i="5" s="1"/>
  <c r="H74" i="1"/>
  <c r="I74" i="1" s="1"/>
  <c r="F77" i="5"/>
  <c r="G77" i="5" s="1"/>
  <c r="H75" i="1" s="1"/>
  <c r="I75" i="1" s="1"/>
  <c r="D77" i="5"/>
  <c r="B180" i="1" l="1"/>
  <c r="E180" i="1" s="1"/>
  <c r="F180" i="1" s="1"/>
  <c r="F78" i="5"/>
  <c r="G78" i="5" s="1"/>
  <c r="H76" i="1" s="1"/>
  <c r="I76" i="1" s="1"/>
  <c r="D78" i="5"/>
  <c r="B181" i="1" l="1"/>
  <c r="E181" i="1" s="1"/>
  <c r="F181" i="1" s="1"/>
  <c r="F79" i="5"/>
  <c r="G79" i="5" s="1"/>
  <c r="H77" i="1" s="1"/>
  <c r="I77" i="1" s="1"/>
  <c r="D79" i="5"/>
  <c r="B182" i="1" l="1"/>
  <c r="E182" i="1" s="1"/>
  <c r="F182" i="1" s="1"/>
  <c r="F80" i="5"/>
  <c r="G80" i="5" s="1"/>
  <c r="H78" i="1" s="1"/>
  <c r="I78" i="1" s="1"/>
  <c r="D80" i="5"/>
  <c r="B183" i="1" l="1"/>
  <c r="E183" i="1" s="1"/>
  <c r="F183" i="1" s="1"/>
  <c r="F81" i="5"/>
  <c r="G81" i="5" s="1"/>
  <c r="H79" i="1" s="1"/>
  <c r="I79" i="1" s="1"/>
  <c r="D81" i="5"/>
  <c r="B184" i="1" l="1"/>
  <c r="E184" i="1" s="1"/>
  <c r="F184" i="1" s="1"/>
  <c r="F82" i="5"/>
  <c r="G82" i="5" s="1"/>
  <c r="H80" i="1" s="1"/>
  <c r="I80" i="1" s="1"/>
  <c r="D82" i="5"/>
  <c r="B185" i="1" l="1"/>
  <c r="E185" i="1" s="1"/>
  <c r="F185" i="1" s="1"/>
  <c r="F83" i="5"/>
  <c r="G83" i="5" s="1"/>
  <c r="H81" i="1" s="1"/>
  <c r="I81" i="1" s="1"/>
  <c r="D83" i="5"/>
  <c r="B186" i="1" l="1"/>
  <c r="E186" i="1" s="1"/>
  <c r="F186" i="1" s="1"/>
  <c r="F84" i="5"/>
  <c r="G84" i="5" s="1"/>
  <c r="H82" i="1" s="1"/>
  <c r="I82" i="1" s="1"/>
  <c r="D84" i="5"/>
  <c r="B187" i="1" l="1"/>
  <c r="E187" i="1" s="1"/>
  <c r="F187" i="1" s="1"/>
  <c r="F85" i="5"/>
  <c r="G85" i="5" s="1"/>
  <c r="H83" i="1" s="1"/>
  <c r="I83" i="1" s="1"/>
  <c r="D85" i="5"/>
  <c r="B188" i="1" l="1"/>
  <c r="E188" i="1" s="1"/>
  <c r="F188" i="1" s="1"/>
  <c r="F86" i="5"/>
  <c r="G86" i="5" s="1"/>
  <c r="H84" i="1" s="1"/>
  <c r="I84" i="1" s="1"/>
  <c r="D86" i="5"/>
  <c r="B189" i="1" l="1"/>
  <c r="E189" i="1" s="1"/>
  <c r="F189" i="1" s="1"/>
  <c r="F87" i="5"/>
  <c r="G87" i="5" s="1"/>
  <c r="H85" i="1" s="1"/>
  <c r="I85" i="1" s="1"/>
  <c r="D87" i="5"/>
  <c r="B190" i="1" l="1"/>
  <c r="E190" i="1" s="1"/>
  <c r="F190" i="1" s="1"/>
  <c r="F88" i="5"/>
  <c r="G88" i="5" s="1"/>
  <c r="D88" i="5"/>
  <c r="B191" i="1" l="1"/>
  <c r="E191" i="1" s="1"/>
  <c r="F191" i="1" s="1"/>
  <c r="L21" i="5"/>
  <c r="M21" i="5" s="1"/>
  <c r="H86" i="1"/>
  <c r="I86" i="1" s="1"/>
  <c r="F89" i="5"/>
  <c r="G89" i="5" s="1"/>
  <c r="H87" i="1" s="1"/>
  <c r="I87" i="1" s="1"/>
  <c r="D89" i="5"/>
  <c r="B192" i="1" l="1"/>
  <c r="E192" i="1" s="1"/>
  <c r="F192" i="1" s="1"/>
  <c r="F90" i="5"/>
  <c r="G90" i="5" s="1"/>
  <c r="H88" i="1" s="1"/>
  <c r="I88" i="1" s="1"/>
  <c r="D90" i="5"/>
  <c r="B193" i="1" l="1"/>
  <c r="E193" i="1" s="1"/>
  <c r="F193" i="1" s="1"/>
  <c r="F91" i="5"/>
  <c r="G91" i="5" s="1"/>
  <c r="H89" i="1" s="1"/>
  <c r="I89" i="1" s="1"/>
  <c r="D91" i="5"/>
  <c r="B194" i="1" l="1"/>
  <c r="E194" i="1" s="1"/>
  <c r="F194" i="1" s="1"/>
  <c r="F92" i="5"/>
  <c r="G92" i="5" s="1"/>
  <c r="H90" i="1" s="1"/>
  <c r="I90" i="1" s="1"/>
  <c r="D92" i="5"/>
  <c r="B195" i="1" l="1"/>
  <c r="E195" i="1" s="1"/>
  <c r="F195" i="1" s="1"/>
  <c r="F93" i="5"/>
  <c r="G93" i="5" s="1"/>
  <c r="H91" i="1" s="1"/>
  <c r="I91" i="1" s="1"/>
  <c r="D93" i="5"/>
  <c r="B196" i="1" l="1"/>
  <c r="E196" i="1" s="1"/>
  <c r="F196" i="1" s="1"/>
  <c r="F94" i="5"/>
  <c r="G94" i="5" s="1"/>
  <c r="H92" i="1" s="1"/>
  <c r="I92" i="1" s="1"/>
  <c r="D94" i="5"/>
  <c r="B197" i="1" l="1"/>
  <c r="E197" i="1" s="1"/>
  <c r="F197" i="1" s="1"/>
  <c r="F95" i="5"/>
  <c r="G95" i="5" s="1"/>
  <c r="H93" i="1" s="1"/>
  <c r="I93" i="1" s="1"/>
  <c r="D95" i="5"/>
  <c r="B198" i="1" l="1"/>
  <c r="E198" i="1" s="1"/>
  <c r="F198" i="1" s="1"/>
  <c r="F96" i="5"/>
  <c r="G96" i="5" s="1"/>
  <c r="H94" i="1" s="1"/>
  <c r="I94" i="1" s="1"/>
  <c r="D96" i="5"/>
  <c r="B199" i="1" l="1"/>
  <c r="E199" i="1" s="1"/>
  <c r="F199" i="1" s="1"/>
  <c r="F97" i="5"/>
  <c r="G97" i="5" s="1"/>
  <c r="H95" i="1" s="1"/>
  <c r="I95" i="1" s="1"/>
  <c r="D97" i="5"/>
  <c r="B200" i="1" l="1"/>
  <c r="E200" i="1" s="1"/>
  <c r="F200" i="1" s="1"/>
  <c r="F98" i="5"/>
  <c r="G98" i="5" s="1"/>
  <c r="H96" i="1" s="1"/>
  <c r="I96" i="1" s="1"/>
  <c r="D98" i="5"/>
  <c r="B201" i="1" l="1"/>
  <c r="E201" i="1" s="1"/>
  <c r="F201" i="1" s="1"/>
  <c r="F99" i="5"/>
  <c r="G99" i="5" s="1"/>
  <c r="H97" i="1" s="1"/>
  <c r="I97" i="1" s="1"/>
  <c r="D99" i="5"/>
  <c r="B202" i="1" l="1"/>
  <c r="E202" i="1" s="1"/>
  <c r="F202" i="1" s="1"/>
  <c r="F100" i="5"/>
  <c r="D100" i="5"/>
  <c r="B203" i="1" l="1"/>
  <c r="E203" i="1" s="1"/>
  <c r="F203" i="1" s="1"/>
  <c r="G100" i="5"/>
  <c r="F101" i="5"/>
  <c r="G101" i="5" s="1"/>
  <c r="G138" i="5" s="1"/>
  <c r="H148" i="1" l="1"/>
  <c r="I148" i="1" s="1"/>
  <c r="H99" i="1"/>
  <c r="I99" i="1" s="1"/>
  <c r="H244" i="1"/>
  <c r="H105" i="1"/>
  <c r="I105" i="1" s="1"/>
  <c r="H165" i="1"/>
  <c r="I165" i="1" s="1"/>
  <c r="H208" i="1"/>
  <c r="H100" i="1"/>
  <c r="I100" i="1" s="1"/>
  <c r="H264" i="1"/>
  <c r="H216" i="1"/>
  <c r="H227" i="1"/>
  <c r="H102" i="1"/>
  <c r="I102" i="1" s="1"/>
  <c r="H207" i="1"/>
  <c r="H221" i="1"/>
  <c r="H213" i="1"/>
  <c r="H195" i="1"/>
  <c r="I195" i="1" s="1"/>
  <c r="H259" i="1"/>
  <c r="H120" i="1"/>
  <c r="I120" i="1" s="1"/>
  <c r="H197" i="1"/>
  <c r="I197" i="1" s="1"/>
  <c r="H196" i="1"/>
  <c r="I196" i="1" s="1"/>
  <c r="H184" i="1"/>
  <c r="I184" i="1" s="1"/>
  <c r="H109" i="1"/>
  <c r="I109" i="1" s="1"/>
  <c r="H152" i="1"/>
  <c r="I152" i="1" s="1"/>
  <c r="H276" i="1"/>
  <c r="H268" i="1"/>
  <c r="H123" i="1"/>
  <c r="I123" i="1" s="1"/>
  <c r="H181" i="1"/>
  <c r="I181" i="1" s="1"/>
  <c r="H296" i="1"/>
  <c r="H309" i="1"/>
  <c r="H243" i="1"/>
  <c r="H248" i="1"/>
  <c r="H191" i="1"/>
  <c r="I191" i="1" s="1"/>
  <c r="H155" i="1"/>
  <c r="I155" i="1" s="1"/>
  <c r="H203" i="1"/>
  <c r="H251" i="1"/>
  <c r="H103" i="1"/>
  <c r="I103" i="1" s="1"/>
  <c r="H205" i="1"/>
  <c r="H135" i="1"/>
  <c r="I135" i="1" s="1"/>
  <c r="H159" i="1"/>
  <c r="I159" i="1" s="1"/>
  <c r="H280" i="1"/>
  <c r="H232" i="1"/>
  <c r="H247" i="1"/>
  <c r="H304" i="1"/>
  <c r="H115" i="1"/>
  <c r="I115" i="1" s="1"/>
  <c r="H106" i="1"/>
  <c r="I106" i="1" s="1"/>
  <c r="H292" i="1"/>
  <c r="H132" i="1"/>
  <c r="I132" i="1" s="1"/>
  <c r="H187" i="1"/>
  <c r="I187" i="1" s="1"/>
  <c r="H151" i="1"/>
  <c r="I151" i="1" s="1"/>
  <c r="H224" i="1"/>
  <c r="H157" i="1"/>
  <c r="I157" i="1" s="1"/>
  <c r="H171" i="1"/>
  <c r="I171" i="1" s="1"/>
  <c r="H124" i="1"/>
  <c r="I124" i="1" s="1"/>
  <c r="H141" i="1"/>
  <c r="I141" i="1" s="1"/>
  <c r="H175" i="1"/>
  <c r="I175" i="1" s="1"/>
  <c r="H237" i="1"/>
  <c r="H253" i="1"/>
  <c r="H223" i="1"/>
  <c r="H240" i="1"/>
  <c r="H272" i="1"/>
  <c r="H173" i="1"/>
  <c r="I173" i="1" s="1"/>
  <c r="H140" i="1"/>
  <c r="I140" i="1" s="1"/>
  <c r="H288" i="1"/>
  <c r="H163" i="1"/>
  <c r="I163" i="1" s="1"/>
  <c r="H116" i="1"/>
  <c r="I116" i="1" s="1"/>
  <c r="H179" i="1"/>
  <c r="I179" i="1" s="1"/>
  <c r="H127" i="1"/>
  <c r="I127" i="1" s="1"/>
  <c r="H133" i="1"/>
  <c r="I133" i="1" s="1"/>
  <c r="H107" i="1"/>
  <c r="I107" i="1" s="1"/>
  <c r="H101" i="1"/>
  <c r="I101" i="1" s="1"/>
  <c r="H245" i="1"/>
  <c r="H128" i="1"/>
  <c r="I128" i="1" s="1"/>
  <c r="H284" i="1"/>
  <c r="H285" i="1"/>
  <c r="H111" i="1"/>
  <c r="I111" i="1" s="1"/>
  <c r="H125" i="1"/>
  <c r="I125" i="1" s="1"/>
  <c r="H261" i="1"/>
  <c r="H301" i="1"/>
  <c r="H200" i="1"/>
  <c r="I200" i="1" s="1"/>
  <c r="H254" i="1"/>
  <c r="H298" i="1"/>
  <c r="H314" i="1"/>
  <c r="H131" i="1"/>
  <c r="I131" i="1" s="1"/>
  <c r="H303" i="1"/>
  <c r="H169" i="1"/>
  <c r="I169" i="1" s="1"/>
  <c r="H144" i="1"/>
  <c r="I144" i="1" s="1"/>
  <c r="H260" i="1"/>
  <c r="H230" i="1"/>
  <c r="H188" i="1"/>
  <c r="I188" i="1" s="1"/>
  <c r="H145" i="1"/>
  <c r="I145" i="1" s="1"/>
  <c r="H242" i="1"/>
  <c r="H178" i="1"/>
  <c r="I178" i="1" s="1"/>
  <c r="H271" i="1"/>
  <c r="H252" i="1"/>
  <c r="H143" i="1"/>
  <c r="I143" i="1" s="1"/>
  <c r="H228" i="1"/>
  <c r="H142" i="1"/>
  <c r="I142" i="1" s="1"/>
  <c r="H104" i="1"/>
  <c r="I104" i="1" s="1"/>
  <c r="H168" i="1"/>
  <c r="I168" i="1" s="1"/>
  <c r="H174" i="1"/>
  <c r="I174" i="1" s="1"/>
  <c r="H149" i="1"/>
  <c r="I149" i="1" s="1"/>
  <c r="H198" i="1"/>
  <c r="I198" i="1" s="1"/>
  <c r="H202" i="1"/>
  <c r="I202" i="1" s="1"/>
  <c r="H308" i="1"/>
  <c r="H219" i="1"/>
  <c r="H281" i="1"/>
  <c r="H186" i="1"/>
  <c r="I186" i="1" s="1"/>
  <c r="H273" i="1"/>
  <c r="H189" i="1"/>
  <c r="I189" i="1" s="1"/>
  <c r="H160" i="1"/>
  <c r="I160" i="1" s="1"/>
  <c r="H130" i="1"/>
  <c r="I130" i="1" s="1"/>
  <c r="H306" i="1"/>
  <c r="H270" i="1"/>
  <c r="H258" i="1"/>
  <c r="H185" i="1"/>
  <c r="I185" i="1" s="1"/>
  <c r="H121" i="1"/>
  <c r="I121" i="1" s="1"/>
  <c r="H147" i="1"/>
  <c r="I147" i="1" s="1"/>
  <c r="H126" i="1"/>
  <c r="I126" i="1" s="1"/>
  <c r="H201" i="1"/>
  <c r="I201" i="1" s="1"/>
  <c r="H307" i="1"/>
  <c r="H293" i="1"/>
  <c r="H229" i="1"/>
  <c r="H311" i="1"/>
  <c r="H119" i="1"/>
  <c r="I119" i="1" s="1"/>
  <c r="H239" i="1"/>
  <c r="H194" i="1"/>
  <c r="I194" i="1" s="1"/>
  <c r="H313" i="1"/>
  <c r="H279" i="1"/>
  <c r="H158" i="1"/>
  <c r="I158" i="1" s="1"/>
  <c r="H122" i="1"/>
  <c r="I122" i="1" s="1"/>
  <c r="H269" i="1"/>
  <c r="H290" i="1"/>
  <c r="H167" i="1"/>
  <c r="I167" i="1" s="1"/>
  <c r="H235" i="1"/>
  <c r="H136" i="1"/>
  <c r="I136" i="1" s="1"/>
  <c r="H112" i="1"/>
  <c r="I112" i="1" s="1"/>
  <c r="H190" i="1"/>
  <c r="I190" i="1" s="1"/>
  <c r="H164" i="1"/>
  <c r="I164" i="1" s="1"/>
  <c r="H299" i="1"/>
  <c r="H294" i="1"/>
  <c r="H267" i="1"/>
  <c r="H138" i="1"/>
  <c r="I138" i="1" s="1"/>
  <c r="H199" i="1"/>
  <c r="I199" i="1" s="1"/>
  <c r="H263" i="1"/>
  <c r="H180" i="1"/>
  <c r="I180" i="1" s="1"/>
  <c r="H220" i="1"/>
  <c r="H265" i="1"/>
  <c r="H217" i="1"/>
  <c r="H156" i="1"/>
  <c r="I156" i="1" s="1"/>
  <c r="H117" i="1"/>
  <c r="I117" i="1" s="1"/>
  <c r="H262" i="1"/>
  <c r="H134" i="1"/>
  <c r="I134" i="1" s="1"/>
  <c r="H214" i="1"/>
  <c r="H154" i="1"/>
  <c r="I154" i="1" s="1"/>
  <c r="H172" i="1"/>
  <c r="I172" i="1" s="1"/>
  <c r="H274" i="1"/>
  <c r="H139" i="1"/>
  <c r="I139" i="1" s="1"/>
  <c r="H234" i="1"/>
  <c r="H277" i="1"/>
  <c r="H275" i="1"/>
  <c r="H113" i="1"/>
  <c r="I113" i="1" s="1"/>
  <c r="H204" i="1"/>
  <c r="H302" i="1"/>
  <c r="H212" i="1"/>
  <c r="H206" i="1"/>
  <c r="H236" i="1"/>
  <c r="H283" i="1"/>
  <c r="H193" i="1"/>
  <c r="I193" i="1" s="1"/>
  <c r="H114" i="1"/>
  <c r="I114" i="1" s="1"/>
  <c r="H231" i="1"/>
  <c r="H233" i="1"/>
  <c r="H177" i="1"/>
  <c r="I177" i="1" s="1"/>
  <c r="H295" i="1"/>
  <c r="H176" i="1"/>
  <c r="I176" i="1" s="1"/>
  <c r="H215" i="1"/>
  <c r="H256" i="1"/>
  <c r="H255" i="1"/>
  <c r="H118" i="1"/>
  <c r="I118" i="1" s="1"/>
  <c r="H238" i="1"/>
  <c r="H110" i="1"/>
  <c r="I110" i="1" s="1"/>
  <c r="H170" i="1"/>
  <c r="I170" i="1" s="1"/>
  <c r="H282" i="1"/>
  <c r="H153" i="1"/>
  <c r="I153" i="1" s="1"/>
  <c r="H312" i="1"/>
  <c r="H192" i="1"/>
  <c r="I192" i="1" s="1"/>
  <c r="H278" i="1"/>
  <c r="H137" i="1"/>
  <c r="I137" i="1" s="1"/>
  <c r="H218" i="1"/>
  <c r="H300" i="1"/>
  <c r="H246" i="1"/>
  <c r="H266" i="1"/>
  <c r="H225" i="1"/>
  <c r="H209" i="1"/>
  <c r="H291" i="1"/>
  <c r="H297" i="1"/>
  <c r="H226" i="1"/>
  <c r="H161" i="1"/>
  <c r="I161" i="1" s="1"/>
  <c r="H166" i="1"/>
  <c r="I166" i="1" s="1"/>
  <c r="H286" i="1"/>
  <c r="H162" i="1"/>
  <c r="I162" i="1" s="1"/>
  <c r="H108" i="1"/>
  <c r="I108" i="1" s="1"/>
  <c r="H250" i="1"/>
  <c r="H257" i="1"/>
  <c r="H287" i="1"/>
  <c r="H210" i="1"/>
  <c r="H241" i="1"/>
  <c r="H222" i="1"/>
  <c r="H183" i="1"/>
  <c r="I183" i="1" s="1"/>
  <c r="H129" i="1"/>
  <c r="I129" i="1" s="1"/>
  <c r="H150" i="1"/>
  <c r="I150" i="1" s="1"/>
  <c r="H211" i="1"/>
  <c r="H146" i="1"/>
  <c r="I146" i="1" s="1"/>
  <c r="H289" i="1"/>
  <c r="H310" i="1"/>
  <c r="H182" i="1"/>
  <c r="I182" i="1" s="1"/>
  <c r="H249" i="1"/>
  <c r="H305" i="1"/>
  <c r="B204" i="1"/>
  <c r="E204" i="1" s="1"/>
  <c r="F204" i="1" s="1"/>
  <c r="L22" i="5"/>
  <c r="M22" i="5" s="1"/>
  <c r="H98" i="1"/>
  <c r="I98" i="1" s="1"/>
  <c r="B205" i="1" l="1"/>
  <c r="E205" i="1" s="1"/>
  <c r="F205" i="1" s="1"/>
  <c r="I203" i="1"/>
  <c r="I204" i="1" l="1"/>
  <c r="B206" i="1"/>
  <c r="E206" i="1" l="1"/>
  <c r="F206" i="1" s="1"/>
  <c r="B207" i="1"/>
  <c r="I205" i="1"/>
  <c r="E207" i="1" l="1"/>
  <c r="F207" i="1" s="1"/>
  <c r="I206" i="1"/>
  <c r="B208" i="1"/>
  <c r="E208" i="1" l="1"/>
  <c r="F208" i="1" s="1"/>
  <c r="I207" i="1"/>
  <c r="B209" i="1"/>
  <c r="E209" i="1" l="1"/>
  <c r="F209" i="1" s="1"/>
  <c r="B210" i="1"/>
  <c r="I208" i="1"/>
  <c r="E210" i="1" l="1"/>
  <c r="F210" i="1" s="1"/>
  <c r="I209" i="1"/>
  <c r="B211" i="1"/>
  <c r="E211" i="1" l="1"/>
  <c r="F211" i="1" s="1"/>
  <c r="B212" i="1"/>
  <c r="I210" i="1"/>
  <c r="E212" i="1" l="1"/>
  <c r="F212" i="1" s="1"/>
  <c r="I211" i="1"/>
  <c r="B213" i="1"/>
  <c r="E213" i="1" l="1"/>
  <c r="F213" i="1" s="1"/>
  <c r="I212" i="1"/>
  <c r="B214" i="1"/>
  <c r="E214" i="1" l="1"/>
  <c r="F214" i="1" s="1"/>
  <c r="B215" i="1"/>
  <c r="E215" i="1" s="1"/>
  <c r="F215" i="1" s="1"/>
  <c r="I213" i="1"/>
  <c r="I214" i="1" l="1"/>
  <c r="B216" i="1"/>
  <c r="E216" i="1" s="1"/>
  <c r="F216" i="1" s="1"/>
  <c r="I215" i="1" l="1"/>
  <c r="B217" i="1"/>
  <c r="E217" i="1" s="1"/>
  <c r="F217" i="1" s="1"/>
  <c r="I216" i="1" l="1"/>
  <c r="B218" i="1"/>
  <c r="E218" i="1" s="1"/>
  <c r="F218" i="1" s="1"/>
  <c r="B219" i="1" l="1"/>
  <c r="E219" i="1" s="1"/>
  <c r="F219" i="1" s="1"/>
  <c r="I217" i="1"/>
  <c r="I218" i="1" l="1"/>
  <c r="B220" i="1"/>
  <c r="E220" i="1" s="1"/>
  <c r="F220" i="1" s="1"/>
  <c r="B221" i="1" l="1"/>
  <c r="E221" i="1" s="1"/>
  <c r="F221" i="1" s="1"/>
  <c r="I219" i="1"/>
  <c r="I220" i="1" l="1"/>
  <c r="B222" i="1"/>
  <c r="E222" i="1" s="1"/>
  <c r="F222" i="1" s="1"/>
  <c r="I221" i="1" l="1"/>
  <c r="B223" i="1"/>
  <c r="E223" i="1" s="1"/>
  <c r="F223" i="1" s="1"/>
  <c r="I222" i="1" l="1"/>
  <c r="B224" i="1"/>
  <c r="E224" i="1" s="1"/>
  <c r="F224" i="1" s="1"/>
  <c r="I223" i="1" l="1"/>
  <c r="B225" i="1"/>
  <c r="E225" i="1" s="1"/>
  <c r="F225" i="1" s="1"/>
  <c r="I224" i="1" l="1"/>
  <c r="B226" i="1"/>
  <c r="E226" i="1" s="1"/>
  <c r="F226" i="1" s="1"/>
  <c r="I225" i="1" l="1"/>
  <c r="B227" i="1"/>
  <c r="E227" i="1" s="1"/>
  <c r="F227" i="1" s="1"/>
  <c r="I226" i="1" l="1"/>
  <c r="B228" i="1"/>
  <c r="E228" i="1" s="1"/>
  <c r="F228" i="1" s="1"/>
  <c r="I227" i="1" l="1"/>
  <c r="B229" i="1"/>
  <c r="E229" i="1" s="1"/>
  <c r="F229" i="1" s="1"/>
  <c r="I228" i="1" l="1"/>
  <c r="B230" i="1"/>
  <c r="E230" i="1" s="1"/>
  <c r="F230" i="1" s="1"/>
  <c r="I229" i="1" l="1"/>
  <c r="B231" i="1"/>
  <c r="E231" i="1" s="1"/>
  <c r="F231" i="1" s="1"/>
  <c r="I230" i="1" l="1"/>
  <c r="B232" i="1"/>
  <c r="E232" i="1" s="1"/>
  <c r="F232" i="1" s="1"/>
  <c r="I231" i="1" l="1"/>
  <c r="B233" i="1"/>
  <c r="E233" i="1" s="1"/>
  <c r="F233" i="1" s="1"/>
  <c r="I232" i="1" l="1"/>
  <c r="B234" i="1"/>
  <c r="E234" i="1" s="1"/>
  <c r="F234" i="1" s="1"/>
  <c r="I233" i="1" l="1"/>
  <c r="B235" i="1"/>
  <c r="E235" i="1" s="1"/>
  <c r="F235" i="1" s="1"/>
  <c r="I234" i="1" l="1"/>
  <c r="B236" i="1"/>
  <c r="E236" i="1" s="1"/>
  <c r="F236" i="1" s="1"/>
  <c r="I235" i="1" l="1"/>
  <c r="B237" i="1"/>
  <c r="E237" i="1" s="1"/>
  <c r="F237" i="1" s="1"/>
  <c r="I236" i="1" l="1"/>
  <c r="B238" i="1"/>
  <c r="E238" i="1" s="1"/>
  <c r="F238" i="1" s="1"/>
  <c r="B239" i="1" l="1"/>
  <c r="E239" i="1" s="1"/>
  <c r="F239" i="1" s="1"/>
  <c r="I237" i="1"/>
  <c r="I238" i="1" l="1"/>
  <c r="B240" i="1"/>
  <c r="E240" i="1" s="1"/>
  <c r="F240" i="1" s="1"/>
  <c r="I239" i="1" l="1"/>
  <c r="B241" i="1"/>
  <c r="E241" i="1" s="1"/>
  <c r="F241" i="1" s="1"/>
  <c r="I240" i="1" l="1"/>
  <c r="B242" i="1"/>
  <c r="E242" i="1" s="1"/>
  <c r="F242" i="1" s="1"/>
  <c r="I241" i="1" l="1"/>
  <c r="B243" i="1"/>
  <c r="E243" i="1" s="1"/>
  <c r="F243" i="1" s="1"/>
  <c r="I242" i="1" l="1"/>
  <c r="B244" i="1"/>
  <c r="E244" i="1" s="1"/>
  <c r="F244" i="1" s="1"/>
  <c r="B245" i="1" l="1"/>
  <c r="E245" i="1" s="1"/>
  <c r="F245" i="1" s="1"/>
  <c r="I243" i="1"/>
  <c r="I244" i="1" l="1"/>
  <c r="B246" i="1"/>
  <c r="E246" i="1" s="1"/>
  <c r="F246" i="1" s="1"/>
  <c r="I245" i="1" l="1"/>
  <c r="B247" i="1"/>
  <c r="E247" i="1" s="1"/>
  <c r="F247" i="1" s="1"/>
  <c r="I246" i="1" l="1"/>
  <c r="B248" i="1"/>
  <c r="E248" i="1" s="1"/>
  <c r="F248" i="1" s="1"/>
  <c r="B249" i="1" l="1"/>
  <c r="E249" i="1" s="1"/>
  <c r="F249" i="1" s="1"/>
  <c r="I247" i="1"/>
  <c r="I248" i="1" l="1"/>
  <c r="B250" i="1"/>
  <c r="E250" i="1" s="1"/>
  <c r="F250" i="1" s="1"/>
  <c r="B251" i="1" l="1"/>
  <c r="E251" i="1" s="1"/>
  <c r="F251" i="1" s="1"/>
  <c r="I249" i="1"/>
  <c r="I250" i="1" l="1"/>
  <c r="B252" i="1"/>
  <c r="E252" i="1" s="1"/>
  <c r="F252" i="1" s="1"/>
  <c r="B253" i="1" l="1"/>
  <c r="E253" i="1" s="1"/>
  <c r="F253" i="1" s="1"/>
  <c r="I251" i="1"/>
  <c r="I252" i="1" l="1"/>
  <c r="B254" i="1"/>
  <c r="E254" i="1" s="1"/>
  <c r="F254" i="1" s="1"/>
  <c r="I253" i="1" l="1"/>
  <c r="B255" i="1"/>
  <c r="E255" i="1" s="1"/>
  <c r="F255" i="1" s="1"/>
  <c r="I254" i="1" l="1"/>
  <c r="B256" i="1"/>
  <c r="E256" i="1" s="1"/>
  <c r="F256" i="1" s="1"/>
  <c r="I255" i="1" l="1"/>
  <c r="B257" i="1"/>
  <c r="E257" i="1" s="1"/>
  <c r="F257" i="1" s="1"/>
  <c r="I256" i="1" l="1"/>
  <c r="B258" i="1"/>
  <c r="E258" i="1" s="1"/>
  <c r="F258" i="1" s="1"/>
  <c r="B259" i="1" l="1"/>
  <c r="E259" i="1" s="1"/>
  <c r="F259" i="1" s="1"/>
  <c r="I257" i="1"/>
  <c r="I258" i="1" l="1"/>
  <c r="B260" i="1"/>
  <c r="E260" i="1" s="1"/>
  <c r="F260" i="1" s="1"/>
  <c r="I259" i="1" l="1"/>
  <c r="B261" i="1"/>
  <c r="E261" i="1" s="1"/>
  <c r="F261" i="1" s="1"/>
  <c r="I260" i="1" l="1"/>
  <c r="B262" i="1"/>
  <c r="E262" i="1" s="1"/>
  <c r="F262" i="1" s="1"/>
  <c r="I261" i="1" l="1"/>
  <c r="B263" i="1"/>
  <c r="E263" i="1" s="1"/>
  <c r="F263" i="1" s="1"/>
  <c r="B264" i="1" l="1"/>
  <c r="E264" i="1" s="1"/>
  <c r="F264" i="1" s="1"/>
  <c r="I262" i="1"/>
  <c r="I263" i="1" l="1"/>
  <c r="B265" i="1"/>
  <c r="E265" i="1" s="1"/>
  <c r="F265" i="1" s="1"/>
  <c r="I264" i="1" l="1"/>
  <c r="B266" i="1"/>
  <c r="E266" i="1" s="1"/>
  <c r="F266" i="1" s="1"/>
  <c r="I265" i="1" l="1"/>
  <c r="B267" i="1"/>
  <c r="E267" i="1" s="1"/>
  <c r="F267" i="1" s="1"/>
  <c r="I266" i="1" l="1"/>
  <c r="B268" i="1"/>
  <c r="E268" i="1" s="1"/>
  <c r="F268" i="1" s="1"/>
  <c r="I267" i="1" l="1"/>
  <c r="B269" i="1"/>
  <c r="E269" i="1" s="1"/>
  <c r="F269" i="1" s="1"/>
  <c r="I268" i="1" l="1"/>
  <c r="B270" i="1"/>
  <c r="E270" i="1" s="1"/>
  <c r="F270" i="1" s="1"/>
  <c r="I269" i="1" l="1"/>
  <c r="B271" i="1"/>
  <c r="E271" i="1" s="1"/>
  <c r="F271" i="1" s="1"/>
  <c r="I270" i="1" l="1"/>
  <c r="B272" i="1"/>
  <c r="E272" i="1" s="1"/>
  <c r="F272" i="1" s="1"/>
  <c r="I271" i="1" l="1"/>
  <c r="B273" i="1"/>
  <c r="E273" i="1" s="1"/>
  <c r="F273" i="1" s="1"/>
  <c r="B274" i="1" l="1"/>
  <c r="E274" i="1" s="1"/>
  <c r="F274" i="1" s="1"/>
  <c r="I272" i="1"/>
  <c r="I273" i="1" l="1"/>
  <c r="B275" i="1"/>
  <c r="E275" i="1" s="1"/>
  <c r="F275" i="1" s="1"/>
  <c r="I274" i="1" l="1"/>
  <c r="B276" i="1"/>
  <c r="E276" i="1" s="1"/>
  <c r="F276" i="1" s="1"/>
  <c r="I275" i="1" l="1"/>
  <c r="B277" i="1"/>
  <c r="E277" i="1" s="1"/>
  <c r="F277" i="1" s="1"/>
  <c r="I276" i="1" l="1"/>
  <c r="B278" i="1"/>
  <c r="E278" i="1" s="1"/>
  <c r="F278" i="1" s="1"/>
  <c r="B279" i="1" l="1"/>
  <c r="E279" i="1" s="1"/>
  <c r="F279" i="1" s="1"/>
  <c r="I277" i="1"/>
  <c r="I278" i="1" l="1"/>
  <c r="B280" i="1"/>
  <c r="E280" i="1" s="1"/>
  <c r="F280" i="1" s="1"/>
  <c r="I279" i="1" l="1"/>
  <c r="B281" i="1"/>
  <c r="E281" i="1" s="1"/>
  <c r="F281" i="1" s="1"/>
  <c r="B282" i="1" l="1"/>
  <c r="E282" i="1" s="1"/>
  <c r="F282" i="1" s="1"/>
  <c r="I280" i="1"/>
  <c r="I281" i="1" l="1"/>
  <c r="B283" i="1"/>
  <c r="E283" i="1" s="1"/>
  <c r="F283" i="1" s="1"/>
  <c r="I282" i="1" l="1"/>
  <c r="B284" i="1"/>
  <c r="E284" i="1" s="1"/>
  <c r="F284" i="1" s="1"/>
  <c r="I283" i="1" l="1"/>
  <c r="B285" i="1"/>
  <c r="E285" i="1" s="1"/>
  <c r="F285" i="1" s="1"/>
  <c r="I284" i="1" l="1"/>
  <c r="B286" i="1"/>
  <c r="E286" i="1" s="1"/>
  <c r="F286" i="1" s="1"/>
  <c r="I285" i="1" l="1"/>
  <c r="B287" i="1"/>
  <c r="E287" i="1" s="1"/>
  <c r="F287" i="1" s="1"/>
  <c r="I286" i="1" l="1"/>
  <c r="B288" i="1"/>
  <c r="E288" i="1" s="1"/>
  <c r="F288" i="1" s="1"/>
  <c r="B289" i="1" l="1"/>
  <c r="E289" i="1" s="1"/>
  <c r="F289" i="1" s="1"/>
  <c r="I287" i="1"/>
  <c r="I288" i="1" l="1"/>
  <c r="B290" i="1"/>
  <c r="E290" i="1" s="1"/>
  <c r="F290" i="1" s="1"/>
  <c r="I289" i="1" l="1"/>
  <c r="B291" i="1"/>
  <c r="E291" i="1" s="1"/>
  <c r="F291" i="1" s="1"/>
  <c r="B292" i="1" l="1"/>
  <c r="E292" i="1" s="1"/>
  <c r="F292" i="1" s="1"/>
  <c r="I290" i="1"/>
  <c r="I291" i="1" l="1"/>
  <c r="B293" i="1"/>
  <c r="E293" i="1" s="1"/>
  <c r="F293" i="1" s="1"/>
  <c r="I292" i="1" l="1"/>
  <c r="B294" i="1"/>
  <c r="E294" i="1" s="1"/>
  <c r="F294" i="1" s="1"/>
  <c r="I293" i="1" l="1"/>
  <c r="B295" i="1"/>
  <c r="E295" i="1" s="1"/>
  <c r="F295" i="1" s="1"/>
  <c r="I294" i="1" l="1"/>
  <c r="B296" i="1"/>
  <c r="E296" i="1" s="1"/>
  <c r="F296" i="1" s="1"/>
  <c r="B297" i="1" l="1"/>
  <c r="E297" i="1" s="1"/>
  <c r="F297" i="1" s="1"/>
  <c r="I295" i="1"/>
  <c r="I296" i="1" l="1"/>
  <c r="B298" i="1"/>
  <c r="E298" i="1" s="1"/>
  <c r="F298" i="1" s="1"/>
  <c r="I297" i="1" l="1"/>
  <c r="B299" i="1"/>
  <c r="E299" i="1" s="1"/>
  <c r="F299" i="1" s="1"/>
  <c r="B300" i="1" l="1"/>
  <c r="E300" i="1" s="1"/>
  <c r="F300" i="1" s="1"/>
  <c r="I298" i="1"/>
  <c r="I299" i="1" l="1"/>
  <c r="B301" i="1"/>
  <c r="E301" i="1" s="1"/>
  <c r="F301" i="1" s="1"/>
  <c r="B302" i="1" l="1"/>
  <c r="E302" i="1" s="1"/>
  <c r="F302" i="1" s="1"/>
  <c r="I300" i="1"/>
  <c r="I301" i="1" l="1"/>
  <c r="B303" i="1"/>
  <c r="E303" i="1" s="1"/>
  <c r="F303" i="1" s="1"/>
  <c r="I302" i="1" l="1"/>
  <c r="B304" i="1"/>
  <c r="E304" i="1" s="1"/>
  <c r="F304" i="1" s="1"/>
  <c r="I303" i="1" l="1"/>
  <c r="B305" i="1"/>
  <c r="E305" i="1" s="1"/>
  <c r="F305" i="1" s="1"/>
  <c r="I304" i="1" l="1"/>
  <c r="B306" i="1"/>
  <c r="E306" i="1" s="1"/>
  <c r="F306" i="1" s="1"/>
  <c r="I305" i="1" l="1"/>
  <c r="B307" i="1"/>
  <c r="E307" i="1" s="1"/>
  <c r="F307" i="1" s="1"/>
  <c r="B308" i="1" l="1"/>
  <c r="E308" i="1" s="1"/>
  <c r="F308" i="1" s="1"/>
  <c r="I306" i="1"/>
  <c r="I307" i="1" l="1"/>
  <c r="B309" i="1"/>
  <c r="E309" i="1" s="1"/>
  <c r="F309" i="1" s="1"/>
  <c r="I308" i="1" l="1"/>
  <c r="B310" i="1"/>
  <c r="E310" i="1" s="1"/>
  <c r="F310" i="1" s="1"/>
  <c r="B311" i="1" l="1"/>
  <c r="E311" i="1" s="1"/>
  <c r="F311" i="1" s="1"/>
  <c r="I309" i="1"/>
  <c r="I310" i="1" l="1"/>
  <c r="B312" i="1"/>
  <c r="E312" i="1" s="1"/>
  <c r="F312" i="1" s="1"/>
  <c r="B313" i="1" l="1"/>
  <c r="E313" i="1" s="1"/>
  <c r="F313" i="1" s="1"/>
  <c r="I311" i="1"/>
  <c r="I312" i="1" l="1"/>
  <c r="B314" i="1"/>
  <c r="J135" i="1" l="1"/>
  <c r="K135" i="1" s="1"/>
  <c r="J183" i="1"/>
  <c r="K183" i="1" s="1"/>
  <c r="J111" i="1"/>
  <c r="K111" i="1" s="1"/>
  <c r="J171" i="1"/>
  <c r="K171" i="1" s="1"/>
  <c r="J99" i="1"/>
  <c r="K99" i="1" s="1"/>
  <c r="J147" i="1"/>
  <c r="K147" i="1" s="1"/>
  <c r="J159" i="1"/>
  <c r="K159" i="1" s="1"/>
  <c r="J123" i="1"/>
  <c r="K123" i="1" s="1"/>
  <c r="J195" i="1"/>
  <c r="K195" i="1" s="1"/>
  <c r="E314" i="1"/>
  <c r="I313" i="1"/>
  <c r="F314" i="1" l="1"/>
  <c r="I314" i="1" l="1"/>
  <c r="E12" i="1" s="1"/>
  <c r="E11" i="1"/>
  <c r="J15" i="1"/>
  <c r="K15" i="1" s="1"/>
  <c r="J27" i="1"/>
  <c r="K27" i="1" s="1"/>
  <c r="J39" i="1"/>
  <c r="K39" i="1" s="1"/>
  <c r="J51" i="1"/>
  <c r="K51" i="1" s="1"/>
  <c r="J63" i="1"/>
  <c r="K63" i="1" s="1"/>
  <c r="J75" i="1"/>
  <c r="K75" i="1" s="1"/>
  <c r="J87" i="1"/>
  <c r="K87" i="1" s="1"/>
  <c r="J207" i="1"/>
  <c r="K207" i="1" s="1"/>
  <c r="J219" i="1"/>
  <c r="K219" i="1" s="1"/>
  <c r="J231" i="1"/>
  <c r="K231" i="1" s="1"/>
  <c r="J243" i="1"/>
  <c r="K243" i="1" s="1"/>
  <c r="J255" i="1"/>
  <c r="K255" i="1" s="1"/>
  <c r="J267" i="1"/>
  <c r="K267" i="1" s="1"/>
  <c r="J279" i="1"/>
  <c r="K279" i="1" s="1"/>
  <c r="J291" i="1"/>
  <c r="K291" i="1" s="1"/>
  <c r="J303" i="1"/>
  <c r="K303" i="1" s="1"/>
  <c r="E9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dvc</author>
  </authors>
  <commentList>
    <comment ref="D5" authorId="0" shapeId="0" xr:uid="{B1481F33-72E5-4338-8EE1-E2E2EFC8BB31}">
      <text>
        <r>
          <rPr>
            <b/>
            <sz val="9"/>
            <color indexed="81"/>
            <rFont val="Tahoma"/>
            <family val="2"/>
          </rPr>
          <t>dvc:</t>
        </r>
        <r>
          <rPr>
            <sz val="9"/>
            <color indexed="81"/>
            <rFont val="Tahoma"/>
            <family val="2"/>
          </rPr>
          <t xml:space="preserve">
Nhập thông tin số tiền vay theo Hợp đồng tín dụng với khách hàng</t>
        </r>
      </text>
    </comment>
    <comment ref="D7" authorId="0" shapeId="0" xr:uid="{ED6B41F9-B6CD-42AD-B748-4970309091B0}">
      <text>
        <r>
          <rPr>
            <b/>
            <sz val="9"/>
            <color indexed="81"/>
            <rFont val="Tahoma"/>
            <family val="2"/>
          </rPr>
          <t>dvc:</t>
        </r>
        <r>
          <rPr>
            <sz val="9"/>
            <color indexed="81"/>
            <rFont val="Tahoma"/>
            <family val="2"/>
          </rPr>
          <t xml:space="preserve">
Nhập thông tin số tháng vay của khách hàng</t>
        </r>
      </text>
    </comment>
  </commentList>
</comments>
</file>

<file path=xl/sharedStrings.xml><?xml version="1.0" encoding="utf-8"?>
<sst xmlns="http://schemas.openxmlformats.org/spreadsheetml/2006/main" count="376" uniqueCount="69">
  <si>
    <t>( kWh )</t>
  </si>
  <si>
    <t>Tháng</t>
  </si>
  <si>
    <t>Điện Năng</t>
  </si>
  <si>
    <t>Tháng 1</t>
  </si>
  <si>
    <t>Tháng 2</t>
  </si>
  <si>
    <t>Tháng 3</t>
  </si>
  <si>
    <t>Tháng 4</t>
  </si>
  <si>
    <t>Tháng 5</t>
  </si>
  <si>
    <t>Tháng 6</t>
  </si>
  <si>
    <t>Tháng 7</t>
  </si>
  <si>
    <t>Tháng 8</t>
  </si>
  <si>
    <t>Tháng 9</t>
  </si>
  <si>
    <t>Tháng 10</t>
  </si>
  <si>
    <t>Tháng 11</t>
  </si>
  <si>
    <t>Tháng 12</t>
  </si>
  <si>
    <t>( VND )</t>
  </si>
  <si>
    <t>Năm</t>
  </si>
  <si>
    <t>Kỳ</t>
  </si>
  <si>
    <t>Tổng vốn đầu tư</t>
  </si>
  <si>
    <t>Vốn</t>
  </si>
  <si>
    <t>Vay Ngân Hàng</t>
  </si>
  <si>
    <t>Lãi suất ngân hàng</t>
  </si>
  <si>
    <t>Hạn vay</t>
  </si>
  <si>
    <t>Lịch trả nợ</t>
  </si>
  <si>
    <t>Tên khách hàng</t>
  </si>
  <si>
    <t>chị An</t>
  </si>
  <si>
    <t>Số tiền vay</t>
  </si>
  <si>
    <t>VND</t>
  </si>
  <si>
    <t>Thời gian vay</t>
  </si>
  <si>
    <t>tháng</t>
  </si>
  <si>
    <t>Lãi suất</t>
  </si>
  <si>
    <t>/năm</t>
  </si>
  <si>
    <t>Ngày giải ngân</t>
  </si>
  <si>
    <t>Kỳ trả nợ</t>
  </si>
  <si>
    <t>Gốc còn lại</t>
  </si>
  <si>
    <t>Gốc</t>
  </si>
  <si>
    <t>Lãi</t>
  </si>
  <si>
    <t>Tổng G+L</t>
  </si>
  <si>
    <t>Năm 1</t>
  </si>
  <si>
    <t>Năm 2</t>
  </si>
  <si>
    <t>Năm 3</t>
  </si>
  <si>
    <t>Năm 4</t>
  </si>
  <si>
    <t>Năm 5</t>
  </si>
  <si>
    <t>Năm 6</t>
  </si>
  <si>
    <t>Năm 7</t>
  </si>
  <si>
    <t>Y</t>
  </si>
  <si>
    <t>năm</t>
  </si>
  <si>
    <t>Bảo trì - Bảo vệ</t>
  </si>
  <si>
    <t>Trả Ngân Hàng</t>
  </si>
  <si>
    <t>Thu nhập</t>
  </si>
  <si>
    <t>Khấu hao thiết bị</t>
  </si>
  <si>
    <t>Mái Nhà</t>
  </si>
  <si>
    <t xml:space="preserve">Mặt Đất </t>
  </si>
  <si>
    <t>Mặt Nước</t>
  </si>
  <si>
    <t>Loại Hình</t>
  </si>
  <si>
    <t>Tỉ giá dollar</t>
  </si>
  <si>
    <t>Giá bán điện Uscent/KwH</t>
  </si>
  <si>
    <t>Giá bán điện VND/KwH</t>
  </si>
  <si>
    <t>Thu nhập năm</t>
  </si>
  <si>
    <t>Thu nhập âm</t>
  </si>
  <si>
    <t>Tổng tiền đầu tư thực</t>
  </si>
  <si>
    <t>Năm bắt đầu có thu nhập</t>
  </si>
  <si>
    <t>Thu Nhập Trực Tiếp</t>
  </si>
  <si>
    <t>Thu nhập năm trung bình đã khấu hao bảo trì và trả ngân hàng</t>
  </si>
  <si>
    <t>Thu nhập năm trung bình thuần</t>
  </si>
  <si>
    <t>Tổng công suất lấp đặt kWp</t>
  </si>
  <si>
    <t>Sản lượng điện Trung Bình kWh/kWp</t>
  </si>
  <si>
    <t>Thu nhập dương</t>
  </si>
  <si>
    <t>BOOLEAN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</si>
</sst>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(* #,##0.00_);_(* \(#,##0.00\);_(* &quot;-&quot;??_);_(@_)"/>
    <numFmt numFmtId="164" formatCode="[$VND]\ #,##0"/>
    <numFmt numFmtId="165" formatCode="#,##0.00\ &quot;F&quot;;[Red]\-#,##0.00\ &quot;F&quot;"/>
    <numFmt numFmtId="166" formatCode="_-* #,##0\ _F_-;\-* #,##0\ _F_-;_-* &quot;-&quot;??\ _F_-;_-@_-"/>
    <numFmt numFmtId="167" formatCode="0.000000000000000%"/>
    <numFmt numFmtId="168" formatCode="dd/mm/yyyy;@"/>
    <numFmt numFmtId="169" formatCode="0.0000000000000000%"/>
    <numFmt numFmtId="170" formatCode="0.0000000"/>
    <numFmt numFmtId="171" formatCode="0.000"/>
  </numFmts>
  <fonts count="2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005597"/>
      <name val="Arial"/>
      <family val="2"/>
    </font>
    <font>
      <sz val="9"/>
      <color rgb="FF818181"/>
      <name val="Arial"/>
      <family val="2"/>
    </font>
    <font>
      <sz val="11"/>
      <color rgb="FF333333"/>
      <name val="Arial"/>
      <family val="2"/>
    </font>
    <font>
      <sz val="11"/>
      <color theme="1"/>
      <name val="Arial"/>
      <family val="2"/>
    </font>
    <font>
      <sz val="18"/>
      <color theme="1"/>
      <name val="Arial"/>
      <family val="2"/>
    </font>
    <font>
      <sz val="16"/>
      <color theme="1"/>
      <name val="Arial"/>
      <family val="2"/>
    </font>
    <font>
      <sz val="12"/>
      <color theme="1"/>
      <name val="Arial"/>
      <family val="2"/>
    </font>
    <font>
      <sz val="10"/>
      <name val="VNI-Aptima"/>
      <family val="2"/>
    </font>
    <font>
      <b/>
      <sz val="10"/>
      <name val="Times New Roman"/>
      <family val="1"/>
    </font>
    <font>
      <sz val="10"/>
      <name val="Arial"/>
      <family val="2"/>
    </font>
    <font>
      <b/>
      <sz val="14"/>
      <name val="Arial"/>
      <family val="2"/>
    </font>
    <font>
      <b/>
      <sz val="14"/>
      <color indexed="10"/>
      <name val="Arial"/>
      <family val="2"/>
    </font>
    <font>
      <b/>
      <sz val="10"/>
      <name val="Arial"/>
      <family val="2"/>
    </font>
    <font>
      <b/>
      <sz val="10"/>
      <color indexed="18"/>
      <name val="Arial"/>
      <family val="2"/>
    </font>
    <font>
      <b/>
      <sz val="10"/>
      <color indexed="9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1"/>
      <name val="Arial"/>
      <family val="2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9" fillId="0" borderId="0"/>
    <xf numFmtId="0" fontId="11" fillId="0" borderId="0"/>
    <xf numFmtId="9" fontId="11" fillId="0" borderId="0" applyFont="0" applyFill="0" applyBorder="0" applyAlignment="0" applyProtection="0"/>
    <xf numFmtId="43" fontId="11" fillId="0" borderId="0" applyFont="0" applyFill="0" applyBorder="0" applyAlignment="0" applyProtection="0"/>
  </cellStyleXfs>
  <cellXfs count="112">
    <xf numFmtId="0" fontId="0" fillId="0" borderId="0" xfId="0"/>
    <xf numFmtId="0" fontId="2" fillId="3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5" fillId="0" borderId="0" xfId="0" applyFont="1"/>
    <xf numFmtId="0" fontId="8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3" fontId="4" fillId="0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164" fontId="5" fillId="0" borderId="0" xfId="0" applyNumberFormat="1" applyFont="1"/>
    <xf numFmtId="1" fontId="0" fillId="0" borderId="0" xfId="0" applyNumberFormat="1"/>
    <xf numFmtId="1" fontId="5" fillId="0" borderId="0" xfId="0" applyNumberFormat="1" applyFont="1"/>
    <xf numFmtId="14" fontId="11" fillId="0" borderId="0" xfId="3" applyNumberFormat="1" applyAlignment="1">
      <alignment horizontal="center"/>
    </xf>
    <xf numFmtId="0" fontId="11" fillId="0" borderId="0" xfId="3"/>
    <xf numFmtId="3" fontId="11" fillId="0" borderId="0" xfId="3" applyNumberFormat="1"/>
    <xf numFmtId="0" fontId="11" fillId="0" borderId="0" xfId="3" applyFill="1" applyBorder="1"/>
    <xf numFmtId="14" fontId="13" fillId="0" borderId="0" xfId="3" applyNumberFormat="1" applyFont="1" applyFill="1" applyBorder="1" applyAlignment="1"/>
    <xf numFmtId="3" fontId="11" fillId="0" borderId="0" xfId="3" applyNumberFormat="1" applyFill="1" applyBorder="1"/>
    <xf numFmtId="0" fontId="14" fillId="0" borderId="0" xfId="3" applyFont="1" applyAlignment="1">
      <alignment horizontal="center"/>
    </xf>
    <xf numFmtId="0" fontId="11" fillId="0" borderId="0" xfId="3" applyAlignment="1"/>
    <xf numFmtId="0" fontId="11" fillId="0" borderId="0" xfId="3" applyFont="1" applyFill="1" applyBorder="1"/>
    <xf numFmtId="0" fontId="14" fillId="0" borderId="0" xfId="3" applyFont="1" applyFill="1" applyBorder="1" applyAlignment="1"/>
    <xf numFmtId="14" fontId="11" fillId="0" borderId="0" xfId="3" applyNumberFormat="1" applyAlignment="1">
      <alignment horizontal="left"/>
    </xf>
    <xf numFmtId="0" fontId="11" fillId="0" borderId="0" xfId="3" applyAlignment="1">
      <alignment horizontal="left"/>
    </xf>
    <xf numFmtId="10" fontId="11" fillId="0" borderId="0" xfId="3" applyNumberFormat="1" applyFill="1" applyBorder="1"/>
    <xf numFmtId="3" fontId="14" fillId="0" borderId="0" xfId="3" applyNumberFormat="1" applyFont="1"/>
    <xf numFmtId="3" fontId="14" fillId="0" borderId="0" xfId="3" applyNumberFormat="1" applyFont="1" applyFill="1" applyBorder="1"/>
    <xf numFmtId="10" fontId="15" fillId="6" borderId="1" xfId="3" applyNumberFormat="1" applyFont="1" applyFill="1" applyBorder="1"/>
    <xf numFmtId="0" fontId="11" fillId="0" borderId="0" xfId="3" quotePrefix="1"/>
    <xf numFmtId="165" fontId="11" fillId="0" borderId="0" xfId="3" applyNumberFormat="1"/>
    <xf numFmtId="0" fontId="11" fillId="0" borderId="0" xfId="3" quotePrefix="1" applyFill="1" applyBorder="1"/>
    <xf numFmtId="10" fontId="0" fillId="0" borderId="0" xfId="4" applyNumberFormat="1" applyFont="1" applyFill="1" applyBorder="1"/>
    <xf numFmtId="10" fontId="11" fillId="0" borderId="0" xfId="3" quotePrefix="1" applyNumberFormat="1" applyFill="1" applyBorder="1"/>
    <xf numFmtId="14" fontId="15" fillId="6" borderId="1" xfId="3" applyNumberFormat="1" applyFont="1" applyFill="1" applyBorder="1" applyAlignment="1">
      <alignment horizontal="right"/>
    </xf>
    <xf numFmtId="38" fontId="11" fillId="0" borderId="0" xfId="3" applyNumberFormat="1"/>
    <xf numFmtId="166" fontId="0" fillId="0" borderId="0" xfId="5" applyNumberFormat="1" applyFont="1" applyFill="1" applyBorder="1"/>
    <xf numFmtId="9" fontId="11" fillId="0" borderId="0" xfId="3" applyNumberFormat="1" applyFill="1" applyBorder="1"/>
    <xf numFmtId="166" fontId="11" fillId="0" borderId="0" xfId="3" applyNumberFormat="1" applyFill="1" applyBorder="1"/>
    <xf numFmtId="0" fontId="16" fillId="7" borderId="1" xfId="3" applyFont="1" applyFill="1" applyBorder="1" applyAlignment="1">
      <alignment horizontal="center" vertical="center" wrapText="1"/>
    </xf>
    <xf numFmtId="3" fontId="16" fillId="7" borderId="1" xfId="3" applyNumberFormat="1" applyFont="1" applyFill="1" applyBorder="1" applyAlignment="1">
      <alignment horizontal="center" vertical="center" wrapText="1"/>
    </xf>
    <xf numFmtId="167" fontId="11" fillId="0" borderId="0" xfId="3" applyNumberFormat="1"/>
    <xf numFmtId="0" fontId="16" fillId="0" borderId="0" xfId="3" applyFont="1" applyFill="1" applyBorder="1" applyAlignment="1">
      <alignment horizontal="center" vertical="center" wrapText="1"/>
    </xf>
    <xf numFmtId="168" fontId="11" fillId="0" borderId="0" xfId="3" applyNumberFormat="1" applyBorder="1" applyAlignment="1">
      <alignment horizontal="center"/>
    </xf>
    <xf numFmtId="3" fontId="11" fillId="0" borderId="0" xfId="3" applyNumberFormat="1" applyBorder="1"/>
    <xf numFmtId="169" fontId="11" fillId="0" borderId="2" xfId="3" applyNumberFormat="1" applyBorder="1"/>
    <xf numFmtId="166" fontId="14" fillId="0" borderId="0" xfId="5" applyNumberFormat="1" applyFont="1" applyFill="1" applyBorder="1"/>
    <xf numFmtId="166" fontId="11" fillId="0" borderId="0" xfId="5" applyNumberFormat="1" applyFont="1" applyFill="1" applyBorder="1"/>
    <xf numFmtId="3" fontId="11" fillId="0" borderId="0" xfId="3" applyNumberFormat="1" applyFill="1" applyBorder="1" applyAlignment="1">
      <alignment horizontal="center"/>
    </xf>
    <xf numFmtId="166" fontId="11" fillId="0" borderId="0" xfId="3" applyNumberFormat="1" applyFill="1" applyBorder="1" applyAlignment="1">
      <alignment horizontal="center"/>
    </xf>
    <xf numFmtId="166" fontId="0" fillId="0" borderId="2" xfId="5" applyNumberFormat="1" applyFont="1" applyBorder="1"/>
    <xf numFmtId="166" fontId="0" fillId="0" borderId="0" xfId="5" applyNumberFormat="1" applyFont="1"/>
    <xf numFmtId="3" fontId="11" fillId="0" borderId="0" xfId="3" applyNumberFormat="1" applyFont="1" applyFill="1" applyBorder="1"/>
    <xf numFmtId="166" fontId="11" fillId="0" borderId="0" xfId="3" applyNumberFormat="1"/>
    <xf numFmtId="0" fontId="14" fillId="0" borderId="0" xfId="3" applyFont="1" applyFill="1" applyBorder="1" applyAlignment="1">
      <alignment horizontal="center"/>
    </xf>
    <xf numFmtId="0" fontId="11" fillId="0" borderId="0" xfId="3" applyFill="1"/>
    <xf numFmtId="10" fontId="0" fillId="0" borderId="0" xfId="4" applyNumberFormat="1" applyFont="1" applyFill="1"/>
    <xf numFmtId="43" fontId="11" fillId="0" borderId="0" xfId="3" applyNumberFormat="1" applyFill="1"/>
    <xf numFmtId="0" fontId="11" fillId="0" borderId="0" xfId="3" applyBorder="1"/>
    <xf numFmtId="3" fontId="15" fillId="8" borderId="1" xfId="3" applyNumberFormat="1" applyFont="1" applyFill="1" applyBorder="1"/>
    <xf numFmtId="3" fontId="11" fillId="8" borderId="1" xfId="3" applyNumberFormat="1" applyFill="1" applyBorder="1"/>
    <xf numFmtId="0" fontId="15" fillId="8" borderId="1" xfId="3" applyFont="1" applyFill="1" applyBorder="1"/>
    <xf numFmtId="0" fontId="2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vertical="center" wrapText="1"/>
    </xf>
    <xf numFmtId="164" fontId="2" fillId="2" borderId="1" xfId="0" applyNumberFormat="1" applyFont="1" applyFill="1" applyBorder="1" applyAlignment="1">
      <alignment vertical="center" wrapText="1"/>
    </xf>
    <xf numFmtId="3" fontId="0" fillId="0" borderId="1" xfId="0" applyNumberFormat="1" applyBorder="1"/>
    <xf numFmtId="170" fontId="0" fillId="0" borderId="0" xfId="0" applyNumberFormat="1"/>
    <xf numFmtId="0" fontId="5" fillId="0" borderId="0" xfId="0" applyFont="1" applyAlignment="1"/>
    <xf numFmtId="3" fontId="10" fillId="4" borderId="3" xfId="2" applyNumberFormat="1" applyFont="1" applyFill="1" applyBorder="1" applyAlignment="1">
      <alignment horizontal="center" vertical="center"/>
    </xf>
    <xf numFmtId="9" fontId="0" fillId="4" borderId="3" xfId="1" applyFont="1" applyFill="1" applyBorder="1"/>
    <xf numFmtId="0" fontId="0" fillId="4" borderId="3" xfId="0" applyFill="1" applyBorder="1"/>
    <xf numFmtId="1" fontId="5" fillId="9" borderId="0" xfId="0" applyNumberFormat="1" applyFont="1" applyFill="1"/>
    <xf numFmtId="2" fontId="5" fillId="9" borderId="0" xfId="0" applyNumberFormat="1" applyFont="1" applyFill="1"/>
    <xf numFmtId="1" fontId="19" fillId="10" borderId="1" xfId="0" applyNumberFormat="1" applyFont="1" applyFill="1" applyBorder="1"/>
    <xf numFmtId="1" fontId="5" fillId="10" borderId="1" xfId="0" applyNumberFormat="1" applyFont="1" applyFill="1" applyBorder="1"/>
    <xf numFmtId="0" fontId="0" fillId="0" borderId="0" xfId="0" applyBorder="1"/>
    <xf numFmtId="9" fontId="0" fillId="4" borderId="4" xfId="1" applyFont="1" applyFill="1" applyBorder="1"/>
    <xf numFmtId="9" fontId="0" fillId="9" borderId="4" xfId="1" applyFont="1" applyFill="1" applyBorder="1"/>
    <xf numFmtId="164" fontId="4" fillId="0" borderId="1" xfId="0" applyNumberFormat="1" applyFont="1" applyFill="1" applyBorder="1" applyAlignment="1">
      <alignment horizontal="center" vertical="center" wrapText="1"/>
    </xf>
    <xf numFmtId="1" fontId="5" fillId="0" borderId="1" xfId="0" applyNumberFormat="1" applyFont="1" applyBorder="1"/>
    <xf numFmtId="0" fontId="2" fillId="2" borderId="1" xfId="0" applyFont="1" applyFill="1" applyBorder="1" applyAlignment="1">
      <alignment horizontal="center" vertical="center" wrapText="1"/>
    </xf>
    <xf numFmtId="171" fontId="5" fillId="10" borderId="1" xfId="0" applyNumberFormat="1" applyFont="1" applyFill="1" applyBorder="1" applyAlignment="1">
      <alignment horizontal="right"/>
    </xf>
    <xf numFmtId="0" fontId="2" fillId="2" borderId="5" xfId="0" applyFont="1" applyFill="1" applyBorder="1" applyAlignment="1">
      <alignment vertical="center" wrapText="1"/>
    </xf>
    <xf numFmtId="1" fontId="3" fillId="2" borderId="5" xfId="0" applyNumberFormat="1" applyFont="1" applyFill="1" applyBorder="1" applyAlignment="1">
      <alignment vertical="center" wrapText="1"/>
    </xf>
    <xf numFmtId="164" fontId="3" fillId="2" borderId="5" xfId="0" applyNumberFormat="1" applyFont="1" applyFill="1" applyBorder="1" applyAlignment="1">
      <alignment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5" fillId="11" borderId="0" xfId="0" applyFont="1" applyFill="1"/>
    <xf numFmtId="1" fontId="5" fillId="11" borderId="0" xfId="0" applyNumberFormat="1" applyFont="1" applyFill="1"/>
    <xf numFmtId="164" fontId="5" fillId="11" borderId="0" xfId="0" applyNumberFormat="1" applyFont="1" applyFill="1"/>
    <xf numFmtId="0" fontId="0" fillId="11" borderId="0" xfId="0" applyFill="1" applyBorder="1"/>
    <xf numFmtId="0" fontId="0" fillId="11" borderId="0" xfId="0" applyFill="1"/>
    <xf numFmtId="3" fontId="22" fillId="12" borderId="1" xfId="0" applyNumberFormat="1" applyFont="1" applyFill="1" applyBorder="1"/>
    <xf numFmtId="171" fontId="0" fillId="0" borderId="0" xfId="0" applyNumberFormat="1" applyBorder="1"/>
    <xf numFmtId="164" fontId="19" fillId="0" borderId="1" xfId="0" applyNumberFormat="1" applyFont="1" applyBorder="1" applyAlignment="1">
      <alignment horizontal="left"/>
    </xf>
    <xf numFmtId="1" fontId="0" fillId="0" borderId="2" xfId="0" applyNumberFormat="1" applyBorder="1" applyAlignment="1">
      <alignment horizontal="center"/>
    </xf>
    <xf numFmtId="0" fontId="5" fillId="0" borderId="0" xfId="0" applyFont="1" applyAlignment="1">
      <alignment horizontal="left" wrapText="1"/>
    </xf>
    <xf numFmtId="0" fontId="2" fillId="2" borderId="1" xfId="0" applyFont="1" applyFill="1" applyBorder="1" applyAlignment="1">
      <alignment vertical="center" wrapText="1"/>
    </xf>
    <xf numFmtId="0" fontId="2" fillId="2" borderId="5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164" fontId="19" fillId="0" borderId="1" xfId="0" applyNumberFormat="1" applyFont="1" applyBorder="1" applyAlignment="1">
      <alignment horizontal="left" vertical="top" wrapText="1"/>
    </xf>
    <xf numFmtId="14" fontId="16" fillId="7" borderId="1" xfId="3" applyNumberFormat="1" applyFont="1" applyFill="1" applyBorder="1" applyAlignment="1">
      <alignment horizontal="center" vertical="center" wrapText="1"/>
    </xf>
    <xf numFmtId="14" fontId="12" fillId="0" borderId="0" xfId="3" applyNumberFormat="1" applyFont="1" applyAlignment="1">
      <alignment horizontal="center"/>
    </xf>
    <xf numFmtId="14" fontId="11" fillId="0" borderId="0" xfId="3" applyNumberFormat="1" applyAlignment="1">
      <alignment horizontal="left"/>
    </xf>
    <xf numFmtId="3" fontId="20" fillId="0" borderId="7" xfId="0" applyNumberFormat="1" applyFont="1" applyBorder="1" applyAlignment="1">
      <alignment horizontal="center" vertical="center"/>
    </xf>
    <xf numFmtId="3" fontId="20" fillId="0" borderId="8" xfId="0" applyNumberFormat="1" applyFont="1" applyBorder="1" applyAlignment="1">
      <alignment horizontal="center" vertical="center"/>
    </xf>
    <xf numFmtId="3" fontId="20" fillId="0" borderId="9" xfId="0" applyNumberFormat="1" applyFont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3" fontId="20" fillId="0" borderId="1" xfId="0" applyNumberFormat="1" applyFont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3" fontId="21" fillId="0" borderId="1" xfId="0" applyNumberFormat="1" applyFont="1" applyBorder="1" applyAlignment="1">
      <alignment horizontal="center" vertical="center"/>
    </xf>
    <xf numFmtId="164" fontId="3" fillId="2" borderId="6" xfId="0" applyNumberFormat="1" applyFont="1" applyFill="1" applyBorder="1" applyAlignment="1">
      <alignment vertical="center" wrapText="1"/>
    </xf>
  </cellXfs>
  <cellStyles count="6">
    <cellStyle name="Comma 2" xfId="5" xr:uid="{6F3AB8A0-DDEA-4A4C-ADB8-EAB617F4E5E4}"/>
    <cellStyle name="Normal" xfId="0" builtinId="0"/>
    <cellStyle name="Normal 2" xfId="3" xr:uid="{22772C35-36A8-4D71-B4C2-A49972B6BE7F}"/>
    <cellStyle name="Normal 3 3" xfId="2" xr:uid="{23FB4A98-4A4B-4C4C-9EE0-997D9AB96B8F}"/>
    <cellStyle name="Percent" xfId="1" builtinId="5"/>
    <cellStyle name="Percent 2" xfId="4" xr:uid="{BE595FEF-DD1C-4E3E-B09E-68EBA5AA38D3}"/>
  </cellStyles>
  <dxfs count="116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  <fill>
        <patternFill patternType="solid">
          <bgColor indexed="5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  <fill>
        <patternFill patternType="solid">
          <bgColor indexed="5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  <fill>
        <patternFill patternType="solid">
          <bgColor indexed="5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  <fill>
        <patternFill patternType="solid">
          <bgColor indexed="5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  <fill>
        <patternFill patternType="solid">
          <bgColor indexed="5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  <fill>
        <patternFill patternType="solid">
          <bgColor indexed="5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  <fill>
        <patternFill patternType="solid">
          <bgColor indexed="5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  <fill>
        <patternFill patternType="solid">
          <bgColor indexed="5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  <fill>
        <patternFill patternType="solid">
          <bgColor indexed="5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  <fill>
        <patternFill patternType="solid">
          <bgColor indexed="5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  <fill>
        <patternFill patternType="solid">
          <bgColor indexed="5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  <fill>
        <patternFill patternType="solid">
          <bgColor indexed="5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  <fill>
        <patternFill patternType="solid">
          <bgColor indexed="5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  <fill>
        <patternFill patternType="solid">
          <bgColor indexed="5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  <fill>
        <patternFill patternType="solid">
          <bgColor indexed="5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  <fill>
        <patternFill patternType="solid">
          <bgColor indexed="5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  <fill>
        <patternFill patternType="solid">
          <bgColor indexed="5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  <fill>
        <patternFill patternType="solid">
          <bgColor indexed="5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  <fill>
        <patternFill patternType="solid">
          <bgColor indexed="5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  <fill>
        <patternFill patternType="solid">
          <bgColor indexed="5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  <fill>
        <patternFill patternType="solid">
          <bgColor indexed="5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  <fill>
        <patternFill patternType="solid">
          <bgColor indexed="5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  <fill>
        <patternFill patternType="solid">
          <bgColor indexed="5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  <fill>
        <patternFill patternType="solid">
          <bgColor indexed="5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  <fill>
        <patternFill patternType="solid">
          <bgColor indexed="5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  <fill>
        <patternFill patternType="solid">
          <bgColor indexed="5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  <fill>
        <patternFill patternType="solid">
          <bgColor indexed="5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  <fill>
        <patternFill patternType="solid">
          <bgColor indexed="5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  <fill>
        <patternFill patternType="solid">
          <bgColor indexed="5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  <fill>
        <patternFill patternType="solid">
          <bgColor indexed="5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  <fill>
        <patternFill patternType="solid">
          <bgColor indexed="5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  <fill>
        <patternFill patternType="solid">
          <bgColor indexed="5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  <fill>
        <patternFill patternType="solid">
          <bgColor indexed="5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  <fill>
        <patternFill patternType="solid">
          <bgColor indexed="5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  <fill>
        <patternFill patternType="solid">
          <bgColor indexed="5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  <fill>
        <patternFill patternType="solid">
          <bgColor indexed="5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  <fill>
        <patternFill patternType="solid">
          <bgColor indexed="5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  <fill>
        <patternFill patternType="solid">
          <bgColor indexed="5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  <fill>
        <patternFill patternType="solid">
          <bgColor indexed="5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  <fill>
        <patternFill patternType="solid">
          <bgColor indexed="5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  <fill>
        <patternFill patternType="solid">
          <bgColor indexed="5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  <fill>
        <patternFill patternType="solid">
          <bgColor indexed="5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  <fill>
        <patternFill patternType="solid">
          <bgColor indexed="5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  <fill>
        <patternFill patternType="solid">
          <bgColor indexed="5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  <fill>
        <patternFill patternType="solid">
          <bgColor indexed="5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  <fill>
        <patternFill patternType="solid">
          <bgColor indexed="5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  <fill>
        <patternFill patternType="solid">
          <bgColor indexed="5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  <fill>
        <patternFill patternType="solid">
          <bgColor indexed="5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  <fill>
        <patternFill patternType="solid">
          <bgColor indexed="5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  <fill>
        <patternFill patternType="solid">
          <bgColor indexed="5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  <fill>
        <patternFill patternType="solid">
          <bgColor indexed="5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  <fill>
        <patternFill patternType="solid">
          <bgColor indexed="5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  <fill>
        <patternFill patternType="solid">
          <bgColor indexed="5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  <fill>
        <patternFill patternType="solid">
          <bgColor indexed="5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  <fill>
        <patternFill patternType="solid">
          <bgColor indexed="5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  <fill>
        <patternFill patternType="solid">
          <bgColor indexed="5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  <fill>
        <patternFill patternType="solid">
          <bgColor indexed="5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  <fill>
        <patternFill patternType="solid">
          <bgColor indexed="5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CEA74-BDD3-452C-9EA6-885C2D2F423E}">
  <dimension ref="A1:O326"/>
  <sheetViews>
    <sheetView tabSelected="1" workbookViewId="0">
      <selection activeCell="E15" sqref="E15:E26"/>
    </sheetView>
  </sheetViews>
  <sheetFormatPr baseColWidth="10" defaultColWidth="8.83203125" defaultRowHeight="15"/>
  <cols>
    <col min="1" max="1" width="9.1640625" style="3"/>
    <col min="2" max="2" width="5.5" style="3" customWidth="1"/>
    <col min="3" max="3" width="6.33203125" style="3" customWidth="1"/>
    <col min="4" max="4" width="17.6640625" style="3" customWidth="1"/>
    <col min="5" max="5" width="15" style="11" customWidth="1"/>
    <col min="6" max="6" width="25.33203125" style="9" customWidth="1"/>
    <col min="7" max="7" width="14.5" customWidth="1"/>
    <col min="8" max="8" width="20.6640625" customWidth="1"/>
    <col min="9" max="9" width="11.83203125" customWidth="1"/>
    <col min="10" max="10" width="18.33203125" style="66" bestFit="1" customWidth="1"/>
    <col min="11" max="11" width="14.1640625" hidden="1" customWidth="1"/>
    <col min="12" max="12" width="0" hidden="1" customWidth="1"/>
    <col min="14" max="14" width="11.1640625" bestFit="1" customWidth="1"/>
  </cols>
  <sheetData>
    <row r="1" spans="1:15" ht="16" thickBot="1"/>
    <row r="2" spans="1:15" ht="16" thickBot="1">
      <c r="A2" s="3" t="s">
        <v>65</v>
      </c>
      <c r="E2" s="73">
        <v>999</v>
      </c>
      <c r="F2" s="3" t="s">
        <v>18</v>
      </c>
      <c r="G2" s="68">
        <v>14000000000</v>
      </c>
    </row>
    <row r="3" spans="1:15" ht="16" thickBot="1">
      <c r="A3" s="95" t="s">
        <v>66</v>
      </c>
      <c r="B3" s="95"/>
      <c r="C3" s="95"/>
      <c r="D3" s="95"/>
      <c r="E3" s="73">
        <v>1459</v>
      </c>
      <c r="F3" s="9" t="s">
        <v>19</v>
      </c>
      <c r="G3" s="76">
        <v>0</v>
      </c>
      <c r="H3" s="78">
        <f>G2*G3</f>
        <v>0</v>
      </c>
    </row>
    <row r="4" spans="1:15" ht="16" thickBot="1">
      <c r="A4" s="3" t="s">
        <v>50</v>
      </c>
      <c r="E4" s="81">
        <v>5.0000000000000001E-3</v>
      </c>
      <c r="F4" s="9" t="s">
        <v>20</v>
      </c>
      <c r="G4" s="77">
        <f>1-G3</f>
        <v>1</v>
      </c>
      <c r="H4" s="78">
        <f>G2*G4</f>
        <v>14000000000</v>
      </c>
    </row>
    <row r="5" spans="1:15" ht="19" customHeight="1" thickBot="1">
      <c r="A5" s="67" t="s">
        <v>54</v>
      </c>
      <c r="B5" s="67"/>
      <c r="C5" s="67"/>
      <c r="D5" s="67"/>
      <c r="E5" s="74" t="s">
        <v>51</v>
      </c>
      <c r="F5" s="9" t="s">
        <v>21</v>
      </c>
      <c r="G5" s="69">
        <v>0.105</v>
      </c>
    </row>
    <row r="6" spans="1:15" ht="18" customHeight="1" thickBot="1">
      <c r="A6" s="3" t="s">
        <v>56</v>
      </c>
      <c r="E6" s="72">
        <f>VLOOKUP(E5,fit_price,3,0)</f>
        <v>8.3800000000000008</v>
      </c>
      <c r="F6" s="9" t="s">
        <v>22</v>
      </c>
      <c r="G6" s="70">
        <v>7</v>
      </c>
      <c r="H6" t="s">
        <v>46</v>
      </c>
    </row>
    <row r="7" spans="1:15" ht="16" thickBot="1">
      <c r="A7" s="3" t="s">
        <v>57</v>
      </c>
      <c r="E7" s="71">
        <f>E6*G7/100</f>
        <v>1944.1600000000003</v>
      </c>
      <c r="F7" s="9" t="s">
        <v>55</v>
      </c>
      <c r="G7" s="70">
        <v>23200</v>
      </c>
    </row>
    <row r="8" spans="1:15" ht="6" customHeight="1">
      <c r="A8" s="86"/>
      <c r="B8" s="86"/>
      <c r="C8" s="86"/>
      <c r="D8" s="86"/>
      <c r="E8" s="87"/>
      <c r="F8" s="88"/>
      <c r="G8" s="89"/>
      <c r="H8" s="90"/>
    </row>
    <row r="9" spans="1:15">
      <c r="A9" s="93" t="s">
        <v>60</v>
      </c>
      <c r="B9" s="93"/>
      <c r="C9" s="93"/>
      <c r="D9" s="93"/>
      <c r="E9" s="91">
        <f>SUMIF($K$15:$K$314,"=1",$J$15:$J$314)*(-1)</f>
        <v>1656011711.8320031</v>
      </c>
    </row>
    <row r="10" spans="1:15">
      <c r="A10" s="93" t="s">
        <v>61</v>
      </c>
      <c r="B10" s="93"/>
      <c r="C10" s="93"/>
      <c r="D10" s="93"/>
      <c r="E10" s="91">
        <f>SUM(L15:L314)</f>
        <v>5</v>
      </c>
    </row>
    <row r="11" spans="1:15">
      <c r="A11" s="93" t="s">
        <v>64</v>
      </c>
      <c r="B11" s="93"/>
      <c r="C11" s="93"/>
      <c r="D11" s="93"/>
      <c r="E11" s="91">
        <f>SUM($F$15:$F$314)/25</f>
        <v>2642893048.1599979</v>
      </c>
    </row>
    <row r="12" spans="1:15" ht="30" customHeight="1">
      <c r="A12" s="100" t="s">
        <v>63</v>
      </c>
      <c r="B12" s="100"/>
      <c r="C12" s="100"/>
      <c r="D12" s="100"/>
      <c r="E12" s="91">
        <f>SUM($I$15:$I$314)/25</f>
        <v>1742498395.752001</v>
      </c>
    </row>
    <row r="13" spans="1:15" ht="51">
      <c r="A13" s="96" t="s">
        <v>16</v>
      </c>
      <c r="B13" s="61"/>
      <c r="C13" s="98" t="s">
        <v>17</v>
      </c>
      <c r="D13" s="96" t="s">
        <v>1</v>
      </c>
      <c r="E13" s="63" t="s">
        <v>2</v>
      </c>
      <c r="F13" s="64" t="s">
        <v>62</v>
      </c>
      <c r="G13" s="7" t="s">
        <v>47</v>
      </c>
      <c r="H13" s="7" t="s">
        <v>48</v>
      </c>
      <c r="I13" s="7" t="s">
        <v>49</v>
      </c>
      <c r="J13" s="62" t="s">
        <v>58</v>
      </c>
      <c r="K13" s="85" t="s">
        <v>59</v>
      </c>
      <c r="L13" s="85" t="s">
        <v>67</v>
      </c>
    </row>
    <row r="14" spans="1:15" ht="17" thickBot="1">
      <c r="A14" s="97"/>
      <c r="B14" s="82">
        <v>1</v>
      </c>
      <c r="C14" s="99"/>
      <c r="D14" s="97"/>
      <c r="E14" s="83" t="s">
        <v>0</v>
      </c>
      <c r="F14" s="84" t="s">
        <v>15</v>
      </c>
      <c r="G14" s="84" t="s">
        <v>15</v>
      </c>
      <c r="H14" s="84" t="s">
        <v>15</v>
      </c>
      <c r="I14" s="84" t="s">
        <v>15</v>
      </c>
      <c r="J14" s="84" t="s">
        <v>15</v>
      </c>
      <c r="K14" s="111" t="s">
        <v>68</v>
      </c>
      <c r="L14" s="111" t="s">
        <v>68</v>
      </c>
      <c r="M14" s="75"/>
      <c r="N14" s="75"/>
      <c r="O14" s="75"/>
    </row>
    <row r="15" spans="1:15" ht="23">
      <c r="A15" s="107">
        <v>1</v>
      </c>
      <c r="B15" s="8">
        <v>1</v>
      </c>
      <c r="C15" s="4">
        <v>1</v>
      </c>
      <c r="D15" s="5" t="s">
        <v>3</v>
      </c>
      <c r="E15" s="79">
        <f>ROUND(POWER((1-$E$4),B15-1)*VLOOKUP(D15,ĐiệnNăng_Input!$A$1:$C$12,2,0),0)</f>
        <v>140188</v>
      </c>
      <c r="F15" s="6">
        <f>E15*$E$7</f>
        <v>272547902.08000004</v>
      </c>
      <c r="G15" s="65">
        <f>F15*0.05</f>
        <v>13627395.104000002</v>
      </c>
      <c r="H15" s="65">
        <f>VLOOKUP(C15,VayMB!$C$16:$G$1374,5,0)</f>
        <v>289166666.66666663</v>
      </c>
      <c r="I15" s="65">
        <f>_xlfn.IFNA(F15-G15-H15,F15-G15)</f>
        <v>-30246159.690666586</v>
      </c>
      <c r="J15" s="108">
        <f>SUMIF($B$15:$B$314,"=1",$I$15:$I$314)</f>
        <v>-709084012.37599969</v>
      </c>
      <c r="K15" s="104">
        <f>IF(J15&lt;0,1,0)</f>
        <v>1</v>
      </c>
      <c r="L15" s="104">
        <f>IF(AND(K15=0,K14=1),A15,0)</f>
        <v>0</v>
      </c>
      <c r="M15" s="75"/>
      <c r="N15" s="92"/>
      <c r="O15" s="75"/>
    </row>
    <row r="16" spans="1:15" ht="23">
      <c r="A16" s="107"/>
      <c r="B16" s="8">
        <f>IF(D15="Tháng 12",B15+1,B15)</f>
        <v>1</v>
      </c>
      <c r="C16" s="4">
        <v>2</v>
      </c>
      <c r="D16" s="80" t="s">
        <v>4</v>
      </c>
      <c r="E16" s="79">
        <f>ROUND(POWER((1-$E$4),B16-1)*VLOOKUP(D16,ĐiệnNăng_Input!$A$1:$C$12,2,0),0)</f>
        <v>138936</v>
      </c>
      <c r="F16" s="6">
        <f t="shared" ref="F16:F79" si="0">E16*$E$7</f>
        <v>270113813.76000005</v>
      </c>
      <c r="G16" s="65">
        <f t="shared" ref="G16:G79" si="1">F16*0.05</f>
        <v>13505690.688000003</v>
      </c>
      <c r="H16" s="65">
        <f>VLOOKUP(C16,VayMB!$C$16:$G$1374,5,0)</f>
        <v>287708333.33333331</v>
      </c>
      <c r="I16" s="65">
        <f t="shared" ref="I16:I79" si="2">_xlfn.IFNA(F16-G16-H16,F16-G16)</f>
        <v>-31100210.261333257</v>
      </c>
      <c r="J16" s="108"/>
      <c r="K16" s="105"/>
      <c r="L16" s="105"/>
      <c r="M16" s="75"/>
      <c r="N16" s="75"/>
      <c r="O16" s="75"/>
    </row>
    <row r="17" spans="1:15" ht="23">
      <c r="A17" s="107"/>
      <c r="B17" s="8">
        <f t="shared" ref="B17:B80" si="3">IF(D16="Tháng 12",B16+1,B16)</f>
        <v>1</v>
      </c>
      <c r="C17" s="4">
        <v>3</v>
      </c>
      <c r="D17" s="5" t="s">
        <v>5</v>
      </c>
      <c r="E17" s="79">
        <f>ROUND(POWER((1-$E$4),B17-1)*VLOOKUP(D17,ĐiệnNăng_Input!$A$1:$C$12,2,0),0)</f>
        <v>153857</v>
      </c>
      <c r="F17" s="6">
        <f t="shared" si="0"/>
        <v>299122625.12000006</v>
      </c>
      <c r="G17" s="65">
        <f t="shared" si="1"/>
        <v>14956131.256000005</v>
      </c>
      <c r="H17" s="65">
        <f>VLOOKUP(C17,VayMB!$C$16:$G$1374,5,0)</f>
        <v>286250000</v>
      </c>
      <c r="I17" s="65">
        <f t="shared" si="2"/>
        <v>-2083506.135999918</v>
      </c>
      <c r="J17" s="108"/>
      <c r="K17" s="105"/>
      <c r="L17" s="105"/>
      <c r="M17" s="75"/>
      <c r="N17" s="75"/>
      <c r="O17" s="75"/>
    </row>
    <row r="18" spans="1:15" ht="23">
      <c r="A18" s="107"/>
      <c r="B18" s="8">
        <f t="shared" si="3"/>
        <v>1</v>
      </c>
      <c r="C18" s="4">
        <v>4</v>
      </c>
      <c r="D18" s="80" t="s">
        <v>6</v>
      </c>
      <c r="E18" s="79">
        <f>ROUND(POWER((1-$E$4),B18-1)*VLOOKUP(D18,ĐiệnNăng_Input!$A$1:$C$12,2,0),0)</f>
        <v>135483</v>
      </c>
      <c r="F18" s="6">
        <f t="shared" si="0"/>
        <v>263400629.28000003</v>
      </c>
      <c r="G18" s="65">
        <f t="shared" si="1"/>
        <v>13170031.464000002</v>
      </c>
      <c r="H18" s="65">
        <f>VLOOKUP(C18,VayMB!$C$16:$G$1374,5,0)</f>
        <v>284791666.66666669</v>
      </c>
      <c r="I18" s="65">
        <f t="shared" si="2"/>
        <v>-34561068.850666642</v>
      </c>
      <c r="J18" s="108"/>
      <c r="K18" s="105"/>
      <c r="L18" s="105"/>
      <c r="M18" s="75"/>
      <c r="N18" s="75"/>
      <c r="O18" s="75"/>
    </row>
    <row r="19" spans="1:15" ht="23">
      <c r="A19" s="107"/>
      <c r="B19" s="8">
        <f t="shared" si="3"/>
        <v>1</v>
      </c>
      <c r="C19" s="4">
        <v>5</v>
      </c>
      <c r="D19" s="5" t="s">
        <v>7</v>
      </c>
      <c r="E19" s="79">
        <f>ROUND(POWER((1-$E$4),B19-1)*VLOOKUP(D19,ĐiệnNăng_Input!$A$1:$C$12,2,0),0)</f>
        <v>113899</v>
      </c>
      <c r="F19" s="6">
        <f t="shared" si="0"/>
        <v>221437879.84000003</v>
      </c>
      <c r="G19" s="65">
        <f t="shared" si="1"/>
        <v>11071893.992000002</v>
      </c>
      <c r="H19" s="65">
        <f>VLOOKUP(C19,VayMB!$C$16:$G$1374,5,0)</f>
        <v>283333333.33333337</v>
      </c>
      <c r="I19" s="65">
        <f t="shared" si="2"/>
        <v>-72967347.485333353</v>
      </c>
      <c r="J19" s="108"/>
      <c r="K19" s="105"/>
      <c r="L19" s="105"/>
      <c r="M19" s="75"/>
      <c r="N19" s="75"/>
      <c r="O19" s="75"/>
    </row>
    <row r="20" spans="1:15" ht="23">
      <c r="A20" s="107"/>
      <c r="B20" s="8">
        <f t="shared" si="3"/>
        <v>1</v>
      </c>
      <c r="C20" s="4">
        <v>6</v>
      </c>
      <c r="D20" s="80" t="s">
        <v>8</v>
      </c>
      <c r="E20" s="79">
        <f>ROUND(POWER((1-$E$4),B20-1)*VLOOKUP(D20,ĐiệnNăng_Input!$A$1:$C$12,2,0),0)</f>
        <v>104512</v>
      </c>
      <c r="F20" s="6">
        <f t="shared" si="0"/>
        <v>203188049.92000005</v>
      </c>
      <c r="G20" s="65">
        <f t="shared" si="1"/>
        <v>10159402.496000003</v>
      </c>
      <c r="H20" s="65">
        <f>VLOOKUP(C20,VayMB!$C$16:$G$1374,5,0)</f>
        <v>281875000</v>
      </c>
      <c r="I20" s="65">
        <f t="shared" si="2"/>
        <v>-88846352.575999945</v>
      </c>
      <c r="J20" s="108"/>
      <c r="K20" s="105"/>
      <c r="L20" s="105"/>
      <c r="M20" s="75"/>
      <c r="N20" s="75"/>
      <c r="O20" s="75"/>
    </row>
    <row r="21" spans="1:15" ht="23">
      <c r="A21" s="107"/>
      <c r="B21" s="8">
        <f t="shared" si="3"/>
        <v>1</v>
      </c>
      <c r="C21" s="4">
        <v>7</v>
      </c>
      <c r="D21" s="5" t="s">
        <v>9</v>
      </c>
      <c r="E21" s="79">
        <f>ROUND(POWER((1-$E$4),B21-1)*VLOOKUP(D21,ĐiệnNăng_Input!$A$1:$C$12,2,0),0)</f>
        <v>103680</v>
      </c>
      <c r="F21" s="6">
        <f t="shared" si="0"/>
        <v>201570508.80000004</v>
      </c>
      <c r="G21" s="65">
        <f t="shared" si="1"/>
        <v>10078525.440000003</v>
      </c>
      <c r="H21" s="65">
        <f>VLOOKUP(C21,VayMB!$C$16:$G$1374,5,0)</f>
        <v>280416666.66666669</v>
      </c>
      <c r="I21" s="65">
        <f t="shared" si="2"/>
        <v>-88924683.306666642</v>
      </c>
      <c r="J21" s="108"/>
      <c r="K21" s="105"/>
      <c r="L21" s="105"/>
      <c r="M21" s="75"/>
      <c r="N21" s="75"/>
      <c r="O21" s="75"/>
    </row>
    <row r="22" spans="1:15" ht="23">
      <c r="A22" s="107"/>
      <c r="B22" s="8">
        <f t="shared" si="3"/>
        <v>1</v>
      </c>
      <c r="C22" s="4">
        <v>8</v>
      </c>
      <c r="D22" s="80" t="s">
        <v>10</v>
      </c>
      <c r="E22" s="79">
        <f>ROUND(POWER((1-$E$4),B22-1)*VLOOKUP(D22,ĐiệnNăng_Input!$A$1:$C$12,2,0),0)</f>
        <v>106012</v>
      </c>
      <c r="F22" s="6">
        <f t="shared" si="0"/>
        <v>206104289.92000005</v>
      </c>
      <c r="G22" s="65">
        <f t="shared" si="1"/>
        <v>10305214.496000003</v>
      </c>
      <c r="H22" s="65">
        <f>VLOOKUP(C22,VayMB!$C$16:$G$1374,5,0)</f>
        <v>278958333.33333337</v>
      </c>
      <c r="I22" s="65">
        <f t="shared" si="2"/>
        <v>-83159257.909333318</v>
      </c>
      <c r="J22" s="108"/>
      <c r="K22" s="105"/>
      <c r="L22" s="105"/>
      <c r="M22" s="75"/>
      <c r="N22" s="75"/>
      <c r="O22" s="75"/>
    </row>
    <row r="23" spans="1:15" ht="23">
      <c r="A23" s="107"/>
      <c r="B23" s="8">
        <f t="shared" si="3"/>
        <v>1</v>
      </c>
      <c r="C23" s="4">
        <v>9</v>
      </c>
      <c r="D23" s="5" t="s">
        <v>11</v>
      </c>
      <c r="E23" s="79">
        <f>ROUND(POWER((1-$E$4),B23-1)*VLOOKUP(D23,ĐiệnNăng_Input!$A$1:$C$12,2,0),0)</f>
        <v>110390</v>
      </c>
      <c r="F23" s="6">
        <f t="shared" si="0"/>
        <v>214615822.40000004</v>
      </c>
      <c r="G23" s="65">
        <f t="shared" si="1"/>
        <v>10730791.120000003</v>
      </c>
      <c r="H23" s="65">
        <f>VLOOKUP(C23,VayMB!$C$16:$G$1374,5,0)</f>
        <v>277500000</v>
      </c>
      <c r="I23" s="65">
        <f t="shared" si="2"/>
        <v>-73614968.719999969</v>
      </c>
      <c r="J23" s="108"/>
      <c r="K23" s="105"/>
      <c r="L23" s="105"/>
      <c r="M23" s="75"/>
      <c r="N23" s="75"/>
      <c r="O23" s="75"/>
    </row>
    <row r="24" spans="1:15" ht="23">
      <c r="A24" s="107"/>
      <c r="B24" s="8">
        <f t="shared" si="3"/>
        <v>1</v>
      </c>
      <c r="C24" s="4">
        <v>10</v>
      </c>
      <c r="D24" s="80" t="s">
        <v>12</v>
      </c>
      <c r="E24" s="79">
        <f>ROUND(POWER((1-$E$4),B24-1)*VLOOKUP(D24,ĐiệnNăng_Input!$A$1:$C$12,2,0),0)</f>
        <v>98459</v>
      </c>
      <c r="F24" s="6">
        <f t="shared" si="0"/>
        <v>191420049.44000003</v>
      </c>
      <c r="G24" s="65">
        <f t="shared" si="1"/>
        <v>9571002.472000001</v>
      </c>
      <c r="H24" s="65">
        <f>VLOOKUP(C24,VayMB!$C$16:$G$1374,5,0)</f>
        <v>276041666.66666669</v>
      </c>
      <c r="I24" s="65">
        <f t="shared" si="2"/>
        <v>-94192619.698666662</v>
      </c>
      <c r="J24" s="108"/>
      <c r="K24" s="105"/>
      <c r="L24" s="105"/>
      <c r="M24" s="75"/>
      <c r="N24" s="75"/>
      <c r="O24" s="75"/>
    </row>
    <row r="25" spans="1:15" ht="23">
      <c r="A25" s="107"/>
      <c r="B25" s="8">
        <f t="shared" si="3"/>
        <v>1</v>
      </c>
      <c r="C25" s="4">
        <v>11</v>
      </c>
      <c r="D25" s="5" t="s">
        <v>13</v>
      </c>
      <c r="E25" s="79">
        <f>ROUND(POWER((1-$E$4),B25-1)*VLOOKUP(D25,ĐiệnNăng_Input!$A$1:$C$12,2,0),0)</f>
        <v>119765</v>
      </c>
      <c r="F25" s="6">
        <f t="shared" si="0"/>
        <v>232842322.40000004</v>
      </c>
      <c r="G25" s="65">
        <f t="shared" si="1"/>
        <v>11642116.120000003</v>
      </c>
      <c r="H25" s="65">
        <f>VLOOKUP(C25,VayMB!$C$16:$G$1374,5,0)</f>
        <v>274583333.33333337</v>
      </c>
      <c r="I25" s="65">
        <f t="shared" si="2"/>
        <v>-53383127.053333342</v>
      </c>
      <c r="J25" s="108"/>
      <c r="K25" s="105"/>
      <c r="L25" s="105"/>
      <c r="M25" s="75"/>
      <c r="N25" s="75"/>
      <c r="O25" s="75"/>
    </row>
    <row r="26" spans="1:15" ht="24" thickBot="1">
      <c r="A26" s="107"/>
      <c r="B26" s="8">
        <f t="shared" si="3"/>
        <v>1</v>
      </c>
      <c r="C26" s="4">
        <v>12</v>
      </c>
      <c r="D26" s="80" t="s">
        <v>14</v>
      </c>
      <c r="E26" s="79">
        <f>ROUND(POWER((1-$E$4),B26-1)*VLOOKUP(D26,ĐiệnNăng_Input!$A$1:$C$12,2,0),0)</f>
        <v>117556</v>
      </c>
      <c r="F26" s="6">
        <f t="shared" si="0"/>
        <v>228547672.96000004</v>
      </c>
      <c r="G26" s="65">
        <f t="shared" si="1"/>
        <v>11427383.648000002</v>
      </c>
      <c r="H26" s="65">
        <f>VLOOKUP(C26,VayMB!$C$16:$G$1374,5,0)</f>
        <v>273125000.00000006</v>
      </c>
      <c r="I26" s="65">
        <f t="shared" si="2"/>
        <v>-56004710.688000023</v>
      </c>
      <c r="J26" s="108"/>
      <c r="K26" s="106"/>
      <c r="L26" s="106"/>
      <c r="M26" s="75"/>
      <c r="N26" s="75"/>
      <c r="O26" s="75"/>
    </row>
    <row r="27" spans="1:15" ht="23">
      <c r="A27" s="109">
        <v>2</v>
      </c>
      <c r="B27" s="8">
        <f>IF(D26="Tháng 12",B26+1,B26)</f>
        <v>2</v>
      </c>
      <c r="C27" s="4">
        <v>13</v>
      </c>
      <c r="D27" s="5" t="s">
        <v>3</v>
      </c>
      <c r="E27" s="79">
        <f>ROUND(POWER((1-$E$4),B27-1)*VLOOKUP(D27,ĐiệnNăng_Input!$A$1:$C$12,2,0),0)</f>
        <v>139487</v>
      </c>
      <c r="F27" s="6">
        <f t="shared" si="0"/>
        <v>271185045.92000002</v>
      </c>
      <c r="G27" s="65">
        <f t="shared" si="1"/>
        <v>13559252.296000002</v>
      </c>
      <c r="H27" s="65">
        <f>VLOOKUP(C27,VayMB!$C$16:$G$1374,5,0)</f>
        <v>271666666.66666675</v>
      </c>
      <c r="I27" s="65">
        <f t="shared" si="2"/>
        <v>-14040873.042666733</v>
      </c>
      <c r="J27" s="110">
        <f>SUMIF($B$15:$B$314,"=2",$I$15:$I$314)</f>
        <v>-512406077.15200061</v>
      </c>
      <c r="K27" s="104">
        <f>IF(J27&lt;0,1,0)</f>
        <v>1</v>
      </c>
      <c r="L27" s="104">
        <f>IF(AND(K27=0,K15=1),A27,0)</f>
        <v>0</v>
      </c>
      <c r="M27" s="75"/>
      <c r="N27" s="75"/>
      <c r="O27" s="75"/>
    </row>
    <row r="28" spans="1:15" ht="23">
      <c r="A28" s="109"/>
      <c r="B28" s="8">
        <f t="shared" si="3"/>
        <v>2</v>
      </c>
      <c r="C28" s="4">
        <v>14</v>
      </c>
      <c r="D28" s="80" t="s">
        <v>4</v>
      </c>
      <c r="E28" s="79">
        <f>ROUND(POWER((1-$E$4),B28-1)*VLOOKUP(D28,ĐiệnNăng_Input!$A$1:$C$12,2,0),0)</f>
        <v>138241</v>
      </c>
      <c r="F28" s="6">
        <f t="shared" si="0"/>
        <v>268762622.56000006</v>
      </c>
      <c r="G28" s="65">
        <f t="shared" si="1"/>
        <v>13438131.128000004</v>
      </c>
      <c r="H28" s="65">
        <f>VLOOKUP(C28,VayMB!$C$16:$G$1374,5,0)</f>
        <v>270208333.33333337</v>
      </c>
      <c r="I28" s="65">
        <f t="shared" si="2"/>
        <v>-14883841.901333302</v>
      </c>
      <c r="J28" s="110"/>
      <c r="K28" s="105"/>
      <c r="L28" s="105"/>
    </row>
    <row r="29" spans="1:15" ht="23">
      <c r="A29" s="109"/>
      <c r="B29" s="8">
        <f t="shared" si="3"/>
        <v>2</v>
      </c>
      <c r="C29" s="4">
        <v>15</v>
      </c>
      <c r="D29" s="5" t="s">
        <v>5</v>
      </c>
      <c r="E29" s="79">
        <f>ROUND(POWER((1-$E$4),B29-1)*VLOOKUP(D29,ĐiệnNăng_Input!$A$1:$C$12,2,0),0)</f>
        <v>153088</v>
      </c>
      <c r="F29" s="6">
        <f t="shared" si="0"/>
        <v>297627566.08000004</v>
      </c>
      <c r="G29" s="65">
        <f t="shared" si="1"/>
        <v>14881378.304000003</v>
      </c>
      <c r="H29" s="65">
        <f>VLOOKUP(C29,VayMB!$C$16:$G$1374,5,0)</f>
        <v>268750000.00000006</v>
      </c>
      <c r="I29" s="65">
        <f t="shared" si="2"/>
        <v>13996187.775999963</v>
      </c>
      <c r="J29" s="110"/>
      <c r="K29" s="105"/>
      <c r="L29" s="105"/>
    </row>
    <row r="30" spans="1:15" ht="23">
      <c r="A30" s="109"/>
      <c r="B30" s="8">
        <f t="shared" si="3"/>
        <v>2</v>
      </c>
      <c r="C30" s="4">
        <v>16</v>
      </c>
      <c r="D30" s="80" t="s">
        <v>6</v>
      </c>
      <c r="E30" s="79">
        <f>ROUND(POWER((1-$E$4),B30-1)*VLOOKUP(D30,ĐiệnNăng_Input!$A$1:$C$12,2,0),0)</f>
        <v>134805</v>
      </c>
      <c r="F30" s="6">
        <f t="shared" si="0"/>
        <v>262082488.80000004</v>
      </c>
      <c r="G30" s="65">
        <f t="shared" si="1"/>
        <v>13104124.440000003</v>
      </c>
      <c r="H30" s="65">
        <f>VLOOKUP(C30,VayMB!$C$16:$G$1374,5,0)</f>
        <v>267291666.66666675</v>
      </c>
      <c r="I30" s="65">
        <f t="shared" si="2"/>
        <v>-18313302.306666702</v>
      </c>
      <c r="J30" s="110"/>
      <c r="K30" s="105"/>
      <c r="L30" s="105"/>
    </row>
    <row r="31" spans="1:15" ht="23">
      <c r="A31" s="109"/>
      <c r="B31" s="8">
        <f t="shared" si="3"/>
        <v>2</v>
      </c>
      <c r="C31" s="4">
        <v>17</v>
      </c>
      <c r="D31" s="5" t="s">
        <v>7</v>
      </c>
      <c r="E31" s="79">
        <f>ROUND(POWER((1-$E$4),B31-1)*VLOOKUP(D31,ĐiệnNăng_Input!$A$1:$C$12,2,0),0)</f>
        <v>113330</v>
      </c>
      <c r="F31" s="6">
        <f t="shared" si="0"/>
        <v>220331652.80000004</v>
      </c>
      <c r="G31" s="65">
        <f t="shared" si="1"/>
        <v>11016582.640000002</v>
      </c>
      <c r="H31" s="65">
        <f>VLOOKUP(C31,VayMB!$C$16:$G$1374,5,0)</f>
        <v>265833333.3333334</v>
      </c>
      <c r="I31" s="65">
        <f t="shared" si="2"/>
        <v>-56518263.173333377</v>
      </c>
      <c r="J31" s="110"/>
      <c r="K31" s="105"/>
      <c r="L31" s="105"/>
    </row>
    <row r="32" spans="1:15" ht="23">
      <c r="A32" s="109"/>
      <c r="B32" s="8">
        <f t="shared" si="3"/>
        <v>2</v>
      </c>
      <c r="C32" s="4">
        <v>18</v>
      </c>
      <c r="D32" s="80" t="s">
        <v>8</v>
      </c>
      <c r="E32" s="79">
        <f>ROUND(POWER((1-$E$4),B32-1)*VLOOKUP(D32,ĐiệnNăng_Input!$A$1:$C$12,2,0),0)</f>
        <v>103989</v>
      </c>
      <c r="F32" s="6">
        <f t="shared" si="0"/>
        <v>202171254.24000004</v>
      </c>
      <c r="G32" s="65">
        <f t="shared" si="1"/>
        <v>10108562.712000003</v>
      </c>
      <c r="H32" s="65">
        <f>VLOOKUP(C32,VayMB!$C$16:$G$1374,5,0)</f>
        <v>264375000.00000009</v>
      </c>
      <c r="I32" s="65">
        <f t="shared" si="2"/>
        <v>-72312308.472000062</v>
      </c>
      <c r="J32" s="110"/>
      <c r="K32" s="105"/>
      <c r="L32" s="105"/>
    </row>
    <row r="33" spans="1:12" ht="23">
      <c r="A33" s="109"/>
      <c r="B33" s="8">
        <f t="shared" si="3"/>
        <v>2</v>
      </c>
      <c r="C33" s="4">
        <v>19</v>
      </c>
      <c r="D33" s="5" t="s">
        <v>9</v>
      </c>
      <c r="E33" s="79">
        <f>ROUND(POWER((1-$E$4),B33-1)*VLOOKUP(D33,ĐiệnNăng_Input!$A$1:$C$12,2,0),0)</f>
        <v>103162</v>
      </c>
      <c r="F33" s="6">
        <f t="shared" si="0"/>
        <v>200563433.92000005</v>
      </c>
      <c r="G33" s="65">
        <f t="shared" si="1"/>
        <v>10028171.696000002</v>
      </c>
      <c r="H33" s="65">
        <f>VLOOKUP(C33,VayMB!$C$16:$G$1374,5,0)</f>
        <v>262916666.66666675</v>
      </c>
      <c r="I33" s="65">
        <f t="shared" si="2"/>
        <v>-72381404.442666709</v>
      </c>
      <c r="J33" s="110"/>
      <c r="K33" s="105"/>
      <c r="L33" s="105"/>
    </row>
    <row r="34" spans="1:12" ht="23">
      <c r="A34" s="109"/>
      <c r="B34" s="8">
        <f t="shared" si="3"/>
        <v>2</v>
      </c>
      <c r="C34" s="4">
        <v>20</v>
      </c>
      <c r="D34" s="80" t="s">
        <v>10</v>
      </c>
      <c r="E34" s="79">
        <f>ROUND(POWER((1-$E$4),B34-1)*VLOOKUP(D34,ĐiệnNăng_Input!$A$1:$C$12,2,0),0)</f>
        <v>105482</v>
      </c>
      <c r="F34" s="6">
        <f t="shared" si="0"/>
        <v>205073885.12000003</v>
      </c>
      <c r="G34" s="65">
        <f t="shared" si="1"/>
        <v>10253694.256000003</v>
      </c>
      <c r="H34" s="65">
        <f>VLOOKUP(C34,VayMB!$C$16:$G$1374,5,0)</f>
        <v>261458333.33333343</v>
      </c>
      <c r="I34" s="65">
        <f t="shared" si="2"/>
        <v>-66638142.46933341</v>
      </c>
      <c r="J34" s="110"/>
      <c r="K34" s="105"/>
      <c r="L34" s="105"/>
    </row>
    <row r="35" spans="1:12" ht="23">
      <c r="A35" s="109"/>
      <c r="B35" s="8">
        <f t="shared" si="3"/>
        <v>2</v>
      </c>
      <c r="C35" s="4">
        <v>21</v>
      </c>
      <c r="D35" s="5" t="s">
        <v>11</v>
      </c>
      <c r="E35" s="79">
        <f>ROUND(POWER((1-$E$4),B35-1)*VLOOKUP(D35,ĐiệnNăng_Input!$A$1:$C$12,2,0),0)</f>
        <v>109838</v>
      </c>
      <c r="F35" s="6">
        <f t="shared" si="0"/>
        <v>213542646.08000004</v>
      </c>
      <c r="G35" s="65">
        <f t="shared" si="1"/>
        <v>10677132.304000003</v>
      </c>
      <c r="H35" s="65">
        <f>VLOOKUP(C35,VayMB!$C$16:$G$1374,5,0)</f>
        <v>260000000.00000009</v>
      </c>
      <c r="I35" s="65">
        <f t="shared" si="2"/>
        <v>-57134486.224000037</v>
      </c>
      <c r="J35" s="110"/>
      <c r="K35" s="105"/>
      <c r="L35" s="105"/>
    </row>
    <row r="36" spans="1:12" ht="23">
      <c r="A36" s="109"/>
      <c r="B36" s="8">
        <f t="shared" si="3"/>
        <v>2</v>
      </c>
      <c r="C36" s="4">
        <v>22</v>
      </c>
      <c r="D36" s="80" t="s">
        <v>12</v>
      </c>
      <c r="E36" s="79">
        <f>ROUND(POWER((1-$E$4),B36-1)*VLOOKUP(D36,ĐiệnNăng_Input!$A$1:$C$12,2,0),0)</f>
        <v>97967</v>
      </c>
      <c r="F36" s="6">
        <f t="shared" si="0"/>
        <v>190463522.72000003</v>
      </c>
      <c r="G36" s="65">
        <f t="shared" si="1"/>
        <v>9523176.1360000018</v>
      </c>
      <c r="H36" s="65">
        <f>VLOOKUP(C36,VayMB!$C$16:$G$1374,5,0)</f>
        <v>258541666.66666678</v>
      </c>
      <c r="I36" s="65">
        <f t="shared" si="2"/>
        <v>-77601320.082666755</v>
      </c>
      <c r="J36" s="110"/>
      <c r="K36" s="105"/>
      <c r="L36" s="105"/>
    </row>
    <row r="37" spans="1:12" ht="23">
      <c r="A37" s="109"/>
      <c r="B37" s="8">
        <f t="shared" si="3"/>
        <v>2</v>
      </c>
      <c r="C37" s="4">
        <v>23</v>
      </c>
      <c r="D37" s="5" t="s">
        <v>13</v>
      </c>
      <c r="E37" s="79">
        <f>ROUND(POWER((1-$E$4),B37-1)*VLOOKUP(D37,ĐiệnNăng_Input!$A$1:$C$12,2,0),0)</f>
        <v>119167</v>
      </c>
      <c r="F37" s="6">
        <f t="shared" si="0"/>
        <v>231679714.72000003</v>
      </c>
      <c r="G37" s="65">
        <f t="shared" si="1"/>
        <v>11583985.736000001</v>
      </c>
      <c r="H37" s="65">
        <f>VLOOKUP(C37,VayMB!$C$16:$G$1374,5,0)</f>
        <v>257083333.33333343</v>
      </c>
      <c r="I37" s="65">
        <f t="shared" si="2"/>
        <v>-36987604.349333405</v>
      </c>
      <c r="J37" s="110"/>
      <c r="K37" s="105"/>
      <c r="L37" s="105"/>
    </row>
    <row r="38" spans="1:12" ht="24" thickBot="1">
      <c r="A38" s="109"/>
      <c r="B38" s="8">
        <f t="shared" si="3"/>
        <v>2</v>
      </c>
      <c r="C38" s="4">
        <v>24</v>
      </c>
      <c r="D38" s="80" t="s">
        <v>14</v>
      </c>
      <c r="E38" s="79">
        <f>ROUND(POWER((1-$E$4),B38-1)*VLOOKUP(D38,ĐiệnNăng_Input!$A$1:$C$12,2,0),0)</f>
        <v>116968</v>
      </c>
      <c r="F38" s="6">
        <f t="shared" si="0"/>
        <v>227404506.88000003</v>
      </c>
      <c r="G38" s="65">
        <f t="shared" si="1"/>
        <v>11370225.344000002</v>
      </c>
      <c r="H38" s="65">
        <f>VLOOKUP(C38,VayMB!$C$16:$G$1374,5,0)</f>
        <v>255625000.00000012</v>
      </c>
      <c r="I38" s="65">
        <f t="shared" si="2"/>
        <v>-39590718.464000106</v>
      </c>
      <c r="J38" s="110"/>
      <c r="K38" s="106"/>
      <c r="L38" s="106"/>
    </row>
    <row r="39" spans="1:12" ht="23">
      <c r="A39" s="107">
        <v>3</v>
      </c>
      <c r="B39" s="8">
        <f t="shared" si="3"/>
        <v>3</v>
      </c>
      <c r="C39" s="4">
        <v>25</v>
      </c>
      <c r="D39" s="5" t="s">
        <v>3</v>
      </c>
      <c r="E39" s="79">
        <f>ROUND(POWER((1-$E$4),B39-1)*VLOOKUP(D39,ĐiệnNăng_Input!$A$1:$C$12,2,0),0)</f>
        <v>138790</v>
      </c>
      <c r="F39" s="6">
        <f t="shared" si="0"/>
        <v>269829966.40000004</v>
      </c>
      <c r="G39" s="65">
        <f t="shared" si="1"/>
        <v>13491498.320000002</v>
      </c>
      <c r="H39" s="65">
        <f>VLOOKUP(C39,VayMB!$C$16:$G$1374,5,0)</f>
        <v>254166666.66666681</v>
      </c>
      <c r="I39" s="65">
        <f t="shared" si="2"/>
        <v>2171801.4133332372</v>
      </c>
      <c r="J39" s="110">
        <f>SUMIF($B$15:$B$314,"=3",$I$15:$I$314)</f>
        <v>-315665345.56000137</v>
      </c>
      <c r="K39" s="104">
        <f t="shared" ref="K39:L39" si="4">IF(J39&lt;0,1,0)</f>
        <v>1</v>
      </c>
      <c r="L39" s="104">
        <f>IF(AND(K39=0,K27=1),A39,0)</f>
        <v>0</v>
      </c>
    </row>
    <row r="40" spans="1:12" ht="23">
      <c r="A40" s="107"/>
      <c r="B40" s="8">
        <f t="shared" si="3"/>
        <v>3</v>
      </c>
      <c r="C40" s="4">
        <v>26</v>
      </c>
      <c r="D40" s="80" t="s">
        <v>4</v>
      </c>
      <c r="E40" s="79">
        <f>ROUND(POWER((1-$E$4),B40-1)*VLOOKUP(D40,ĐiệnNăng_Input!$A$1:$C$12,2,0),0)</f>
        <v>137550</v>
      </c>
      <c r="F40" s="6">
        <f t="shared" si="0"/>
        <v>267419208.00000003</v>
      </c>
      <c r="G40" s="65">
        <f t="shared" si="1"/>
        <v>13370960.400000002</v>
      </c>
      <c r="H40" s="65">
        <f>VLOOKUP(C40,VayMB!$C$16:$G$1374,5,0)</f>
        <v>252708333.33333346</v>
      </c>
      <c r="I40" s="65">
        <f t="shared" si="2"/>
        <v>1339914.2666665614</v>
      </c>
      <c r="J40" s="110"/>
      <c r="K40" s="105"/>
      <c r="L40" s="105"/>
    </row>
    <row r="41" spans="1:12" ht="23">
      <c r="A41" s="107"/>
      <c r="B41" s="8">
        <f t="shared" si="3"/>
        <v>3</v>
      </c>
      <c r="C41" s="4">
        <v>27</v>
      </c>
      <c r="D41" s="5" t="s">
        <v>5</v>
      </c>
      <c r="E41" s="79">
        <f>ROUND(POWER((1-$E$4),B41-1)*VLOOKUP(D41,ĐiệnNăng_Input!$A$1:$C$12,2,0),0)</f>
        <v>152322</v>
      </c>
      <c r="F41" s="6">
        <f t="shared" si="0"/>
        <v>296138339.52000004</v>
      </c>
      <c r="G41" s="65">
        <f t="shared" si="1"/>
        <v>14806916.976000004</v>
      </c>
      <c r="H41" s="65">
        <f>VLOOKUP(C41,VayMB!$C$16:$G$1374,5,0)</f>
        <v>251250000.00000012</v>
      </c>
      <c r="I41" s="65">
        <f t="shared" si="2"/>
        <v>30081422.54399991</v>
      </c>
      <c r="J41" s="110"/>
      <c r="K41" s="105"/>
      <c r="L41" s="105"/>
    </row>
    <row r="42" spans="1:12" ht="23">
      <c r="A42" s="107"/>
      <c r="B42" s="8">
        <f t="shared" si="3"/>
        <v>3</v>
      </c>
      <c r="C42" s="4">
        <v>28</v>
      </c>
      <c r="D42" s="80" t="s">
        <v>6</v>
      </c>
      <c r="E42" s="79">
        <f>ROUND(POWER((1-$E$4),B42-1)*VLOOKUP(D42,ĐiệnNăng_Input!$A$1:$C$12,2,0),0)</f>
        <v>134131</v>
      </c>
      <c r="F42" s="6">
        <f t="shared" si="0"/>
        <v>260772124.96000004</v>
      </c>
      <c r="G42" s="65">
        <f t="shared" si="1"/>
        <v>13038606.248000003</v>
      </c>
      <c r="H42" s="65">
        <f>VLOOKUP(C42,VayMB!$C$16:$G$1374,5,0)</f>
        <v>249791666.66666681</v>
      </c>
      <c r="I42" s="65">
        <f t="shared" si="2"/>
        <v>-2058147.9546667635</v>
      </c>
      <c r="J42" s="110"/>
      <c r="K42" s="105"/>
      <c r="L42" s="105"/>
    </row>
    <row r="43" spans="1:12" ht="23">
      <c r="A43" s="107"/>
      <c r="B43" s="8">
        <f t="shared" si="3"/>
        <v>3</v>
      </c>
      <c r="C43" s="4">
        <v>29</v>
      </c>
      <c r="D43" s="5" t="s">
        <v>7</v>
      </c>
      <c r="E43" s="79">
        <f>ROUND(POWER((1-$E$4),B43-1)*VLOOKUP(D43,ĐiệnNăng_Input!$A$1:$C$12,2,0),0)</f>
        <v>112763</v>
      </c>
      <c r="F43" s="6">
        <f t="shared" si="0"/>
        <v>219229314.08000004</v>
      </c>
      <c r="G43" s="65">
        <f t="shared" si="1"/>
        <v>10961465.704000004</v>
      </c>
      <c r="H43" s="65">
        <f>VLOOKUP(C43,VayMB!$C$16:$G$1374,5,0)</f>
        <v>248333333.33333349</v>
      </c>
      <c r="I43" s="65">
        <f t="shared" si="2"/>
        <v>-40065484.957333446</v>
      </c>
      <c r="J43" s="110"/>
      <c r="K43" s="105"/>
      <c r="L43" s="105"/>
    </row>
    <row r="44" spans="1:12" ht="23">
      <c r="A44" s="107"/>
      <c r="B44" s="8">
        <f t="shared" si="3"/>
        <v>3</v>
      </c>
      <c r="C44" s="4">
        <v>30</v>
      </c>
      <c r="D44" s="80" t="s">
        <v>8</v>
      </c>
      <c r="E44" s="79">
        <f>ROUND(POWER((1-$E$4),B44-1)*VLOOKUP(D44,ĐiệnNăng_Input!$A$1:$C$12,2,0),0)</f>
        <v>103469</v>
      </c>
      <c r="F44" s="6">
        <f t="shared" si="0"/>
        <v>201160291.04000002</v>
      </c>
      <c r="G44" s="65">
        <f t="shared" si="1"/>
        <v>10058014.552000001</v>
      </c>
      <c r="H44" s="65">
        <f>VLOOKUP(C44,VayMB!$C$16:$G$1374,5,0)</f>
        <v>246875000.00000015</v>
      </c>
      <c r="I44" s="65">
        <f t="shared" si="2"/>
        <v>-55772723.512000114</v>
      </c>
      <c r="J44" s="110"/>
      <c r="K44" s="105"/>
      <c r="L44" s="105"/>
    </row>
    <row r="45" spans="1:12" ht="23">
      <c r="A45" s="107"/>
      <c r="B45" s="8">
        <f t="shared" si="3"/>
        <v>3</v>
      </c>
      <c r="C45" s="4">
        <v>31</v>
      </c>
      <c r="D45" s="5" t="s">
        <v>9</v>
      </c>
      <c r="E45" s="79">
        <f>ROUND(POWER((1-$E$4),B45-1)*VLOOKUP(D45,ĐiệnNăng_Input!$A$1:$C$12,2,0),0)</f>
        <v>102646</v>
      </c>
      <c r="F45" s="6">
        <f t="shared" si="0"/>
        <v>199560247.36000004</v>
      </c>
      <c r="G45" s="65">
        <f t="shared" si="1"/>
        <v>9978012.3680000026</v>
      </c>
      <c r="H45" s="65">
        <f>VLOOKUP(C45,VayMB!$C$16:$G$1374,5,0)</f>
        <v>245416666.66666681</v>
      </c>
      <c r="I45" s="65">
        <f t="shared" si="2"/>
        <v>-55834431.674666762</v>
      </c>
      <c r="J45" s="110"/>
      <c r="K45" s="105"/>
      <c r="L45" s="105"/>
    </row>
    <row r="46" spans="1:12" ht="23">
      <c r="A46" s="107"/>
      <c r="B46" s="8">
        <f t="shared" si="3"/>
        <v>3</v>
      </c>
      <c r="C46" s="4">
        <v>32</v>
      </c>
      <c r="D46" s="80" t="s">
        <v>10</v>
      </c>
      <c r="E46" s="79">
        <f>ROUND(POWER((1-$E$4),B46-1)*VLOOKUP(D46,ĐiệnNăng_Input!$A$1:$C$12,2,0),0)</f>
        <v>104954</v>
      </c>
      <c r="F46" s="6">
        <f t="shared" si="0"/>
        <v>204047368.64000005</v>
      </c>
      <c r="G46" s="65">
        <f t="shared" si="1"/>
        <v>10202368.432000004</v>
      </c>
      <c r="H46" s="65">
        <f>VLOOKUP(C46,VayMB!$C$16:$G$1374,5,0)</f>
        <v>243958333.33333349</v>
      </c>
      <c r="I46" s="65">
        <f t="shared" si="2"/>
        <v>-50113333.125333458</v>
      </c>
      <c r="J46" s="110"/>
      <c r="K46" s="105"/>
      <c r="L46" s="105"/>
    </row>
    <row r="47" spans="1:12" ht="23">
      <c r="A47" s="107"/>
      <c r="B47" s="8">
        <f t="shared" si="3"/>
        <v>3</v>
      </c>
      <c r="C47" s="4">
        <v>33</v>
      </c>
      <c r="D47" s="5" t="s">
        <v>11</v>
      </c>
      <c r="E47" s="79">
        <f>ROUND(POWER((1-$E$4),B47-1)*VLOOKUP(D47,ĐiệnNăng_Input!$A$1:$C$12,2,0),0)</f>
        <v>109289</v>
      </c>
      <c r="F47" s="6">
        <f t="shared" si="0"/>
        <v>212475302.24000004</v>
      </c>
      <c r="G47" s="65">
        <f t="shared" si="1"/>
        <v>10623765.112000003</v>
      </c>
      <c r="H47" s="65">
        <f>VLOOKUP(C47,VayMB!$C$16:$G$1374,5,0)</f>
        <v>242500000.00000018</v>
      </c>
      <c r="I47" s="65">
        <f t="shared" si="2"/>
        <v>-40648462.872000158</v>
      </c>
      <c r="J47" s="110"/>
      <c r="K47" s="105"/>
      <c r="L47" s="105"/>
    </row>
    <row r="48" spans="1:12" ht="23">
      <c r="A48" s="107"/>
      <c r="B48" s="8">
        <f t="shared" si="3"/>
        <v>3</v>
      </c>
      <c r="C48" s="4">
        <v>34</v>
      </c>
      <c r="D48" s="80" t="s">
        <v>12</v>
      </c>
      <c r="E48" s="79">
        <f>ROUND(POWER((1-$E$4),B48-1)*VLOOKUP(D48,ĐiệnNăng_Input!$A$1:$C$12,2,0),0)</f>
        <v>97477</v>
      </c>
      <c r="F48" s="6">
        <f t="shared" si="0"/>
        <v>189510884.32000002</v>
      </c>
      <c r="G48" s="65">
        <f t="shared" si="1"/>
        <v>9475544.2160000019</v>
      </c>
      <c r="H48" s="65">
        <f>VLOOKUP(C48,VayMB!$C$16:$G$1374,5,0)</f>
        <v>241041666.66666681</v>
      </c>
      <c r="I48" s="65">
        <f t="shared" si="2"/>
        <v>-61006326.562666774</v>
      </c>
      <c r="J48" s="110"/>
      <c r="K48" s="105"/>
      <c r="L48" s="105"/>
    </row>
    <row r="49" spans="1:12" ht="23">
      <c r="A49" s="107"/>
      <c r="B49" s="8">
        <f t="shared" si="3"/>
        <v>3</v>
      </c>
      <c r="C49" s="4">
        <v>35</v>
      </c>
      <c r="D49" s="5" t="s">
        <v>13</v>
      </c>
      <c r="E49" s="79">
        <f>ROUND(POWER((1-$E$4),B49-1)*VLOOKUP(D49,ĐiệnNăng_Input!$A$1:$C$12,2,0),0)</f>
        <v>118571</v>
      </c>
      <c r="F49" s="6">
        <f t="shared" si="0"/>
        <v>230520995.36000004</v>
      </c>
      <c r="G49" s="65">
        <f t="shared" si="1"/>
        <v>11526049.768000003</v>
      </c>
      <c r="H49" s="65">
        <f>VLOOKUP(C49,VayMB!$C$16:$G$1374,5,0)</f>
        <v>239583333.33333349</v>
      </c>
      <c r="I49" s="65">
        <f t="shared" si="2"/>
        <v>-20588387.741333455</v>
      </c>
      <c r="J49" s="110"/>
      <c r="K49" s="105"/>
      <c r="L49" s="105"/>
    </row>
    <row r="50" spans="1:12" ht="24" thickBot="1">
      <c r="A50" s="107"/>
      <c r="B50" s="8">
        <f t="shared" si="3"/>
        <v>3</v>
      </c>
      <c r="C50" s="4">
        <v>36</v>
      </c>
      <c r="D50" s="80" t="s">
        <v>14</v>
      </c>
      <c r="E50" s="79">
        <f>ROUND(POWER((1-$E$4),B50-1)*VLOOKUP(D50,ĐiệnNăng_Input!$A$1:$C$12,2,0),0)</f>
        <v>116383</v>
      </c>
      <c r="F50" s="6">
        <f t="shared" si="0"/>
        <v>226267173.28000003</v>
      </c>
      <c r="G50" s="65">
        <f t="shared" si="1"/>
        <v>11313358.664000003</v>
      </c>
      <c r="H50" s="65">
        <f>VLOOKUP(C50,VayMB!$C$16:$G$1374,5,0)</f>
        <v>238125000.00000018</v>
      </c>
      <c r="I50" s="65">
        <f t="shared" si="2"/>
        <v>-23171185.384000152</v>
      </c>
      <c r="J50" s="110"/>
      <c r="K50" s="106"/>
      <c r="L50" s="106"/>
    </row>
    <row r="51" spans="1:12" ht="23">
      <c r="A51" s="109">
        <v>4</v>
      </c>
      <c r="B51" s="8">
        <f t="shared" si="3"/>
        <v>4</v>
      </c>
      <c r="C51" s="4">
        <v>37</v>
      </c>
      <c r="D51" s="5" t="s">
        <v>3</v>
      </c>
      <c r="E51" s="79">
        <f>ROUND(POWER((1-$E$4),B51-1)*VLOOKUP(D51,ĐiệnNăng_Input!$A$1:$C$12,2,0),0)</f>
        <v>138096</v>
      </c>
      <c r="F51" s="6">
        <f t="shared" si="0"/>
        <v>268480719.36000001</v>
      </c>
      <c r="G51" s="65">
        <f t="shared" si="1"/>
        <v>13424035.968000002</v>
      </c>
      <c r="H51" s="65">
        <f>VLOOKUP(C51,VayMB!$C$16:$G$1374,5,0)</f>
        <v>236666666.66666684</v>
      </c>
      <c r="I51" s="65">
        <f t="shared" si="2"/>
        <v>18390016.725333184</v>
      </c>
      <c r="J51" s="110">
        <f>SUMIF($B$15:$B$314,"=4",$I$15:$I$314)</f>
        <v>-118856276.74400127</v>
      </c>
      <c r="K51" s="104">
        <f t="shared" ref="K51:L51" si="5">IF(J51&lt;0,1,0)</f>
        <v>1</v>
      </c>
      <c r="L51" s="104">
        <f>IF(AND(K51=0,K39=1),A51,0)</f>
        <v>0</v>
      </c>
    </row>
    <row r="52" spans="1:12" ht="23">
      <c r="A52" s="109"/>
      <c r="B52" s="8">
        <f t="shared" si="3"/>
        <v>4</v>
      </c>
      <c r="C52" s="4">
        <v>38</v>
      </c>
      <c r="D52" s="80" t="s">
        <v>4</v>
      </c>
      <c r="E52" s="79">
        <f>ROUND(POWER((1-$E$4),B52-1)*VLOOKUP(D52,ĐiệnNăng_Input!$A$1:$C$12,2,0),0)</f>
        <v>136862</v>
      </c>
      <c r="F52" s="6">
        <f t="shared" si="0"/>
        <v>266081625.92000005</v>
      </c>
      <c r="G52" s="65">
        <f t="shared" si="1"/>
        <v>13304081.296000004</v>
      </c>
      <c r="H52" s="65">
        <f>VLOOKUP(C52,VayMB!$C$16:$G$1374,5,0)</f>
        <v>235208333.33333349</v>
      </c>
      <c r="I52" s="65">
        <f t="shared" si="2"/>
        <v>17569211.29066655</v>
      </c>
      <c r="J52" s="110"/>
      <c r="K52" s="105"/>
      <c r="L52" s="105"/>
    </row>
    <row r="53" spans="1:12" ht="23">
      <c r="A53" s="109"/>
      <c r="B53" s="8">
        <f t="shared" si="3"/>
        <v>4</v>
      </c>
      <c r="C53" s="4">
        <v>39</v>
      </c>
      <c r="D53" s="5" t="s">
        <v>5</v>
      </c>
      <c r="E53" s="79">
        <f>ROUND(POWER((1-$E$4),B53-1)*VLOOKUP(D53,ĐiệnNăng_Input!$A$1:$C$12,2,0),0)</f>
        <v>151561</v>
      </c>
      <c r="F53" s="6">
        <f t="shared" si="0"/>
        <v>294658833.76000005</v>
      </c>
      <c r="G53" s="65">
        <f t="shared" si="1"/>
        <v>14732941.688000003</v>
      </c>
      <c r="H53" s="65">
        <f>VLOOKUP(C53,VayMB!$C$16:$G$1374,5,0)</f>
        <v>233750000.00000015</v>
      </c>
      <c r="I53" s="65">
        <f t="shared" si="2"/>
        <v>46175892.071999878</v>
      </c>
      <c r="J53" s="110"/>
      <c r="K53" s="105"/>
      <c r="L53" s="105"/>
    </row>
    <row r="54" spans="1:12" ht="23">
      <c r="A54" s="109"/>
      <c r="B54" s="8">
        <f t="shared" si="3"/>
        <v>4</v>
      </c>
      <c r="C54" s="4">
        <v>40</v>
      </c>
      <c r="D54" s="80" t="s">
        <v>6</v>
      </c>
      <c r="E54" s="79">
        <f>ROUND(POWER((1-$E$4),B54-1)*VLOOKUP(D54,ĐiệnNăng_Input!$A$1:$C$12,2,0),0)</f>
        <v>133460</v>
      </c>
      <c r="F54" s="6">
        <f t="shared" si="0"/>
        <v>259467593.60000005</v>
      </c>
      <c r="G54" s="65">
        <f t="shared" si="1"/>
        <v>12973379.680000003</v>
      </c>
      <c r="H54" s="65">
        <f>VLOOKUP(C54,VayMB!$C$16:$G$1374,5,0)</f>
        <v>232291666.66666681</v>
      </c>
      <c r="I54" s="65">
        <f t="shared" si="2"/>
        <v>14202547.253333241</v>
      </c>
      <c r="J54" s="110"/>
      <c r="K54" s="105"/>
      <c r="L54" s="105"/>
    </row>
    <row r="55" spans="1:12" ht="23">
      <c r="A55" s="109"/>
      <c r="B55" s="8">
        <f t="shared" si="3"/>
        <v>4</v>
      </c>
      <c r="C55" s="4">
        <v>41</v>
      </c>
      <c r="D55" s="5" t="s">
        <v>7</v>
      </c>
      <c r="E55" s="79">
        <f>ROUND(POWER((1-$E$4),B55-1)*VLOOKUP(D55,ĐiệnNăng_Input!$A$1:$C$12,2,0),0)</f>
        <v>112199</v>
      </c>
      <c r="F55" s="6">
        <f t="shared" si="0"/>
        <v>218132807.84000003</v>
      </c>
      <c r="G55" s="65">
        <f t="shared" si="1"/>
        <v>10906640.392000003</v>
      </c>
      <c r="H55" s="65">
        <f>VLOOKUP(C55,VayMB!$C$16:$G$1374,5,0)</f>
        <v>230833333.33333346</v>
      </c>
      <c r="I55" s="65">
        <f t="shared" si="2"/>
        <v>-23607165.885333419</v>
      </c>
      <c r="J55" s="110"/>
      <c r="K55" s="105"/>
      <c r="L55" s="105"/>
    </row>
    <row r="56" spans="1:12" ht="23">
      <c r="A56" s="109"/>
      <c r="B56" s="8">
        <f t="shared" si="3"/>
        <v>4</v>
      </c>
      <c r="C56" s="4">
        <v>42</v>
      </c>
      <c r="D56" s="80" t="s">
        <v>8</v>
      </c>
      <c r="E56" s="79">
        <f>ROUND(POWER((1-$E$4),B56-1)*VLOOKUP(D56,ĐiệnNăng_Input!$A$1:$C$12,2,0),0)</f>
        <v>102952</v>
      </c>
      <c r="F56" s="6">
        <f t="shared" si="0"/>
        <v>200155160.32000002</v>
      </c>
      <c r="G56" s="65">
        <f t="shared" si="1"/>
        <v>10007758.016000001</v>
      </c>
      <c r="H56" s="65">
        <f>VLOOKUP(C56,VayMB!$C$16:$G$1374,5,0)</f>
        <v>229375000.00000012</v>
      </c>
      <c r="I56" s="65">
        <f t="shared" si="2"/>
        <v>-39227597.696000099</v>
      </c>
      <c r="J56" s="110"/>
      <c r="K56" s="105"/>
      <c r="L56" s="105"/>
    </row>
    <row r="57" spans="1:12" ht="23">
      <c r="A57" s="109"/>
      <c r="B57" s="8">
        <f t="shared" si="3"/>
        <v>4</v>
      </c>
      <c r="C57" s="4">
        <v>43</v>
      </c>
      <c r="D57" s="5" t="s">
        <v>9</v>
      </c>
      <c r="E57" s="79">
        <f>ROUND(POWER((1-$E$4),B57-1)*VLOOKUP(D57,ĐiệnNăng_Input!$A$1:$C$12,2,0),0)</f>
        <v>102132</v>
      </c>
      <c r="F57" s="6">
        <f t="shared" si="0"/>
        <v>198560949.12000003</v>
      </c>
      <c r="G57" s="65">
        <f t="shared" si="1"/>
        <v>9928047.4560000021</v>
      </c>
      <c r="H57" s="65">
        <f>VLOOKUP(C57,VayMB!$C$16:$G$1374,5,0)</f>
        <v>227916666.66666681</v>
      </c>
      <c r="I57" s="65">
        <f t="shared" si="2"/>
        <v>-39283765.002666771</v>
      </c>
      <c r="J57" s="110"/>
      <c r="K57" s="105"/>
      <c r="L57" s="105"/>
    </row>
    <row r="58" spans="1:12" ht="23">
      <c r="A58" s="109"/>
      <c r="B58" s="8">
        <f t="shared" si="3"/>
        <v>4</v>
      </c>
      <c r="C58" s="4">
        <v>44</v>
      </c>
      <c r="D58" s="80" t="s">
        <v>10</v>
      </c>
      <c r="E58" s="79">
        <f>ROUND(POWER((1-$E$4),B58-1)*VLOOKUP(D58,ĐiệnNăng_Input!$A$1:$C$12,2,0),0)</f>
        <v>104430</v>
      </c>
      <c r="F58" s="6">
        <f t="shared" si="0"/>
        <v>203028628.80000004</v>
      </c>
      <c r="G58" s="65">
        <f t="shared" si="1"/>
        <v>10151431.440000003</v>
      </c>
      <c r="H58" s="65">
        <f>VLOOKUP(C58,VayMB!$C$16:$G$1374,5,0)</f>
        <v>226458333.33333349</v>
      </c>
      <c r="I58" s="65">
        <f t="shared" si="2"/>
        <v>-33581135.973333448</v>
      </c>
      <c r="J58" s="110"/>
      <c r="K58" s="105"/>
      <c r="L58" s="105"/>
    </row>
    <row r="59" spans="1:12" ht="23">
      <c r="A59" s="109"/>
      <c r="B59" s="8">
        <f t="shared" si="3"/>
        <v>4</v>
      </c>
      <c r="C59" s="4">
        <v>45</v>
      </c>
      <c r="D59" s="5" t="s">
        <v>11</v>
      </c>
      <c r="E59" s="79">
        <f>ROUND(POWER((1-$E$4),B59-1)*VLOOKUP(D59,ĐiệnNăng_Input!$A$1:$C$12,2,0),0)</f>
        <v>108743</v>
      </c>
      <c r="F59" s="6">
        <f t="shared" si="0"/>
        <v>211413790.88000003</v>
      </c>
      <c r="G59" s="65">
        <f t="shared" si="1"/>
        <v>10570689.544000002</v>
      </c>
      <c r="H59" s="65">
        <f>VLOOKUP(C59,VayMB!$C$16:$G$1374,5,0)</f>
        <v>225000000.00000012</v>
      </c>
      <c r="I59" s="65">
        <f t="shared" si="2"/>
        <v>-24156898.664000094</v>
      </c>
      <c r="J59" s="110"/>
      <c r="K59" s="105"/>
      <c r="L59" s="105"/>
    </row>
    <row r="60" spans="1:12" ht="23">
      <c r="A60" s="109"/>
      <c r="B60" s="8">
        <f t="shared" si="3"/>
        <v>4</v>
      </c>
      <c r="C60" s="4">
        <v>46</v>
      </c>
      <c r="D60" s="80" t="s">
        <v>12</v>
      </c>
      <c r="E60" s="79">
        <f>ROUND(POWER((1-$E$4),B60-1)*VLOOKUP(D60,ĐiệnNăng_Input!$A$1:$C$12,2,0),0)</f>
        <v>96989</v>
      </c>
      <c r="F60" s="6">
        <f t="shared" si="0"/>
        <v>188562134.24000004</v>
      </c>
      <c r="G60" s="65">
        <f t="shared" si="1"/>
        <v>9428106.7120000031</v>
      </c>
      <c r="H60" s="65">
        <f>VLOOKUP(C60,VayMB!$C$16:$G$1374,5,0)</f>
        <v>223541666.66666681</v>
      </c>
      <c r="I60" s="65">
        <f t="shared" si="2"/>
        <v>-44407639.138666779</v>
      </c>
      <c r="J60" s="110"/>
      <c r="K60" s="105"/>
      <c r="L60" s="105"/>
    </row>
    <row r="61" spans="1:12" ht="23">
      <c r="A61" s="109"/>
      <c r="B61" s="8">
        <f t="shared" si="3"/>
        <v>4</v>
      </c>
      <c r="C61" s="4">
        <v>47</v>
      </c>
      <c r="D61" s="5" t="s">
        <v>13</v>
      </c>
      <c r="E61" s="79">
        <f>ROUND(POWER((1-$E$4),B61-1)*VLOOKUP(D61,ĐiệnNăng_Input!$A$1:$C$12,2,0),0)</f>
        <v>117978</v>
      </c>
      <c r="F61" s="6">
        <f t="shared" si="0"/>
        <v>229368108.48000005</v>
      </c>
      <c r="G61" s="65">
        <f t="shared" si="1"/>
        <v>11468405.424000002</v>
      </c>
      <c r="H61" s="65">
        <f>VLOOKUP(C61,VayMB!$C$16:$G$1374,5,0)</f>
        <v>222083333.33333346</v>
      </c>
      <c r="I61" s="65">
        <f t="shared" si="2"/>
        <v>-4183630.2773334086</v>
      </c>
      <c r="J61" s="110"/>
      <c r="K61" s="105"/>
      <c r="L61" s="105"/>
    </row>
    <row r="62" spans="1:12" ht="24" thickBot="1">
      <c r="A62" s="109"/>
      <c r="B62" s="8">
        <f t="shared" si="3"/>
        <v>4</v>
      </c>
      <c r="C62" s="4">
        <v>48</v>
      </c>
      <c r="D62" s="80" t="s">
        <v>14</v>
      </c>
      <c r="E62" s="79">
        <f>ROUND(POWER((1-$E$4),B62-1)*VLOOKUP(D62,ĐiệnNăng_Input!$A$1:$C$12,2,0),0)</f>
        <v>115801</v>
      </c>
      <c r="F62" s="6">
        <f t="shared" si="0"/>
        <v>225135672.16000003</v>
      </c>
      <c r="G62" s="65">
        <f t="shared" si="1"/>
        <v>11256783.608000003</v>
      </c>
      <c r="H62" s="65">
        <f>VLOOKUP(C62,VayMB!$C$16:$G$1374,5,0)</f>
        <v>220625000.00000012</v>
      </c>
      <c r="I62" s="65">
        <f t="shared" si="2"/>
        <v>-6746111.4480001032</v>
      </c>
      <c r="J62" s="110"/>
      <c r="K62" s="106"/>
      <c r="L62" s="106"/>
    </row>
    <row r="63" spans="1:12" ht="23">
      <c r="A63" s="107">
        <v>5</v>
      </c>
      <c r="B63" s="8">
        <f t="shared" si="3"/>
        <v>5</v>
      </c>
      <c r="C63" s="4">
        <v>49</v>
      </c>
      <c r="D63" s="5" t="s">
        <v>3</v>
      </c>
      <c r="E63" s="79">
        <f>ROUND(POWER((1-$E$4),B63-1)*VLOOKUP(D63,ĐiệnNăng_Input!$A$1:$C$12,2,0),0)</f>
        <v>137405</v>
      </c>
      <c r="F63" s="6">
        <f t="shared" si="0"/>
        <v>267137304.80000004</v>
      </c>
      <c r="G63" s="65">
        <f t="shared" si="1"/>
        <v>13356865.240000002</v>
      </c>
      <c r="H63" s="65">
        <f>VLOOKUP(C63,VayMB!$C$16:$G$1374,5,0)</f>
        <v>219166666.66666678</v>
      </c>
      <c r="I63" s="65">
        <f t="shared" si="2"/>
        <v>34613772.893333256</v>
      </c>
      <c r="J63" s="110">
        <f>SUMIF($B$15:$B$314,"=5",$I$15:$I$314)</f>
        <v>78019282.343999207</v>
      </c>
      <c r="K63" s="104">
        <f t="shared" ref="K63:L63" si="6">IF(J63&lt;0,1,0)</f>
        <v>0</v>
      </c>
      <c r="L63" s="104">
        <f>IF(AND(K63=0,K51=1),A63,0)</f>
        <v>5</v>
      </c>
    </row>
    <row r="64" spans="1:12" ht="23">
      <c r="A64" s="107"/>
      <c r="B64" s="8">
        <f t="shared" si="3"/>
        <v>5</v>
      </c>
      <c r="C64" s="4">
        <v>50</v>
      </c>
      <c r="D64" s="80" t="s">
        <v>4</v>
      </c>
      <c r="E64" s="79">
        <f>ROUND(POWER((1-$E$4),B64-1)*VLOOKUP(D64,ĐiệnNăng_Input!$A$1:$C$12,2,0),0)</f>
        <v>136178</v>
      </c>
      <c r="F64" s="6">
        <f t="shared" si="0"/>
        <v>264751820.48000005</v>
      </c>
      <c r="G64" s="65">
        <f t="shared" si="1"/>
        <v>13237591.024000004</v>
      </c>
      <c r="H64" s="65">
        <f>VLOOKUP(C64,VayMB!$C$16:$G$1374,5,0)</f>
        <v>217708333.33333346</v>
      </c>
      <c r="I64" s="65">
        <f t="shared" si="2"/>
        <v>33805896.122666568</v>
      </c>
      <c r="J64" s="110"/>
      <c r="K64" s="105"/>
      <c r="L64" s="105"/>
    </row>
    <row r="65" spans="1:12" ht="23">
      <c r="A65" s="107"/>
      <c r="B65" s="8">
        <f t="shared" si="3"/>
        <v>5</v>
      </c>
      <c r="C65" s="4">
        <v>51</v>
      </c>
      <c r="D65" s="5" t="s">
        <v>5</v>
      </c>
      <c r="E65" s="79">
        <f>ROUND(POWER((1-$E$4),B65-1)*VLOOKUP(D65,ĐiệnNăng_Input!$A$1:$C$12,2,0),0)</f>
        <v>150803</v>
      </c>
      <c r="F65" s="6">
        <f t="shared" si="0"/>
        <v>293185160.48000002</v>
      </c>
      <c r="G65" s="65">
        <f t="shared" si="1"/>
        <v>14659258.024000002</v>
      </c>
      <c r="H65" s="65">
        <f>VLOOKUP(C65,VayMB!$C$16:$G$1374,5,0)</f>
        <v>216250000.00000012</v>
      </c>
      <c r="I65" s="65">
        <f t="shared" si="2"/>
        <v>62275902.455999911</v>
      </c>
      <c r="J65" s="110"/>
      <c r="K65" s="105"/>
      <c r="L65" s="105"/>
    </row>
    <row r="66" spans="1:12" ht="23">
      <c r="A66" s="107"/>
      <c r="B66" s="8">
        <f t="shared" si="3"/>
        <v>5</v>
      </c>
      <c r="C66" s="4">
        <v>52</v>
      </c>
      <c r="D66" s="80" t="s">
        <v>6</v>
      </c>
      <c r="E66" s="79">
        <f>ROUND(POWER((1-$E$4),B66-1)*VLOOKUP(D66,ĐiệnNăng_Input!$A$1:$C$12,2,0),0)</f>
        <v>132793</v>
      </c>
      <c r="F66" s="6">
        <f t="shared" si="0"/>
        <v>258170838.88000005</v>
      </c>
      <c r="G66" s="65">
        <f t="shared" si="1"/>
        <v>12908541.944000004</v>
      </c>
      <c r="H66" s="65">
        <f>VLOOKUP(C66,VayMB!$C$16:$G$1374,5,0)</f>
        <v>214791666.66666678</v>
      </c>
      <c r="I66" s="65">
        <f t="shared" si="2"/>
        <v>30470630.269333273</v>
      </c>
      <c r="J66" s="110"/>
      <c r="K66" s="105"/>
      <c r="L66" s="105"/>
    </row>
    <row r="67" spans="1:12" ht="23">
      <c r="A67" s="107"/>
      <c r="B67" s="8">
        <f t="shared" si="3"/>
        <v>5</v>
      </c>
      <c r="C67" s="4">
        <v>53</v>
      </c>
      <c r="D67" s="5" t="s">
        <v>7</v>
      </c>
      <c r="E67" s="79">
        <f>ROUND(POWER((1-$E$4),B67-1)*VLOOKUP(D67,ĐiệnNăng_Input!$A$1:$C$12,2,0),0)</f>
        <v>111638</v>
      </c>
      <c r="F67" s="6">
        <f t="shared" si="0"/>
        <v>217042134.08000004</v>
      </c>
      <c r="G67" s="65">
        <f t="shared" si="1"/>
        <v>10852106.704000004</v>
      </c>
      <c r="H67" s="65">
        <f>VLOOKUP(C67,VayMB!$C$16:$G$1374,5,0)</f>
        <v>213333333.33333343</v>
      </c>
      <c r="I67" s="65">
        <f t="shared" si="2"/>
        <v>-7143305.9573333859</v>
      </c>
      <c r="J67" s="110"/>
      <c r="K67" s="105"/>
      <c r="L67" s="105"/>
    </row>
    <row r="68" spans="1:12" ht="23">
      <c r="A68" s="107"/>
      <c r="B68" s="8">
        <f t="shared" si="3"/>
        <v>5</v>
      </c>
      <c r="C68" s="4">
        <v>54</v>
      </c>
      <c r="D68" s="80" t="s">
        <v>8</v>
      </c>
      <c r="E68" s="79">
        <f>ROUND(POWER((1-$E$4),B68-1)*VLOOKUP(D68,ĐiệnNăng_Input!$A$1:$C$12,2,0),0)</f>
        <v>102437</v>
      </c>
      <c r="F68" s="6">
        <f t="shared" si="0"/>
        <v>199153917.92000005</v>
      </c>
      <c r="G68" s="65">
        <f t="shared" si="1"/>
        <v>9957695.8960000034</v>
      </c>
      <c r="H68" s="65">
        <f>VLOOKUP(C68,VayMB!$C$16:$G$1374,5,0)</f>
        <v>211875000.00000012</v>
      </c>
      <c r="I68" s="65">
        <f t="shared" si="2"/>
        <v>-22678777.976000071</v>
      </c>
      <c r="J68" s="110"/>
      <c r="K68" s="105"/>
      <c r="L68" s="105"/>
    </row>
    <row r="69" spans="1:12" ht="23">
      <c r="A69" s="107"/>
      <c r="B69" s="8">
        <f t="shared" si="3"/>
        <v>5</v>
      </c>
      <c r="C69" s="4">
        <v>55</v>
      </c>
      <c r="D69" s="5" t="s">
        <v>9</v>
      </c>
      <c r="E69" s="79">
        <f>ROUND(POWER((1-$E$4),B69-1)*VLOOKUP(D69,ĐiệnNăng_Input!$A$1:$C$12,2,0),0)</f>
        <v>101622</v>
      </c>
      <c r="F69" s="6">
        <f t="shared" si="0"/>
        <v>197569427.52000004</v>
      </c>
      <c r="G69" s="65">
        <f t="shared" si="1"/>
        <v>9878471.376000002</v>
      </c>
      <c r="H69" s="65">
        <f>VLOOKUP(C69,VayMB!$C$16:$G$1374,5,0)</f>
        <v>210416666.66666678</v>
      </c>
      <c r="I69" s="65">
        <f t="shared" si="2"/>
        <v>-22725710.522666723</v>
      </c>
      <c r="J69" s="110"/>
      <c r="K69" s="105"/>
      <c r="L69" s="105"/>
    </row>
    <row r="70" spans="1:12" ht="23">
      <c r="A70" s="107"/>
      <c r="B70" s="8">
        <f t="shared" si="3"/>
        <v>5</v>
      </c>
      <c r="C70" s="4">
        <v>56</v>
      </c>
      <c r="D70" s="80" t="s">
        <v>10</v>
      </c>
      <c r="E70" s="79">
        <f>ROUND(POWER((1-$E$4),B70-1)*VLOOKUP(D70,ĐiệnNăng_Input!$A$1:$C$12,2,0),0)</f>
        <v>103908</v>
      </c>
      <c r="F70" s="6">
        <f t="shared" si="0"/>
        <v>202013777.28000003</v>
      </c>
      <c r="G70" s="65">
        <f t="shared" si="1"/>
        <v>10100688.864000002</v>
      </c>
      <c r="H70" s="65">
        <f>VLOOKUP(C70,VayMB!$C$16:$G$1374,5,0)</f>
        <v>208958333.33333343</v>
      </c>
      <c r="I70" s="65">
        <f t="shared" si="2"/>
        <v>-17045244.917333394</v>
      </c>
      <c r="J70" s="110"/>
      <c r="K70" s="105"/>
      <c r="L70" s="105"/>
    </row>
    <row r="71" spans="1:12" ht="23">
      <c r="A71" s="107"/>
      <c r="B71" s="8">
        <f t="shared" si="3"/>
        <v>5</v>
      </c>
      <c r="C71" s="4">
        <v>57</v>
      </c>
      <c r="D71" s="5" t="s">
        <v>11</v>
      </c>
      <c r="E71" s="79">
        <f>ROUND(POWER((1-$E$4),B71-1)*VLOOKUP(D71,ĐiệnNăng_Input!$A$1:$C$12,2,0),0)</f>
        <v>108199</v>
      </c>
      <c r="F71" s="6">
        <f t="shared" si="0"/>
        <v>210356167.84000003</v>
      </c>
      <c r="G71" s="65">
        <f t="shared" si="1"/>
        <v>10517808.392000003</v>
      </c>
      <c r="H71" s="65">
        <f>VLOOKUP(C71,VayMB!$C$16:$G$1374,5,0)</f>
        <v>207500000.00000009</v>
      </c>
      <c r="I71" s="65">
        <f t="shared" si="2"/>
        <v>-7661640.5520000458</v>
      </c>
      <c r="J71" s="110"/>
      <c r="K71" s="105"/>
      <c r="L71" s="105"/>
    </row>
    <row r="72" spans="1:12" ht="23">
      <c r="A72" s="107"/>
      <c r="B72" s="8">
        <f t="shared" si="3"/>
        <v>5</v>
      </c>
      <c r="C72" s="4">
        <v>58</v>
      </c>
      <c r="D72" s="80" t="s">
        <v>12</v>
      </c>
      <c r="E72" s="79">
        <f>ROUND(POWER((1-$E$4),B72-1)*VLOOKUP(D72,ĐiệnNăng_Input!$A$1:$C$12,2,0),0)</f>
        <v>96504</v>
      </c>
      <c r="F72" s="6">
        <f t="shared" si="0"/>
        <v>187619216.64000002</v>
      </c>
      <c r="G72" s="65">
        <f t="shared" si="1"/>
        <v>9380960.8320000004</v>
      </c>
      <c r="H72" s="65">
        <f>VLOOKUP(C72,VayMB!$C$16:$G$1374,5,0)</f>
        <v>206041666.66666678</v>
      </c>
      <c r="I72" s="65">
        <f t="shared" si="2"/>
        <v>-27803410.858666748</v>
      </c>
      <c r="J72" s="110"/>
      <c r="K72" s="105"/>
      <c r="L72" s="105"/>
    </row>
    <row r="73" spans="1:12" ht="23">
      <c r="A73" s="107"/>
      <c r="B73" s="8">
        <f t="shared" si="3"/>
        <v>5</v>
      </c>
      <c r="C73" s="4">
        <v>59</v>
      </c>
      <c r="D73" s="5" t="s">
        <v>13</v>
      </c>
      <c r="E73" s="79">
        <f>ROUND(POWER((1-$E$4),B73-1)*VLOOKUP(D73,ĐiệnNăng_Input!$A$1:$C$12,2,0),0)</f>
        <v>117388</v>
      </c>
      <c r="F73" s="6">
        <f t="shared" si="0"/>
        <v>228221054.08000004</v>
      </c>
      <c r="G73" s="65">
        <f t="shared" si="1"/>
        <v>11411052.704000004</v>
      </c>
      <c r="H73" s="65">
        <f>VLOOKUP(C73,VayMB!$C$16:$G$1374,5,0)</f>
        <v>204583333.33333343</v>
      </c>
      <c r="I73" s="65">
        <f t="shared" si="2"/>
        <v>12226668.042666614</v>
      </c>
      <c r="J73" s="110"/>
      <c r="K73" s="105"/>
      <c r="L73" s="105"/>
    </row>
    <row r="74" spans="1:12" ht="24" thickBot="1">
      <c r="A74" s="107"/>
      <c r="B74" s="8">
        <f t="shared" si="3"/>
        <v>5</v>
      </c>
      <c r="C74" s="4">
        <v>60</v>
      </c>
      <c r="D74" s="80" t="s">
        <v>14</v>
      </c>
      <c r="E74" s="79">
        <f>ROUND(POWER((1-$E$4),B74-1)*VLOOKUP(D74,ĐiệnNăng_Input!$A$1:$C$12,2,0),0)</f>
        <v>115222</v>
      </c>
      <c r="F74" s="6">
        <f t="shared" si="0"/>
        <v>224010003.52000004</v>
      </c>
      <c r="G74" s="65">
        <f t="shared" si="1"/>
        <v>11200500.176000003</v>
      </c>
      <c r="H74" s="65">
        <f>VLOOKUP(C74,VayMB!$C$16:$G$1374,5,0)</f>
        <v>203125000.00000009</v>
      </c>
      <c r="I74" s="65">
        <f t="shared" si="2"/>
        <v>9684503.3439999521</v>
      </c>
      <c r="J74" s="110"/>
      <c r="K74" s="106"/>
      <c r="L74" s="106"/>
    </row>
    <row r="75" spans="1:12" ht="23">
      <c r="A75" s="109">
        <v>6</v>
      </c>
      <c r="B75" s="8">
        <f t="shared" si="3"/>
        <v>6</v>
      </c>
      <c r="C75" s="4">
        <v>61</v>
      </c>
      <c r="D75" s="5" t="s">
        <v>3</v>
      </c>
      <c r="E75" s="79">
        <f>ROUND(POWER((1-$E$4),B75-1)*VLOOKUP(D75,ĐiệnNăng_Input!$A$1:$C$12,2,0),0)</f>
        <v>136718</v>
      </c>
      <c r="F75" s="6">
        <f t="shared" si="0"/>
        <v>265801666.88000005</v>
      </c>
      <c r="G75" s="65">
        <f t="shared" si="1"/>
        <v>13290083.344000004</v>
      </c>
      <c r="H75" s="65">
        <f>VLOOKUP(C75,VayMB!$C$16:$G$1374,5,0)</f>
        <v>201666666.66666675</v>
      </c>
      <c r="I75" s="65">
        <f t="shared" si="2"/>
        <v>50844916.869333297</v>
      </c>
      <c r="J75" s="110">
        <f>SUMIF($B$15:$B$314,"=6",$I$15:$I$314)</f>
        <v>274961331.70399916</v>
      </c>
      <c r="K75" s="104">
        <f t="shared" ref="K75:L75" si="7">IF(J75&lt;0,1,0)</f>
        <v>0</v>
      </c>
      <c r="L75" s="104">
        <f>IF(AND(K75=0,K63=1),A75,0)</f>
        <v>0</v>
      </c>
    </row>
    <row r="76" spans="1:12" ht="23">
      <c r="A76" s="109"/>
      <c r="B76" s="8">
        <f t="shared" si="3"/>
        <v>6</v>
      </c>
      <c r="C76" s="4">
        <v>62</v>
      </c>
      <c r="D76" s="80" t="s">
        <v>4</v>
      </c>
      <c r="E76" s="79">
        <f>ROUND(POWER((1-$E$4),B76-1)*VLOOKUP(D76,ĐiệnNăng_Input!$A$1:$C$12,2,0),0)</f>
        <v>135497</v>
      </c>
      <c r="F76" s="6">
        <f t="shared" si="0"/>
        <v>263427847.52000004</v>
      </c>
      <c r="G76" s="65">
        <f t="shared" si="1"/>
        <v>13171392.376000002</v>
      </c>
      <c r="H76" s="65">
        <f>VLOOKUP(C76,VayMB!$C$16:$G$1374,5,0)</f>
        <v>200208333.33333343</v>
      </c>
      <c r="I76" s="65">
        <f t="shared" si="2"/>
        <v>50048121.810666621</v>
      </c>
      <c r="J76" s="110"/>
      <c r="K76" s="105"/>
      <c r="L76" s="105"/>
    </row>
    <row r="77" spans="1:12" ht="23">
      <c r="A77" s="109"/>
      <c r="B77" s="8">
        <f t="shared" si="3"/>
        <v>6</v>
      </c>
      <c r="C77" s="4">
        <v>63</v>
      </c>
      <c r="D77" s="5" t="s">
        <v>5</v>
      </c>
      <c r="E77" s="79">
        <f>ROUND(POWER((1-$E$4),B77-1)*VLOOKUP(D77,ĐiệnNăng_Input!$A$1:$C$12,2,0),0)</f>
        <v>150049</v>
      </c>
      <c r="F77" s="6">
        <f t="shared" si="0"/>
        <v>291719263.84000003</v>
      </c>
      <c r="G77" s="65">
        <f t="shared" si="1"/>
        <v>14585963.192000002</v>
      </c>
      <c r="H77" s="65">
        <f>VLOOKUP(C77,VayMB!$C$16:$G$1374,5,0)</f>
        <v>198750000.00000009</v>
      </c>
      <c r="I77" s="65">
        <f t="shared" si="2"/>
        <v>78383300.647999913</v>
      </c>
      <c r="J77" s="110"/>
      <c r="K77" s="105"/>
      <c r="L77" s="105"/>
    </row>
    <row r="78" spans="1:12" ht="23">
      <c r="A78" s="109"/>
      <c r="B78" s="8">
        <f t="shared" si="3"/>
        <v>6</v>
      </c>
      <c r="C78" s="4">
        <v>64</v>
      </c>
      <c r="D78" s="80" t="s">
        <v>6</v>
      </c>
      <c r="E78" s="79">
        <f>ROUND(POWER((1-$E$4),B78-1)*VLOOKUP(D78,ĐiệnNăng_Input!$A$1:$C$12,2,0),0)</f>
        <v>132129</v>
      </c>
      <c r="F78" s="6">
        <f t="shared" si="0"/>
        <v>256879916.64000005</v>
      </c>
      <c r="G78" s="65">
        <f t="shared" si="1"/>
        <v>12843995.832000002</v>
      </c>
      <c r="H78" s="65">
        <f>VLOOKUP(C78,VayMB!$C$16:$G$1374,5,0)</f>
        <v>197291666.66666678</v>
      </c>
      <c r="I78" s="65">
        <f t="shared" si="2"/>
        <v>46744254.141333252</v>
      </c>
      <c r="J78" s="110"/>
      <c r="K78" s="105"/>
      <c r="L78" s="105"/>
    </row>
    <row r="79" spans="1:12" ht="23">
      <c r="A79" s="109"/>
      <c r="B79" s="8">
        <f t="shared" si="3"/>
        <v>6</v>
      </c>
      <c r="C79" s="4">
        <v>65</v>
      </c>
      <c r="D79" s="5" t="s">
        <v>7</v>
      </c>
      <c r="E79" s="79">
        <f>ROUND(POWER((1-$E$4),B79-1)*VLOOKUP(D79,ĐiệnNăng_Input!$A$1:$C$12,2,0),0)</f>
        <v>111080</v>
      </c>
      <c r="F79" s="6">
        <f t="shared" si="0"/>
        <v>215957292.80000004</v>
      </c>
      <c r="G79" s="65">
        <f t="shared" si="1"/>
        <v>10797864.640000002</v>
      </c>
      <c r="H79" s="65">
        <f>VLOOKUP(C79,VayMB!$C$16:$G$1374,5,0)</f>
        <v>195833333.33333343</v>
      </c>
      <c r="I79" s="65">
        <f t="shared" si="2"/>
        <v>9326094.8266665936</v>
      </c>
      <c r="J79" s="110"/>
      <c r="K79" s="105"/>
      <c r="L79" s="105"/>
    </row>
    <row r="80" spans="1:12" ht="23">
      <c r="A80" s="109"/>
      <c r="B80" s="8">
        <f t="shared" si="3"/>
        <v>6</v>
      </c>
      <c r="C80" s="4">
        <v>66</v>
      </c>
      <c r="D80" s="80" t="s">
        <v>8</v>
      </c>
      <c r="E80" s="79">
        <f>ROUND(POWER((1-$E$4),B80-1)*VLOOKUP(D80,ĐiệnNăng_Input!$A$1:$C$12,2,0),0)</f>
        <v>101925</v>
      </c>
      <c r="F80" s="6">
        <f t="shared" ref="F80:F143" si="8">E80*$E$7</f>
        <v>198158508.00000003</v>
      </c>
      <c r="G80" s="65">
        <f t="shared" ref="G80:G143" si="9">F80*0.05</f>
        <v>9907925.4000000022</v>
      </c>
      <c r="H80" s="65">
        <f>VLOOKUP(C80,VayMB!$C$16:$G$1374,5,0)</f>
        <v>194375000.00000012</v>
      </c>
      <c r="I80" s="65">
        <f t="shared" ref="I80:I143" si="10">_xlfn.IFNA(F80-G80-H80,F80-G80)</f>
        <v>-6124417.4000000954</v>
      </c>
      <c r="J80" s="110"/>
      <c r="K80" s="105"/>
      <c r="L80" s="105"/>
    </row>
    <row r="81" spans="1:12" ht="23">
      <c r="A81" s="109"/>
      <c r="B81" s="8">
        <f t="shared" ref="B81:B144" si="11">IF(D80="Tháng 12",B80+1,B80)</f>
        <v>6</v>
      </c>
      <c r="C81" s="4">
        <v>67</v>
      </c>
      <c r="D81" s="5" t="s">
        <v>9</v>
      </c>
      <c r="E81" s="79">
        <f>ROUND(POWER((1-$E$4),B81-1)*VLOOKUP(D81,ĐiệnNăng_Input!$A$1:$C$12,2,0),0)</f>
        <v>101114</v>
      </c>
      <c r="F81" s="6">
        <f t="shared" si="8"/>
        <v>196581794.24000004</v>
      </c>
      <c r="G81" s="65">
        <f t="shared" si="9"/>
        <v>9829089.7120000031</v>
      </c>
      <c r="H81" s="65">
        <f>VLOOKUP(C81,VayMB!$C$16:$G$1374,5,0)</f>
        <v>192916666.66666678</v>
      </c>
      <c r="I81" s="65">
        <f t="shared" si="10"/>
        <v>-6163962.138666749</v>
      </c>
      <c r="J81" s="110"/>
      <c r="K81" s="105"/>
      <c r="L81" s="105"/>
    </row>
    <row r="82" spans="1:12" ht="23">
      <c r="A82" s="109"/>
      <c r="B82" s="8">
        <f t="shared" si="11"/>
        <v>6</v>
      </c>
      <c r="C82" s="4">
        <v>68</v>
      </c>
      <c r="D82" s="80" t="s">
        <v>10</v>
      </c>
      <c r="E82" s="79">
        <f>ROUND(POWER((1-$E$4),B82-1)*VLOOKUP(D82,ĐiệnNăng_Input!$A$1:$C$12,2,0),0)</f>
        <v>103388</v>
      </c>
      <c r="F82" s="6">
        <f t="shared" si="8"/>
        <v>201002814.08000004</v>
      </c>
      <c r="G82" s="65">
        <f t="shared" si="9"/>
        <v>10050140.704000002</v>
      </c>
      <c r="H82" s="65">
        <f>VLOOKUP(C82,VayMB!$C$16:$G$1374,5,0)</f>
        <v>191458333.33333343</v>
      </c>
      <c r="I82" s="65">
        <f t="shared" si="10"/>
        <v>-505659.95733338594</v>
      </c>
      <c r="J82" s="110"/>
      <c r="K82" s="105"/>
      <c r="L82" s="105"/>
    </row>
    <row r="83" spans="1:12" ht="23">
      <c r="A83" s="109"/>
      <c r="B83" s="8">
        <f t="shared" si="11"/>
        <v>6</v>
      </c>
      <c r="C83" s="4">
        <v>69</v>
      </c>
      <c r="D83" s="5" t="s">
        <v>11</v>
      </c>
      <c r="E83" s="79">
        <f>ROUND(POWER((1-$E$4),B83-1)*VLOOKUP(D83,ĐiệnNăng_Input!$A$1:$C$12,2,0),0)</f>
        <v>107658</v>
      </c>
      <c r="F83" s="6">
        <f t="shared" si="8"/>
        <v>209304377.28000003</v>
      </c>
      <c r="G83" s="65">
        <f t="shared" si="9"/>
        <v>10465218.864000002</v>
      </c>
      <c r="H83" s="65">
        <f>VLOOKUP(C83,VayMB!$C$16:$G$1374,5,0)</f>
        <v>190000000.00000012</v>
      </c>
      <c r="I83" s="65">
        <f t="shared" si="10"/>
        <v>8839158.4159999192</v>
      </c>
      <c r="J83" s="110"/>
      <c r="K83" s="105"/>
      <c r="L83" s="105"/>
    </row>
    <row r="84" spans="1:12" ht="23">
      <c r="A84" s="109"/>
      <c r="B84" s="8">
        <f t="shared" si="11"/>
        <v>6</v>
      </c>
      <c r="C84" s="4">
        <v>70</v>
      </c>
      <c r="D84" s="80" t="s">
        <v>12</v>
      </c>
      <c r="E84" s="79">
        <f>ROUND(POWER((1-$E$4),B84-1)*VLOOKUP(D84,ĐiệnNăng_Input!$A$1:$C$12,2,0),0)</f>
        <v>96022</v>
      </c>
      <c r="F84" s="6">
        <f t="shared" si="8"/>
        <v>186682131.52000004</v>
      </c>
      <c r="G84" s="65">
        <f t="shared" si="9"/>
        <v>9334106.5760000031</v>
      </c>
      <c r="H84" s="65">
        <f>VLOOKUP(C84,VayMB!$C$16:$G$1374,5,0)</f>
        <v>188541666.66666678</v>
      </c>
      <c r="I84" s="65">
        <f t="shared" si="10"/>
        <v>-11193641.72266674</v>
      </c>
      <c r="J84" s="110"/>
      <c r="K84" s="105"/>
      <c r="L84" s="105"/>
    </row>
    <row r="85" spans="1:12" ht="23">
      <c r="A85" s="109"/>
      <c r="B85" s="8">
        <f t="shared" si="11"/>
        <v>6</v>
      </c>
      <c r="C85" s="4">
        <v>71</v>
      </c>
      <c r="D85" s="5" t="s">
        <v>13</v>
      </c>
      <c r="E85" s="79">
        <f>ROUND(POWER((1-$E$4),B85-1)*VLOOKUP(D85,ĐiệnNăng_Input!$A$1:$C$12,2,0),0)</f>
        <v>116801</v>
      </c>
      <c r="F85" s="6">
        <f t="shared" si="8"/>
        <v>227079832.16000003</v>
      </c>
      <c r="G85" s="65">
        <f t="shared" si="9"/>
        <v>11353991.608000003</v>
      </c>
      <c r="H85" s="65">
        <f>VLOOKUP(C85,VayMB!$C$16:$G$1374,5,0)</f>
        <v>187083333.33333343</v>
      </c>
      <c r="I85" s="65">
        <f t="shared" si="10"/>
        <v>28642507.218666583</v>
      </c>
      <c r="J85" s="110"/>
      <c r="K85" s="105"/>
      <c r="L85" s="105"/>
    </row>
    <row r="86" spans="1:12" ht="24" thickBot="1">
      <c r="A86" s="109"/>
      <c r="B86" s="8">
        <f t="shared" si="11"/>
        <v>6</v>
      </c>
      <c r="C86" s="4">
        <v>72</v>
      </c>
      <c r="D86" s="80" t="s">
        <v>14</v>
      </c>
      <c r="E86" s="79">
        <f>ROUND(POWER((1-$E$4),B86-1)*VLOOKUP(D86,ĐiệnNăng_Input!$A$1:$C$12,2,0),0)</f>
        <v>114646</v>
      </c>
      <c r="F86" s="6">
        <f t="shared" si="8"/>
        <v>222890167.36000004</v>
      </c>
      <c r="G86" s="65">
        <f t="shared" si="9"/>
        <v>11144508.368000003</v>
      </c>
      <c r="H86" s="65">
        <f>VLOOKUP(C86,VayMB!$C$16:$G$1374,5,0)</f>
        <v>185625000.00000012</v>
      </c>
      <c r="I86" s="65">
        <f t="shared" si="10"/>
        <v>26120658.991999924</v>
      </c>
      <c r="J86" s="110"/>
      <c r="K86" s="106"/>
      <c r="L86" s="106"/>
    </row>
    <row r="87" spans="1:12" ht="23">
      <c r="A87" s="107">
        <v>7</v>
      </c>
      <c r="B87" s="8">
        <f t="shared" si="11"/>
        <v>7</v>
      </c>
      <c r="C87" s="4">
        <v>73</v>
      </c>
      <c r="D87" s="5" t="s">
        <v>3</v>
      </c>
      <c r="E87" s="79">
        <f>ROUND(POWER((1-$E$4),B87-1)*VLOOKUP(D87,ĐiệnNăng_Input!$A$1:$C$12,2,0),0)</f>
        <v>136035</v>
      </c>
      <c r="F87" s="6">
        <f t="shared" si="8"/>
        <v>264473805.60000005</v>
      </c>
      <c r="G87" s="65">
        <f t="shared" si="9"/>
        <v>13223690.280000003</v>
      </c>
      <c r="H87" s="65">
        <f>VLOOKUP(C87,VayMB!$C$16:$G$1374,5,0)</f>
        <v>184166666.66666678</v>
      </c>
      <c r="I87" s="65">
        <f t="shared" si="10"/>
        <v>67083448.653333277</v>
      </c>
      <c r="J87" s="110">
        <f>SUMIF($B$15:$B$314,"=7",$I$15:$I$314)</f>
        <v>471969871.33599913</v>
      </c>
      <c r="K87" s="104">
        <f t="shared" ref="K87:L87" si="12">IF(J87&lt;0,1,0)</f>
        <v>0</v>
      </c>
      <c r="L87" s="104">
        <f>IF(AND(K87=0,K75=1),A87,0)</f>
        <v>0</v>
      </c>
    </row>
    <row r="88" spans="1:12" ht="23">
      <c r="A88" s="107"/>
      <c r="B88" s="8">
        <f t="shared" si="11"/>
        <v>7</v>
      </c>
      <c r="C88" s="4">
        <v>74</v>
      </c>
      <c r="D88" s="80" t="s">
        <v>4</v>
      </c>
      <c r="E88" s="79">
        <f>ROUND(POWER((1-$E$4),B88-1)*VLOOKUP(D88,ĐiệnNăng_Input!$A$1:$C$12,2,0),0)</f>
        <v>134819</v>
      </c>
      <c r="F88" s="6">
        <f t="shared" si="8"/>
        <v>262109707.04000005</v>
      </c>
      <c r="G88" s="65">
        <f t="shared" si="9"/>
        <v>13105485.352000004</v>
      </c>
      <c r="H88" s="65">
        <f>VLOOKUP(C88,VayMB!$C$16:$G$1374,5,0)</f>
        <v>182708333.33333343</v>
      </c>
      <c r="I88" s="65">
        <f t="shared" si="10"/>
        <v>66295888.35466662</v>
      </c>
      <c r="J88" s="110"/>
      <c r="K88" s="105"/>
      <c r="L88" s="105"/>
    </row>
    <row r="89" spans="1:12" ht="23">
      <c r="A89" s="107"/>
      <c r="B89" s="8">
        <f t="shared" si="11"/>
        <v>7</v>
      </c>
      <c r="C89" s="4">
        <v>75</v>
      </c>
      <c r="D89" s="5" t="s">
        <v>5</v>
      </c>
      <c r="E89" s="79">
        <f>ROUND(POWER((1-$E$4),B89-1)*VLOOKUP(D89,ĐiệnNăng_Input!$A$1:$C$12,2,0),0)</f>
        <v>149299</v>
      </c>
      <c r="F89" s="6">
        <f t="shared" si="8"/>
        <v>290261143.84000003</v>
      </c>
      <c r="G89" s="65">
        <f t="shared" si="9"/>
        <v>14513057.192000002</v>
      </c>
      <c r="H89" s="65">
        <f>VLOOKUP(C89,VayMB!$C$16:$G$1374,5,0)</f>
        <v>181250000.00000012</v>
      </c>
      <c r="I89" s="65">
        <f t="shared" si="10"/>
        <v>94498086.647999883</v>
      </c>
      <c r="J89" s="110"/>
      <c r="K89" s="105"/>
      <c r="L89" s="105"/>
    </row>
    <row r="90" spans="1:12" ht="23">
      <c r="A90" s="107"/>
      <c r="B90" s="8">
        <f t="shared" si="11"/>
        <v>7</v>
      </c>
      <c r="C90" s="4">
        <v>76</v>
      </c>
      <c r="D90" s="80" t="s">
        <v>6</v>
      </c>
      <c r="E90" s="79">
        <f>ROUND(POWER((1-$E$4),B90-1)*VLOOKUP(D90,ĐiệnNăng_Input!$A$1:$C$12,2,0),0)</f>
        <v>131469</v>
      </c>
      <c r="F90" s="6">
        <f t="shared" si="8"/>
        <v>255596771.04000005</v>
      </c>
      <c r="G90" s="65">
        <f t="shared" si="9"/>
        <v>12779838.552000003</v>
      </c>
      <c r="H90" s="65">
        <f>VLOOKUP(C90,VayMB!$C$16:$G$1374,5,0)</f>
        <v>179791666.66666678</v>
      </c>
      <c r="I90" s="65">
        <f t="shared" si="10"/>
        <v>63025265.821333259</v>
      </c>
      <c r="J90" s="110"/>
      <c r="K90" s="105"/>
      <c r="L90" s="105"/>
    </row>
    <row r="91" spans="1:12" ht="23">
      <c r="A91" s="107"/>
      <c r="B91" s="8">
        <f t="shared" si="11"/>
        <v>7</v>
      </c>
      <c r="C91" s="4">
        <v>77</v>
      </c>
      <c r="D91" s="5" t="s">
        <v>7</v>
      </c>
      <c r="E91" s="79">
        <f>ROUND(POWER((1-$E$4),B91-1)*VLOOKUP(D91,ĐiệnNăng_Input!$A$1:$C$12,2,0),0)</f>
        <v>110525</v>
      </c>
      <c r="F91" s="6">
        <f t="shared" si="8"/>
        <v>214878284.00000003</v>
      </c>
      <c r="G91" s="65">
        <f t="shared" si="9"/>
        <v>10743914.200000003</v>
      </c>
      <c r="H91" s="65">
        <f>VLOOKUP(C91,VayMB!$C$16:$G$1374,5,0)</f>
        <v>178333333.33333343</v>
      </c>
      <c r="I91" s="65">
        <f t="shared" si="10"/>
        <v>25801036.466666579</v>
      </c>
      <c r="J91" s="110"/>
      <c r="K91" s="105"/>
      <c r="L91" s="105"/>
    </row>
    <row r="92" spans="1:12" ht="23">
      <c r="A92" s="107"/>
      <c r="B92" s="8">
        <f t="shared" si="11"/>
        <v>7</v>
      </c>
      <c r="C92" s="4">
        <v>78</v>
      </c>
      <c r="D92" s="80" t="s">
        <v>8</v>
      </c>
      <c r="E92" s="79">
        <f>ROUND(POWER((1-$E$4),B92-1)*VLOOKUP(D92,ĐiệnNăng_Input!$A$1:$C$12,2,0),0)</f>
        <v>101415</v>
      </c>
      <c r="F92" s="6">
        <f t="shared" si="8"/>
        <v>197166986.40000004</v>
      </c>
      <c r="G92" s="65">
        <f t="shared" si="9"/>
        <v>9858349.3200000022</v>
      </c>
      <c r="H92" s="65">
        <f>VLOOKUP(C92,VayMB!$C$16:$G$1374,5,0)</f>
        <v>176875000.00000012</v>
      </c>
      <c r="I92" s="65">
        <f t="shared" si="10"/>
        <v>10433637.079999924</v>
      </c>
      <c r="J92" s="110"/>
      <c r="K92" s="105"/>
      <c r="L92" s="105"/>
    </row>
    <row r="93" spans="1:12" ht="23">
      <c r="A93" s="107"/>
      <c r="B93" s="8">
        <f t="shared" si="11"/>
        <v>7</v>
      </c>
      <c r="C93" s="4">
        <v>79</v>
      </c>
      <c r="D93" s="5" t="s">
        <v>9</v>
      </c>
      <c r="E93" s="79">
        <f>ROUND(POWER((1-$E$4),B93-1)*VLOOKUP(D93,ĐiệnNăng_Input!$A$1:$C$12,2,0),0)</f>
        <v>100608</v>
      </c>
      <c r="F93" s="6">
        <f t="shared" si="8"/>
        <v>195598049.28000003</v>
      </c>
      <c r="G93" s="65">
        <f t="shared" si="9"/>
        <v>9779902.4640000015</v>
      </c>
      <c r="H93" s="65">
        <f>VLOOKUP(C93,VayMB!$C$16:$G$1374,5,0)</f>
        <v>175416666.66666678</v>
      </c>
      <c r="I93" s="65">
        <f t="shared" si="10"/>
        <v>10401480.149333268</v>
      </c>
      <c r="J93" s="110"/>
      <c r="K93" s="105"/>
      <c r="L93" s="105"/>
    </row>
    <row r="94" spans="1:12" ht="23">
      <c r="A94" s="107"/>
      <c r="B94" s="8">
        <f t="shared" si="11"/>
        <v>7</v>
      </c>
      <c r="C94" s="4">
        <v>80</v>
      </c>
      <c r="D94" s="80" t="s">
        <v>10</v>
      </c>
      <c r="E94" s="79">
        <f>ROUND(POWER((1-$E$4),B94-1)*VLOOKUP(D94,ĐiệnNăng_Input!$A$1:$C$12,2,0),0)</f>
        <v>102871</v>
      </c>
      <c r="F94" s="6">
        <f t="shared" si="8"/>
        <v>199997683.36000004</v>
      </c>
      <c r="G94" s="65">
        <f t="shared" si="9"/>
        <v>9999884.1680000033</v>
      </c>
      <c r="H94" s="65">
        <f>VLOOKUP(C94,VayMB!$C$16:$G$1374,5,0)</f>
        <v>173958333.33333343</v>
      </c>
      <c r="I94" s="65">
        <f t="shared" si="10"/>
        <v>16039465.858666599</v>
      </c>
      <c r="J94" s="110"/>
      <c r="K94" s="105"/>
      <c r="L94" s="105"/>
    </row>
    <row r="95" spans="1:12" ht="23">
      <c r="A95" s="107"/>
      <c r="B95" s="8">
        <f t="shared" si="11"/>
        <v>7</v>
      </c>
      <c r="C95" s="4">
        <v>81</v>
      </c>
      <c r="D95" s="5" t="s">
        <v>11</v>
      </c>
      <c r="E95" s="79">
        <f>ROUND(POWER((1-$E$4),B95-1)*VLOOKUP(D95,ĐiệnNăng_Input!$A$1:$C$12,2,0),0)</f>
        <v>107120</v>
      </c>
      <c r="F95" s="6">
        <f t="shared" si="8"/>
        <v>208258419.20000005</v>
      </c>
      <c r="G95" s="65">
        <f t="shared" si="9"/>
        <v>10412920.960000003</v>
      </c>
      <c r="H95" s="65">
        <f>VLOOKUP(C95,VayMB!$C$16:$G$1374,5,0)</f>
        <v>172500000.00000012</v>
      </c>
      <c r="I95" s="65">
        <f t="shared" si="10"/>
        <v>25345498.23999992</v>
      </c>
      <c r="J95" s="110"/>
      <c r="K95" s="105"/>
      <c r="L95" s="105"/>
    </row>
    <row r="96" spans="1:12" ht="23">
      <c r="A96" s="107"/>
      <c r="B96" s="8">
        <f t="shared" si="11"/>
        <v>7</v>
      </c>
      <c r="C96" s="4">
        <v>82</v>
      </c>
      <c r="D96" s="80" t="s">
        <v>12</v>
      </c>
      <c r="E96" s="79">
        <f>ROUND(POWER((1-$E$4),B96-1)*VLOOKUP(D96,ĐiệnNăng_Input!$A$1:$C$12,2,0),0)</f>
        <v>95542</v>
      </c>
      <c r="F96" s="6">
        <f t="shared" si="8"/>
        <v>185748934.72000003</v>
      </c>
      <c r="G96" s="65">
        <f t="shared" si="9"/>
        <v>9287446.7360000014</v>
      </c>
      <c r="H96" s="65">
        <f>VLOOKUP(C96,VayMB!$C$16:$G$1374,5,0)</f>
        <v>171041666.66666678</v>
      </c>
      <c r="I96" s="65">
        <f t="shared" si="10"/>
        <v>5419821.3173332512</v>
      </c>
      <c r="J96" s="110"/>
      <c r="K96" s="105"/>
      <c r="L96" s="105"/>
    </row>
    <row r="97" spans="1:12" ht="23">
      <c r="A97" s="107"/>
      <c r="B97" s="8">
        <f t="shared" si="11"/>
        <v>7</v>
      </c>
      <c r="C97" s="4">
        <v>83</v>
      </c>
      <c r="D97" s="5" t="s">
        <v>13</v>
      </c>
      <c r="E97" s="79">
        <f>ROUND(POWER((1-$E$4),B97-1)*VLOOKUP(D97,ĐiệnNăng_Input!$A$1:$C$12,2,0),0)</f>
        <v>116217</v>
      </c>
      <c r="F97" s="6">
        <f t="shared" si="8"/>
        <v>225944442.72000003</v>
      </c>
      <c r="G97" s="65">
        <f t="shared" si="9"/>
        <v>11297222.136000002</v>
      </c>
      <c r="H97" s="65">
        <f>VLOOKUP(C97,VayMB!$C$16:$G$1374,5,0)</f>
        <v>169583333.33333343</v>
      </c>
      <c r="I97" s="65">
        <f t="shared" si="10"/>
        <v>45063887.250666589</v>
      </c>
      <c r="J97" s="110"/>
      <c r="K97" s="105"/>
      <c r="L97" s="105"/>
    </row>
    <row r="98" spans="1:12" ht="24" thickBot="1">
      <c r="A98" s="107"/>
      <c r="B98" s="8">
        <f t="shared" si="11"/>
        <v>7</v>
      </c>
      <c r="C98" s="4">
        <v>84</v>
      </c>
      <c r="D98" s="80" t="s">
        <v>14</v>
      </c>
      <c r="E98" s="79">
        <f>ROUND(POWER((1-$E$4),B98-1)*VLOOKUP(D98,ĐiệnNăng_Input!$A$1:$C$12,2,0),0)</f>
        <v>114073</v>
      </c>
      <c r="F98" s="6">
        <f t="shared" si="8"/>
        <v>221776163.68000004</v>
      </c>
      <c r="G98" s="65">
        <f t="shared" si="9"/>
        <v>11088808.184000002</v>
      </c>
      <c r="H98" s="65">
        <f>VLOOKUP(C98,VayMB!$C$16:$G$1374,5,0)</f>
        <v>168125000.00000012</v>
      </c>
      <c r="I98" s="65">
        <f t="shared" si="10"/>
        <v>42562355.495999902</v>
      </c>
      <c r="J98" s="110"/>
      <c r="K98" s="106"/>
      <c r="L98" s="106"/>
    </row>
    <row r="99" spans="1:12" ht="23">
      <c r="A99" s="109">
        <v>8</v>
      </c>
      <c r="B99" s="8">
        <f t="shared" si="11"/>
        <v>8</v>
      </c>
      <c r="C99" s="4">
        <v>85</v>
      </c>
      <c r="D99" s="5" t="s">
        <v>3</v>
      </c>
      <c r="E99" s="79">
        <f>ROUND(POWER((1-$E$4),B99-1)*VLOOKUP(D99,ĐiệnNăng_Input!$A$1:$C$12,2,0),0)</f>
        <v>135354</v>
      </c>
      <c r="F99" s="6">
        <f t="shared" si="8"/>
        <v>263149832.64000005</v>
      </c>
      <c r="G99" s="65">
        <f t="shared" si="9"/>
        <v>13157491.632000003</v>
      </c>
      <c r="H99" s="65" t="e">
        <f>VLOOKUP(C99,VayMB!$C$16:$G$1374,5,0)</f>
        <v>#N/A</v>
      </c>
      <c r="I99" s="65">
        <f t="shared" si="10"/>
        <v>249992341.00800005</v>
      </c>
      <c r="J99" s="110">
        <f>SUMIF($B$15:$B$314,"=8",$I$15:$I$314)</f>
        <v>2572785666.4800005</v>
      </c>
      <c r="K99" s="104">
        <f t="shared" ref="K99:L99" si="13">IF(J99&lt;0,1,0)</f>
        <v>0</v>
      </c>
      <c r="L99" s="104">
        <f>IF(AND(K99=0,K87=1),A99,0)</f>
        <v>0</v>
      </c>
    </row>
    <row r="100" spans="1:12" ht="23">
      <c r="A100" s="109"/>
      <c r="B100" s="8">
        <f t="shared" si="11"/>
        <v>8</v>
      </c>
      <c r="C100" s="4">
        <v>86</v>
      </c>
      <c r="D100" s="80" t="s">
        <v>4</v>
      </c>
      <c r="E100" s="79">
        <f>ROUND(POWER((1-$E$4),B100-1)*VLOOKUP(D100,ĐiệnNăng_Input!$A$1:$C$12,2,0),0)</f>
        <v>134145</v>
      </c>
      <c r="F100" s="6">
        <f t="shared" si="8"/>
        <v>260799343.20000005</v>
      </c>
      <c r="G100" s="65">
        <f t="shared" si="9"/>
        <v>13039967.160000004</v>
      </c>
      <c r="H100" s="65" t="e">
        <f>VLOOKUP(C100,VayMB!$C$16:$G$1374,5,0)</f>
        <v>#N/A</v>
      </c>
      <c r="I100" s="65">
        <f t="shared" si="10"/>
        <v>247759376.04000005</v>
      </c>
      <c r="J100" s="110"/>
      <c r="K100" s="105"/>
      <c r="L100" s="105"/>
    </row>
    <row r="101" spans="1:12" ht="23">
      <c r="A101" s="109"/>
      <c r="B101" s="8">
        <f t="shared" si="11"/>
        <v>8</v>
      </c>
      <c r="C101" s="4">
        <v>87</v>
      </c>
      <c r="D101" s="5" t="s">
        <v>5</v>
      </c>
      <c r="E101" s="79">
        <f>ROUND(POWER((1-$E$4),B101-1)*VLOOKUP(D101,ĐiệnNăng_Input!$A$1:$C$12,2,0),0)</f>
        <v>148552</v>
      </c>
      <c r="F101" s="6">
        <f t="shared" si="8"/>
        <v>288808856.32000005</v>
      </c>
      <c r="G101" s="65">
        <f t="shared" si="9"/>
        <v>14440442.816000003</v>
      </c>
      <c r="H101" s="65" t="e">
        <f>VLOOKUP(C101,VayMB!$C$16:$G$1374,5,0)</f>
        <v>#N/A</v>
      </c>
      <c r="I101" s="65">
        <f t="shared" si="10"/>
        <v>274368413.50400007</v>
      </c>
      <c r="J101" s="110"/>
      <c r="K101" s="105"/>
      <c r="L101" s="105"/>
    </row>
    <row r="102" spans="1:12" ht="23">
      <c r="A102" s="109"/>
      <c r="B102" s="8">
        <f t="shared" si="11"/>
        <v>8</v>
      </c>
      <c r="C102" s="4">
        <v>88</v>
      </c>
      <c r="D102" s="80" t="s">
        <v>6</v>
      </c>
      <c r="E102" s="79">
        <f>ROUND(POWER((1-$E$4),B102-1)*VLOOKUP(D102,ĐiệnNăng_Input!$A$1:$C$12,2,0),0)</f>
        <v>130811</v>
      </c>
      <c r="F102" s="6">
        <f t="shared" si="8"/>
        <v>254317513.76000005</v>
      </c>
      <c r="G102" s="65">
        <f t="shared" si="9"/>
        <v>12715875.688000003</v>
      </c>
      <c r="H102" s="65" t="e">
        <f>VLOOKUP(C102,VayMB!$C$16:$G$1374,5,0)</f>
        <v>#N/A</v>
      </c>
      <c r="I102" s="65">
        <f t="shared" si="10"/>
        <v>241601638.07200006</v>
      </c>
      <c r="J102" s="110"/>
      <c r="K102" s="105"/>
      <c r="L102" s="105"/>
    </row>
    <row r="103" spans="1:12" ht="23">
      <c r="A103" s="109"/>
      <c r="B103" s="8">
        <f t="shared" si="11"/>
        <v>8</v>
      </c>
      <c r="C103" s="4">
        <v>89</v>
      </c>
      <c r="D103" s="5" t="s">
        <v>7</v>
      </c>
      <c r="E103" s="79">
        <f>ROUND(POWER((1-$E$4),B103-1)*VLOOKUP(D103,ĐiệnNăng_Input!$A$1:$C$12,2,0),0)</f>
        <v>109972</v>
      </c>
      <c r="F103" s="6">
        <f t="shared" si="8"/>
        <v>213803163.52000004</v>
      </c>
      <c r="G103" s="65">
        <f t="shared" si="9"/>
        <v>10690158.176000003</v>
      </c>
      <c r="H103" s="65" t="e">
        <f>VLOOKUP(C103,VayMB!$C$16:$G$1374,5,0)</f>
        <v>#N/A</v>
      </c>
      <c r="I103" s="65">
        <f t="shared" si="10"/>
        <v>203113005.34400004</v>
      </c>
      <c r="J103" s="110"/>
      <c r="K103" s="105"/>
      <c r="L103" s="105"/>
    </row>
    <row r="104" spans="1:12" ht="23">
      <c r="A104" s="109"/>
      <c r="B104" s="8">
        <f t="shared" si="11"/>
        <v>8</v>
      </c>
      <c r="C104" s="4">
        <v>90</v>
      </c>
      <c r="D104" s="80" t="s">
        <v>8</v>
      </c>
      <c r="E104" s="79">
        <f>ROUND(POWER((1-$E$4),B104-1)*VLOOKUP(D104,ĐiệnNăng_Input!$A$1:$C$12,2,0),0)</f>
        <v>100908</v>
      </c>
      <c r="F104" s="6">
        <f t="shared" si="8"/>
        <v>196181297.28000003</v>
      </c>
      <c r="G104" s="65">
        <f t="shared" si="9"/>
        <v>9809064.8640000019</v>
      </c>
      <c r="H104" s="65" t="e">
        <f>VLOOKUP(C104,VayMB!$C$16:$G$1374,5,0)</f>
        <v>#N/A</v>
      </c>
      <c r="I104" s="65">
        <f t="shared" si="10"/>
        <v>186372232.41600004</v>
      </c>
      <c r="J104" s="110"/>
      <c r="K104" s="105"/>
      <c r="L104" s="105"/>
    </row>
    <row r="105" spans="1:12" ht="23">
      <c r="A105" s="109"/>
      <c r="B105" s="8">
        <f t="shared" si="11"/>
        <v>8</v>
      </c>
      <c r="C105" s="4">
        <v>91</v>
      </c>
      <c r="D105" s="5" t="s">
        <v>9</v>
      </c>
      <c r="E105" s="79">
        <f>ROUND(POWER((1-$E$4),B105-1)*VLOOKUP(D105,ĐiệnNăng_Input!$A$1:$C$12,2,0),0)</f>
        <v>100105</v>
      </c>
      <c r="F105" s="6">
        <f t="shared" si="8"/>
        <v>194620136.80000004</v>
      </c>
      <c r="G105" s="65">
        <f t="shared" si="9"/>
        <v>9731006.8400000017</v>
      </c>
      <c r="H105" s="65" t="e">
        <f>VLOOKUP(C105,VayMB!$C$16:$G$1374,5,0)</f>
        <v>#N/A</v>
      </c>
      <c r="I105" s="65">
        <f t="shared" si="10"/>
        <v>184889129.96000004</v>
      </c>
      <c r="J105" s="110"/>
      <c r="K105" s="105"/>
      <c r="L105" s="105"/>
    </row>
    <row r="106" spans="1:12" ht="23">
      <c r="A106" s="109"/>
      <c r="B106" s="8">
        <f t="shared" si="11"/>
        <v>8</v>
      </c>
      <c r="C106" s="4">
        <v>92</v>
      </c>
      <c r="D106" s="80" t="s">
        <v>10</v>
      </c>
      <c r="E106" s="79">
        <f>ROUND(POWER((1-$E$4),B106-1)*VLOOKUP(D106,ĐiệnNăng_Input!$A$1:$C$12,2,0),0)</f>
        <v>102357</v>
      </c>
      <c r="F106" s="6">
        <f t="shared" si="8"/>
        <v>198998385.12000003</v>
      </c>
      <c r="G106" s="65">
        <f t="shared" si="9"/>
        <v>9949919.2560000028</v>
      </c>
      <c r="H106" s="65" t="e">
        <f>VLOOKUP(C106,VayMB!$C$16:$G$1374,5,0)</f>
        <v>#N/A</v>
      </c>
      <c r="I106" s="65">
        <f t="shared" si="10"/>
        <v>189048465.86400002</v>
      </c>
      <c r="J106" s="110"/>
      <c r="K106" s="105"/>
      <c r="L106" s="105"/>
    </row>
    <row r="107" spans="1:12" ht="23">
      <c r="A107" s="109"/>
      <c r="B107" s="8">
        <f t="shared" si="11"/>
        <v>8</v>
      </c>
      <c r="C107" s="4">
        <v>93</v>
      </c>
      <c r="D107" s="5" t="s">
        <v>11</v>
      </c>
      <c r="E107" s="79">
        <f>ROUND(POWER((1-$E$4),B107-1)*VLOOKUP(D107,ĐiệnNăng_Input!$A$1:$C$12,2,0),0)</f>
        <v>106584</v>
      </c>
      <c r="F107" s="6">
        <f t="shared" si="8"/>
        <v>207216349.44000003</v>
      </c>
      <c r="G107" s="65">
        <f t="shared" si="9"/>
        <v>10360817.472000003</v>
      </c>
      <c r="H107" s="65" t="e">
        <f>VLOOKUP(C107,VayMB!$C$16:$G$1374,5,0)</f>
        <v>#N/A</v>
      </c>
      <c r="I107" s="65">
        <f t="shared" si="10"/>
        <v>196855531.96800002</v>
      </c>
      <c r="J107" s="110"/>
      <c r="K107" s="105"/>
      <c r="L107" s="105"/>
    </row>
    <row r="108" spans="1:12" ht="23">
      <c r="A108" s="109"/>
      <c r="B108" s="8">
        <f t="shared" si="11"/>
        <v>8</v>
      </c>
      <c r="C108" s="4">
        <v>94</v>
      </c>
      <c r="D108" s="80" t="s">
        <v>12</v>
      </c>
      <c r="E108" s="79">
        <f>ROUND(POWER((1-$E$4),B108-1)*VLOOKUP(D108,ĐiệnNăng_Input!$A$1:$C$12,2,0),0)</f>
        <v>95064</v>
      </c>
      <c r="F108" s="6">
        <f t="shared" si="8"/>
        <v>184819626.24000004</v>
      </c>
      <c r="G108" s="65">
        <f t="shared" si="9"/>
        <v>9240981.3120000027</v>
      </c>
      <c r="H108" s="65" t="e">
        <f>VLOOKUP(C108,VayMB!$C$16:$G$1374,5,0)</f>
        <v>#N/A</v>
      </c>
      <c r="I108" s="65">
        <f t="shared" si="10"/>
        <v>175578644.92800003</v>
      </c>
      <c r="J108" s="110"/>
      <c r="K108" s="105"/>
      <c r="L108" s="105"/>
    </row>
    <row r="109" spans="1:12" ht="23">
      <c r="A109" s="109"/>
      <c r="B109" s="8">
        <f t="shared" si="11"/>
        <v>8</v>
      </c>
      <c r="C109" s="4">
        <v>95</v>
      </c>
      <c r="D109" s="5" t="s">
        <v>13</v>
      </c>
      <c r="E109" s="79">
        <f>ROUND(POWER((1-$E$4),B109-1)*VLOOKUP(D109,ĐiệnNăng_Input!$A$1:$C$12,2,0),0)</f>
        <v>115636</v>
      </c>
      <c r="F109" s="6">
        <f t="shared" si="8"/>
        <v>224814885.76000005</v>
      </c>
      <c r="G109" s="65">
        <f t="shared" si="9"/>
        <v>11240744.288000003</v>
      </c>
      <c r="H109" s="65" t="e">
        <f>VLOOKUP(C109,VayMB!$C$16:$G$1374,5,0)</f>
        <v>#N/A</v>
      </c>
      <c r="I109" s="65">
        <f t="shared" si="10"/>
        <v>213574141.47200006</v>
      </c>
      <c r="J109" s="110"/>
      <c r="K109" s="105"/>
      <c r="L109" s="105"/>
    </row>
    <row r="110" spans="1:12" ht="24" thickBot="1">
      <c r="A110" s="109"/>
      <c r="B110" s="8">
        <f t="shared" si="11"/>
        <v>8</v>
      </c>
      <c r="C110" s="4">
        <v>96</v>
      </c>
      <c r="D110" s="80" t="s">
        <v>14</v>
      </c>
      <c r="E110" s="79">
        <f>ROUND(POWER((1-$E$4),B110-1)*VLOOKUP(D110,ĐiệnNăng_Input!$A$1:$C$12,2,0),0)</f>
        <v>113502</v>
      </c>
      <c r="F110" s="6">
        <f t="shared" si="8"/>
        <v>220666048.32000002</v>
      </c>
      <c r="G110" s="65">
        <f t="shared" si="9"/>
        <v>11033302.416000001</v>
      </c>
      <c r="H110" s="65" t="e">
        <f>VLOOKUP(C110,VayMB!$C$16:$G$1374,5,0)</f>
        <v>#N/A</v>
      </c>
      <c r="I110" s="65">
        <f t="shared" si="10"/>
        <v>209632745.90400001</v>
      </c>
      <c r="J110" s="110"/>
      <c r="K110" s="106"/>
      <c r="L110" s="106"/>
    </row>
    <row r="111" spans="1:12" ht="23">
      <c r="A111" s="107">
        <v>9</v>
      </c>
      <c r="B111" s="8">
        <f t="shared" si="11"/>
        <v>9</v>
      </c>
      <c r="C111" s="4">
        <v>97</v>
      </c>
      <c r="D111" s="5" t="s">
        <v>3</v>
      </c>
      <c r="E111" s="79">
        <f>ROUND(POWER((1-$E$4),B111-1)*VLOOKUP(D111,ĐiệnNăng_Input!$A$1:$C$12,2,0),0)</f>
        <v>134678</v>
      </c>
      <c r="F111" s="6">
        <f t="shared" si="8"/>
        <v>261835580.48000005</v>
      </c>
      <c r="G111" s="65">
        <f t="shared" si="9"/>
        <v>13091779.024000004</v>
      </c>
      <c r="H111" s="65" t="e">
        <f>VLOOKUP(C111,VayMB!$C$16:$G$1374,5,0)</f>
        <v>#N/A</v>
      </c>
      <c r="I111" s="65">
        <f t="shared" si="10"/>
        <v>248743801.45600003</v>
      </c>
      <c r="J111" s="110">
        <f>SUMIF($B$15:$B$314,"=9",$I$15:$I$314)</f>
        <v>2559927186.6560001</v>
      </c>
      <c r="K111" s="104">
        <f t="shared" ref="K111:L111" si="14">IF(J111&lt;0,1,0)</f>
        <v>0</v>
      </c>
      <c r="L111" s="104">
        <f>IF(AND(K111=0,K99=1),A111,0)</f>
        <v>0</v>
      </c>
    </row>
    <row r="112" spans="1:12" ht="23">
      <c r="A112" s="107"/>
      <c r="B112" s="8">
        <f t="shared" si="11"/>
        <v>9</v>
      </c>
      <c r="C112" s="4">
        <v>98</v>
      </c>
      <c r="D112" s="80" t="s">
        <v>4</v>
      </c>
      <c r="E112" s="79">
        <f>ROUND(POWER((1-$E$4),B112-1)*VLOOKUP(D112,ĐiệnNăng_Input!$A$1:$C$12,2,0),0)</f>
        <v>133475</v>
      </c>
      <c r="F112" s="6">
        <f t="shared" si="8"/>
        <v>259496756.00000003</v>
      </c>
      <c r="G112" s="65">
        <f t="shared" si="9"/>
        <v>12974837.800000003</v>
      </c>
      <c r="H112" s="65" t="e">
        <f>VLOOKUP(C112,VayMB!$C$16:$G$1374,5,0)</f>
        <v>#N/A</v>
      </c>
      <c r="I112" s="65">
        <f t="shared" si="10"/>
        <v>246521918.20000002</v>
      </c>
      <c r="J112" s="110"/>
      <c r="K112" s="105"/>
      <c r="L112" s="105"/>
    </row>
    <row r="113" spans="1:12" ht="23">
      <c r="A113" s="107"/>
      <c r="B113" s="8">
        <f t="shared" si="11"/>
        <v>9</v>
      </c>
      <c r="C113" s="4">
        <v>99</v>
      </c>
      <c r="D113" s="5" t="s">
        <v>5</v>
      </c>
      <c r="E113" s="79">
        <f>ROUND(POWER((1-$E$4),B113-1)*VLOOKUP(D113,ĐiệnNăng_Input!$A$1:$C$12,2,0),0)</f>
        <v>147809</v>
      </c>
      <c r="F113" s="6">
        <f t="shared" si="8"/>
        <v>287364345.44000006</v>
      </c>
      <c r="G113" s="65">
        <f t="shared" si="9"/>
        <v>14368217.272000004</v>
      </c>
      <c r="H113" s="65" t="e">
        <f>VLOOKUP(C113,VayMB!$C$16:$G$1374,5,0)</f>
        <v>#N/A</v>
      </c>
      <c r="I113" s="65">
        <f t="shared" si="10"/>
        <v>272996128.16800004</v>
      </c>
      <c r="J113" s="110"/>
      <c r="K113" s="105"/>
      <c r="L113" s="105"/>
    </row>
    <row r="114" spans="1:12" ht="23">
      <c r="A114" s="107"/>
      <c r="B114" s="8">
        <f t="shared" si="11"/>
        <v>9</v>
      </c>
      <c r="C114" s="4">
        <v>100</v>
      </c>
      <c r="D114" s="80" t="s">
        <v>6</v>
      </c>
      <c r="E114" s="79">
        <f>ROUND(POWER((1-$E$4),B114-1)*VLOOKUP(D114,ĐiệnNăng_Input!$A$1:$C$12,2,0),0)</f>
        <v>130157</v>
      </c>
      <c r="F114" s="6">
        <f t="shared" si="8"/>
        <v>253046033.12000003</v>
      </c>
      <c r="G114" s="65">
        <f t="shared" si="9"/>
        <v>12652301.656000003</v>
      </c>
      <c r="H114" s="65" t="e">
        <f>VLOOKUP(C114,VayMB!$C$16:$G$1374,5,0)</f>
        <v>#N/A</v>
      </c>
      <c r="I114" s="65">
        <f t="shared" si="10"/>
        <v>240393731.46400005</v>
      </c>
      <c r="J114" s="110"/>
      <c r="K114" s="105"/>
      <c r="L114" s="105"/>
    </row>
    <row r="115" spans="1:12" ht="23">
      <c r="A115" s="107"/>
      <c r="B115" s="8">
        <f t="shared" si="11"/>
        <v>9</v>
      </c>
      <c r="C115" s="4">
        <v>101</v>
      </c>
      <c r="D115" s="5" t="s">
        <v>7</v>
      </c>
      <c r="E115" s="79">
        <f>ROUND(POWER((1-$E$4),B115-1)*VLOOKUP(D115,ĐiệnNăng_Input!$A$1:$C$12,2,0),0)</f>
        <v>109422</v>
      </c>
      <c r="F115" s="6">
        <f t="shared" si="8"/>
        <v>212733875.52000004</v>
      </c>
      <c r="G115" s="65">
        <f t="shared" si="9"/>
        <v>10636693.776000002</v>
      </c>
      <c r="H115" s="65" t="e">
        <f>VLOOKUP(C115,VayMB!$C$16:$G$1374,5,0)</f>
        <v>#N/A</v>
      </c>
      <c r="I115" s="65">
        <f t="shared" si="10"/>
        <v>202097181.74400005</v>
      </c>
      <c r="J115" s="110"/>
      <c r="K115" s="105"/>
      <c r="L115" s="105"/>
    </row>
    <row r="116" spans="1:12" ht="23">
      <c r="A116" s="107"/>
      <c r="B116" s="8">
        <f t="shared" si="11"/>
        <v>9</v>
      </c>
      <c r="C116" s="4">
        <v>102</v>
      </c>
      <c r="D116" s="80" t="s">
        <v>8</v>
      </c>
      <c r="E116" s="79">
        <f>ROUND(POWER((1-$E$4),B116-1)*VLOOKUP(D116,ĐiệnNăng_Input!$A$1:$C$12,2,0),0)</f>
        <v>100404</v>
      </c>
      <c r="F116" s="6">
        <f t="shared" si="8"/>
        <v>195201440.64000005</v>
      </c>
      <c r="G116" s="65">
        <f t="shared" si="9"/>
        <v>9760072.0320000034</v>
      </c>
      <c r="H116" s="65" t="e">
        <f>VLOOKUP(C116,VayMB!$C$16:$G$1374,5,0)</f>
        <v>#N/A</v>
      </c>
      <c r="I116" s="65">
        <f t="shared" si="10"/>
        <v>185441368.60800004</v>
      </c>
      <c r="J116" s="110"/>
      <c r="K116" s="105"/>
      <c r="L116" s="105"/>
    </row>
    <row r="117" spans="1:12" ht="23">
      <c r="A117" s="107"/>
      <c r="B117" s="8">
        <f t="shared" si="11"/>
        <v>9</v>
      </c>
      <c r="C117" s="4">
        <v>103</v>
      </c>
      <c r="D117" s="5" t="s">
        <v>9</v>
      </c>
      <c r="E117" s="79">
        <f>ROUND(POWER((1-$E$4),B117-1)*VLOOKUP(D117,ĐiệnNăng_Input!$A$1:$C$12,2,0),0)</f>
        <v>99605</v>
      </c>
      <c r="F117" s="6">
        <f t="shared" si="8"/>
        <v>193648056.80000004</v>
      </c>
      <c r="G117" s="65">
        <f t="shared" si="9"/>
        <v>9682402.8400000017</v>
      </c>
      <c r="H117" s="65" t="e">
        <f>VLOOKUP(C117,VayMB!$C$16:$G$1374,5,0)</f>
        <v>#N/A</v>
      </c>
      <c r="I117" s="65">
        <f t="shared" si="10"/>
        <v>183965653.96000004</v>
      </c>
      <c r="J117" s="110"/>
      <c r="K117" s="105"/>
      <c r="L117" s="105"/>
    </row>
    <row r="118" spans="1:12" ht="23">
      <c r="A118" s="107"/>
      <c r="B118" s="8">
        <f t="shared" si="11"/>
        <v>9</v>
      </c>
      <c r="C118" s="4">
        <v>104</v>
      </c>
      <c r="D118" s="80" t="s">
        <v>10</v>
      </c>
      <c r="E118" s="79">
        <f>ROUND(POWER((1-$E$4),B118-1)*VLOOKUP(D118,ĐiệnNăng_Input!$A$1:$C$12,2,0),0)</f>
        <v>101845</v>
      </c>
      <c r="F118" s="6">
        <f t="shared" si="8"/>
        <v>198002975.20000002</v>
      </c>
      <c r="G118" s="65">
        <f t="shared" si="9"/>
        <v>9900148.7600000016</v>
      </c>
      <c r="H118" s="65" t="e">
        <f>VLOOKUP(C118,VayMB!$C$16:$G$1374,5,0)</f>
        <v>#N/A</v>
      </c>
      <c r="I118" s="65">
        <f t="shared" si="10"/>
        <v>188102826.44000003</v>
      </c>
      <c r="J118" s="110"/>
      <c r="K118" s="105"/>
      <c r="L118" s="105"/>
    </row>
    <row r="119" spans="1:12" ht="23">
      <c r="A119" s="107"/>
      <c r="B119" s="8">
        <f t="shared" si="11"/>
        <v>9</v>
      </c>
      <c r="C119" s="4">
        <v>105</v>
      </c>
      <c r="D119" s="5" t="s">
        <v>11</v>
      </c>
      <c r="E119" s="79">
        <f>ROUND(POWER((1-$E$4),B119-1)*VLOOKUP(D119,ĐiệnNăng_Input!$A$1:$C$12,2,0),0)</f>
        <v>106051</v>
      </c>
      <c r="F119" s="6">
        <f t="shared" si="8"/>
        <v>206180112.16000003</v>
      </c>
      <c r="G119" s="65">
        <f t="shared" si="9"/>
        <v>10309005.608000003</v>
      </c>
      <c r="H119" s="65" t="e">
        <f>VLOOKUP(C119,VayMB!$C$16:$G$1374,5,0)</f>
        <v>#N/A</v>
      </c>
      <c r="I119" s="65">
        <f t="shared" si="10"/>
        <v>195871106.55200002</v>
      </c>
      <c r="J119" s="110"/>
      <c r="K119" s="105"/>
      <c r="L119" s="105"/>
    </row>
    <row r="120" spans="1:12" ht="23">
      <c r="A120" s="107"/>
      <c r="B120" s="8">
        <f t="shared" si="11"/>
        <v>9</v>
      </c>
      <c r="C120" s="4">
        <v>106</v>
      </c>
      <c r="D120" s="80" t="s">
        <v>12</v>
      </c>
      <c r="E120" s="79">
        <f>ROUND(POWER((1-$E$4),B120-1)*VLOOKUP(D120,ĐiệnNăng_Input!$A$1:$C$12,2,0),0)</f>
        <v>94589</v>
      </c>
      <c r="F120" s="6">
        <f t="shared" si="8"/>
        <v>183896150.24000004</v>
      </c>
      <c r="G120" s="65">
        <f t="shared" si="9"/>
        <v>9194807.512000002</v>
      </c>
      <c r="H120" s="65" t="e">
        <f>VLOOKUP(C120,VayMB!$C$16:$G$1374,5,0)</f>
        <v>#N/A</v>
      </c>
      <c r="I120" s="65">
        <f t="shared" si="10"/>
        <v>174701342.72800004</v>
      </c>
      <c r="J120" s="110"/>
      <c r="K120" s="105"/>
      <c r="L120" s="105"/>
    </row>
    <row r="121" spans="1:12" ht="23">
      <c r="A121" s="107"/>
      <c r="B121" s="8">
        <f t="shared" si="11"/>
        <v>9</v>
      </c>
      <c r="C121" s="4">
        <v>107</v>
      </c>
      <c r="D121" s="5" t="s">
        <v>13</v>
      </c>
      <c r="E121" s="79">
        <f>ROUND(POWER((1-$E$4),B121-1)*VLOOKUP(D121,ĐiệnNăng_Input!$A$1:$C$12,2,0),0)</f>
        <v>115058</v>
      </c>
      <c r="F121" s="6">
        <f t="shared" si="8"/>
        <v>223691161.28000003</v>
      </c>
      <c r="G121" s="65">
        <f t="shared" si="9"/>
        <v>11184558.064000003</v>
      </c>
      <c r="H121" s="65" t="e">
        <f>VLOOKUP(C121,VayMB!$C$16:$G$1374,5,0)</f>
        <v>#N/A</v>
      </c>
      <c r="I121" s="65">
        <f t="shared" si="10"/>
        <v>212506603.21600002</v>
      </c>
      <c r="J121" s="110"/>
      <c r="K121" s="105"/>
      <c r="L121" s="105"/>
    </row>
    <row r="122" spans="1:12" ht="24" thickBot="1">
      <c r="A122" s="107"/>
      <c r="B122" s="8">
        <f t="shared" si="11"/>
        <v>9</v>
      </c>
      <c r="C122" s="4">
        <v>108</v>
      </c>
      <c r="D122" s="80" t="s">
        <v>14</v>
      </c>
      <c r="E122" s="79">
        <f>ROUND(POWER((1-$E$4),B122-1)*VLOOKUP(D122,ĐiệnNăng_Input!$A$1:$C$12,2,0),0)</f>
        <v>112935</v>
      </c>
      <c r="F122" s="6">
        <f t="shared" si="8"/>
        <v>219563709.60000002</v>
      </c>
      <c r="G122" s="65">
        <f t="shared" si="9"/>
        <v>10978185.480000002</v>
      </c>
      <c r="H122" s="65" t="e">
        <f>VLOOKUP(C122,VayMB!$C$16:$G$1374,5,0)</f>
        <v>#N/A</v>
      </c>
      <c r="I122" s="65">
        <f t="shared" si="10"/>
        <v>208585524.12000003</v>
      </c>
      <c r="J122" s="110"/>
      <c r="K122" s="106"/>
      <c r="L122" s="106"/>
    </row>
    <row r="123" spans="1:12" ht="23">
      <c r="A123" s="109">
        <v>10</v>
      </c>
      <c r="B123" s="8">
        <f t="shared" si="11"/>
        <v>10</v>
      </c>
      <c r="C123" s="4">
        <v>109</v>
      </c>
      <c r="D123" s="5" t="s">
        <v>3</v>
      </c>
      <c r="E123" s="79">
        <f>ROUND(POWER((1-$E$4),B123-1)*VLOOKUP(D123,ĐiệnNăng_Input!$A$1:$C$12,2,0),0)</f>
        <v>134004</v>
      </c>
      <c r="F123" s="6">
        <f t="shared" si="8"/>
        <v>260525216.64000005</v>
      </c>
      <c r="G123" s="65">
        <f t="shared" si="9"/>
        <v>13026260.832000002</v>
      </c>
      <c r="H123" s="65" t="e">
        <f>VLOOKUP(C123,VayMB!$C$16:$G$1374,5,0)</f>
        <v>#N/A</v>
      </c>
      <c r="I123" s="65">
        <f t="shared" si="10"/>
        <v>247498955.80800003</v>
      </c>
      <c r="J123" s="110">
        <f>SUMIF($B$15:$B$314,"=10",$I$15:$I$314)</f>
        <v>2547125962.3440008</v>
      </c>
      <c r="K123" s="104">
        <f t="shared" ref="K123:L123" si="15">IF(J123&lt;0,1,0)</f>
        <v>0</v>
      </c>
      <c r="L123" s="104">
        <f>IF(AND(K123=0,K111=1),A123,0)</f>
        <v>0</v>
      </c>
    </row>
    <row r="124" spans="1:12" ht="23">
      <c r="A124" s="109"/>
      <c r="B124" s="8">
        <f t="shared" si="11"/>
        <v>10</v>
      </c>
      <c r="C124" s="4">
        <v>110</v>
      </c>
      <c r="D124" s="80" t="s">
        <v>4</v>
      </c>
      <c r="E124" s="79">
        <f>ROUND(POWER((1-$E$4),B124-1)*VLOOKUP(D124,ĐiệnNăng_Input!$A$1:$C$12,2,0),0)</f>
        <v>132807</v>
      </c>
      <c r="F124" s="6">
        <f t="shared" si="8"/>
        <v>258198057.12000003</v>
      </c>
      <c r="G124" s="65">
        <f t="shared" si="9"/>
        <v>12909902.856000002</v>
      </c>
      <c r="H124" s="65" t="e">
        <f>VLOOKUP(C124,VayMB!$C$16:$G$1374,5,0)</f>
        <v>#N/A</v>
      </c>
      <c r="I124" s="65">
        <f t="shared" si="10"/>
        <v>245288154.26400003</v>
      </c>
      <c r="J124" s="110"/>
      <c r="K124" s="105"/>
      <c r="L124" s="105"/>
    </row>
    <row r="125" spans="1:12" ht="23">
      <c r="A125" s="109"/>
      <c r="B125" s="8">
        <f t="shared" si="11"/>
        <v>10</v>
      </c>
      <c r="C125" s="4">
        <v>111</v>
      </c>
      <c r="D125" s="5" t="s">
        <v>5</v>
      </c>
      <c r="E125" s="79">
        <f>ROUND(POWER((1-$E$4),B125-1)*VLOOKUP(D125,ĐiệnNăng_Input!$A$1:$C$12,2,0),0)</f>
        <v>147070</v>
      </c>
      <c r="F125" s="6">
        <f t="shared" si="8"/>
        <v>285927611.20000005</v>
      </c>
      <c r="G125" s="65">
        <f t="shared" si="9"/>
        <v>14296380.560000002</v>
      </c>
      <c r="H125" s="65" t="e">
        <f>VLOOKUP(C125,VayMB!$C$16:$G$1374,5,0)</f>
        <v>#N/A</v>
      </c>
      <c r="I125" s="65">
        <f t="shared" si="10"/>
        <v>271631230.64000005</v>
      </c>
      <c r="J125" s="110"/>
      <c r="K125" s="105"/>
      <c r="L125" s="105"/>
    </row>
    <row r="126" spans="1:12" ht="23">
      <c r="A126" s="109"/>
      <c r="B126" s="8">
        <f t="shared" si="11"/>
        <v>10</v>
      </c>
      <c r="C126" s="4">
        <v>112</v>
      </c>
      <c r="D126" s="80" t="s">
        <v>6</v>
      </c>
      <c r="E126" s="79">
        <f>ROUND(POWER((1-$E$4),B126-1)*VLOOKUP(D126,ĐiệnNăng_Input!$A$1:$C$12,2,0),0)</f>
        <v>129506</v>
      </c>
      <c r="F126" s="6">
        <f t="shared" si="8"/>
        <v>251780384.96000004</v>
      </c>
      <c r="G126" s="65">
        <f t="shared" si="9"/>
        <v>12589019.248000003</v>
      </c>
      <c r="H126" s="65" t="e">
        <f>VLOOKUP(C126,VayMB!$C$16:$G$1374,5,0)</f>
        <v>#N/A</v>
      </c>
      <c r="I126" s="65">
        <f t="shared" si="10"/>
        <v>239191365.71200004</v>
      </c>
      <c r="J126" s="110"/>
      <c r="K126" s="105"/>
      <c r="L126" s="105"/>
    </row>
    <row r="127" spans="1:12" ht="23">
      <c r="A127" s="109"/>
      <c r="B127" s="8">
        <f t="shared" si="11"/>
        <v>10</v>
      </c>
      <c r="C127" s="4">
        <v>113</v>
      </c>
      <c r="D127" s="5" t="s">
        <v>7</v>
      </c>
      <c r="E127" s="79">
        <f>ROUND(POWER((1-$E$4),B127-1)*VLOOKUP(D127,ĐiệnNăng_Input!$A$1:$C$12,2,0),0)</f>
        <v>108875</v>
      </c>
      <c r="F127" s="6">
        <f t="shared" si="8"/>
        <v>211670420.00000003</v>
      </c>
      <c r="G127" s="65">
        <f t="shared" si="9"/>
        <v>10583521.000000002</v>
      </c>
      <c r="H127" s="65" t="e">
        <f>VLOOKUP(C127,VayMB!$C$16:$G$1374,5,0)</f>
        <v>#N/A</v>
      </c>
      <c r="I127" s="65">
        <f t="shared" si="10"/>
        <v>201086899.00000003</v>
      </c>
      <c r="J127" s="110"/>
      <c r="K127" s="105"/>
      <c r="L127" s="105"/>
    </row>
    <row r="128" spans="1:12" ht="23">
      <c r="A128" s="109"/>
      <c r="B128" s="8">
        <f t="shared" si="11"/>
        <v>10</v>
      </c>
      <c r="C128" s="4">
        <v>114</v>
      </c>
      <c r="D128" s="80" t="s">
        <v>8</v>
      </c>
      <c r="E128" s="79">
        <f>ROUND(POWER((1-$E$4),B128-1)*VLOOKUP(D128,ĐiệnNăng_Input!$A$1:$C$12,2,0),0)</f>
        <v>99902</v>
      </c>
      <c r="F128" s="6">
        <f t="shared" si="8"/>
        <v>194225472.32000002</v>
      </c>
      <c r="G128" s="65">
        <f t="shared" si="9"/>
        <v>9711273.6160000023</v>
      </c>
      <c r="H128" s="65" t="e">
        <f>VLOOKUP(C128,VayMB!$C$16:$G$1374,5,0)</f>
        <v>#N/A</v>
      </c>
      <c r="I128" s="65">
        <f t="shared" si="10"/>
        <v>184514198.70400003</v>
      </c>
      <c r="J128" s="110"/>
      <c r="K128" s="105"/>
      <c r="L128" s="105"/>
    </row>
    <row r="129" spans="1:12" ht="23">
      <c r="A129" s="109"/>
      <c r="B129" s="8">
        <f t="shared" si="11"/>
        <v>10</v>
      </c>
      <c r="C129" s="4">
        <v>115</v>
      </c>
      <c r="D129" s="5" t="s">
        <v>9</v>
      </c>
      <c r="E129" s="79">
        <f>ROUND(POWER((1-$E$4),B129-1)*VLOOKUP(D129,ĐiệnNăng_Input!$A$1:$C$12,2,0),0)</f>
        <v>99107</v>
      </c>
      <c r="F129" s="6">
        <f t="shared" si="8"/>
        <v>192679865.12000003</v>
      </c>
      <c r="G129" s="65">
        <f t="shared" si="9"/>
        <v>9633993.2560000028</v>
      </c>
      <c r="H129" s="65" t="e">
        <f>VLOOKUP(C129,VayMB!$C$16:$G$1374,5,0)</f>
        <v>#N/A</v>
      </c>
      <c r="I129" s="65">
        <f t="shared" si="10"/>
        <v>183045871.86400002</v>
      </c>
      <c r="J129" s="110"/>
      <c r="K129" s="105"/>
      <c r="L129" s="105"/>
    </row>
    <row r="130" spans="1:12" ht="23">
      <c r="A130" s="109"/>
      <c r="B130" s="8">
        <f t="shared" si="11"/>
        <v>10</v>
      </c>
      <c r="C130" s="4">
        <v>116</v>
      </c>
      <c r="D130" s="80" t="s">
        <v>10</v>
      </c>
      <c r="E130" s="79">
        <f>ROUND(POWER((1-$E$4),B130-1)*VLOOKUP(D130,ĐiệnNăng_Input!$A$1:$C$12,2,0),0)</f>
        <v>101336</v>
      </c>
      <c r="F130" s="6">
        <f t="shared" si="8"/>
        <v>197013397.76000002</v>
      </c>
      <c r="G130" s="65">
        <f t="shared" si="9"/>
        <v>9850669.8880000021</v>
      </c>
      <c r="H130" s="65" t="e">
        <f>VLOOKUP(C130,VayMB!$C$16:$G$1374,5,0)</f>
        <v>#N/A</v>
      </c>
      <c r="I130" s="65">
        <f t="shared" si="10"/>
        <v>187162727.87200001</v>
      </c>
      <c r="J130" s="110"/>
      <c r="K130" s="105"/>
      <c r="L130" s="105"/>
    </row>
    <row r="131" spans="1:12" ht="23">
      <c r="A131" s="109"/>
      <c r="B131" s="8">
        <f t="shared" si="11"/>
        <v>10</v>
      </c>
      <c r="C131" s="4">
        <v>117</v>
      </c>
      <c r="D131" s="5" t="s">
        <v>11</v>
      </c>
      <c r="E131" s="79">
        <f>ROUND(POWER((1-$E$4),B131-1)*VLOOKUP(D131,ĐiệnNăng_Input!$A$1:$C$12,2,0),0)</f>
        <v>105521</v>
      </c>
      <c r="F131" s="6">
        <f t="shared" si="8"/>
        <v>205149707.36000004</v>
      </c>
      <c r="G131" s="65">
        <f t="shared" si="9"/>
        <v>10257485.368000003</v>
      </c>
      <c r="H131" s="65" t="e">
        <f>VLOOKUP(C131,VayMB!$C$16:$G$1374,5,0)</f>
        <v>#N/A</v>
      </c>
      <c r="I131" s="65">
        <f t="shared" si="10"/>
        <v>194892221.99200004</v>
      </c>
      <c r="J131" s="110"/>
      <c r="K131" s="105"/>
      <c r="L131" s="105"/>
    </row>
    <row r="132" spans="1:12" ht="23">
      <c r="A132" s="109"/>
      <c r="B132" s="8">
        <f t="shared" si="11"/>
        <v>10</v>
      </c>
      <c r="C132" s="4">
        <v>118</v>
      </c>
      <c r="D132" s="80" t="s">
        <v>12</v>
      </c>
      <c r="E132" s="79">
        <f>ROUND(POWER((1-$E$4),B132-1)*VLOOKUP(D132,ĐiệnNăng_Input!$A$1:$C$12,2,0),0)</f>
        <v>94116</v>
      </c>
      <c r="F132" s="6">
        <f t="shared" si="8"/>
        <v>182976562.56000003</v>
      </c>
      <c r="G132" s="65">
        <f t="shared" si="9"/>
        <v>9148828.1280000024</v>
      </c>
      <c r="H132" s="65" t="e">
        <f>VLOOKUP(C132,VayMB!$C$16:$G$1374,5,0)</f>
        <v>#N/A</v>
      </c>
      <c r="I132" s="65">
        <f t="shared" si="10"/>
        <v>173827734.43200004</v>
      </c>
      <c r="J132" s="110"/>
      <c r="K132" s="105"/>
      <c r="L132" s="105"/>
    </row>
    <row r="133" spans="1:12" ht="23">
      <c r="A133" s="109"/>
      <c r="B133" s="8">
        <f t="shared" si="11"/>
        <v>10</v>
      </c>
      <c r="C133" s="4">
        <v>119</v>
      </c>
      <c r="D133" s="5" t="s">
        <v>13</v>
      </c>
      <c r="E133" s="79">
        <f>ROUND(POWER((1-$E$4),B133-1)*VLOOKUP(D133,ĐiệnNăng_Input!$A$1:$C$12,2,0),0)</f>
        <v>114483</v>
      </c>
      <c r="F133" s="6">
        <f t="shared" si="8"/>
        <v>222573269.28000003</v>
      </c>
      <c r="G133" s="65">
        <f t="shared" si="9"/>
        <v>11128663.464000002</v>
      </c>
      <c r="H133" s="65" t="e">
        <f>VLOOKUP(C133,VayMB!$C$16:$G$1374,5,0)</f>
        <v>#N/A</v>
      </c>
      <c r="I133" s="65">
        <f t="shared" si="10"/>
        <v>211444605.81600004</v>
      </c>
      <c r="J133" s="110"/>
      <c r="K133" s="105"/>
      <c r="L133" s="105"/>
    </row>
    <row r="134" spans="1:12" ht="24" thickBot="1">
      <c r="A134" s="109"/>
      <c r="B134" s="8">
        <f t="shared" si="11"/>
        <v>10</v>
      </c>
      <c r="C134" s="4">
        <v>120</v>
      </c>
      <c r="D134" s="80" t="s">
        <v>14</v>
      </c>
      <c r="E134" s="79">
        <f>ROUND(POWER((1-$E$4),B134-1)*VLOOKUP(D134,ĐiệnNăng_Input!$A$1:$C$12,2,0),0)</f>
        <v>112370</v>
      </c>
      <c r="F134" s="6">
        <f t="shared" si="8"/>
        <v>218465259.20000005</v>
      </c>
      <c r="G134" s="65">
        <f t="shared" si="9"/>
        <v>10923262.960000003</v>
      </c>
      <c r="H134" s="65" t="e">
        <f>VLOOKUP(C134,VayMB!$C$16:$G$1374,5,0)</f>
        <v>#N/A</v>
      </c>
      <c r="I134" s="65">
        <f t="shared" si="10"/>
        <v>207541996.24000004</v>
      </c>
      <c r="J134" s="110"/>
      <c r="K134" s="106"/>
      <c r="L134" s="106"/>
    </row>
    <row r="135" spans="1:12" ht="23">
      <c r="A135" s="107">
        <v>11</v>
      </c>
      <c r="B135" s="8">
        <f t="shared" si="11"/>
        <v>11</v>
      </c>
      <c r="C135" s="4">
        <v>121</v>
      </c>
      <c r="D135" s="5" t="s">
        <v>3</v>
      </c>
      <c r="E135" s="79">
        <f>ROUND(POWER((1-$E$4),B135-1)*VLOOKUP(D135,ĐiệnNăng_Input!$A$1:$C$12,2,0),0)</f>
        <v>133334</v>
      </c>
      <c r="F135" s="6">
        <f t="shared" si="8"/>
        <v>259222629.44000003</v>
      </c>
      <c r="G135" s="65">
        <f t="shared" si="9"/>
        <v>12961131.472000003</v>
      </c>
      <c r="H135" s="65" t="e">
        <f>VLOOKUP(C135,VayMB!$C$16:$G$1374,5,0)</f>
        <v>#N/A</v>
      </c>
      <c r="I135" s="65">
        <f t="shared" si="10"/>
        <v>246261497.96800002</v>
      </c>
      <c r="J135" s="110">
        <f>SUMIF($B$15:$B$314,"=11",$I$15:$I$314)</f>
        <v>2534387534.4000001</v>
      </c>
      <c r="K135" s="104">
        <f t="shared" ref="K135:L135" si="16">IF(J135&lt;0,1,0)</f>
        <v>0</v>
      </c>
      <c r="L135" s="104">
        <f>IF(AND(K135=0,K123=1),A135,0)</f>
        <v>0</v>
      </c>
    </row>
    <row r="136" spans="1:12" ht="23">
      <c r="A136" s="107"/>
      <c r="B136" s="8">
        <f t="shared" si="11"/>
        <v>11</v>
      </c>
      <c r="C136" s="4">
        <v>122</v>
      </c>
      <c r="D136" s="80" t="s">
        <v>4</v>
      </c>
      <c r="E136" s="79">
        <f>ROUND(POWER((1-$E$4),B136-1)*VLOOKUP(D136,ĐiệnNăng_Input!$A$1:$C$12,2,0),0)</f>
        <v>132143</v>
      </c>
      <c r="F136" s="6">
        <f t="shared" si="8"/>
        <v>256907134.88000005</v>
      </c>
      <c r="G136" s="65">
        <f t="shared" si="9"/>
        <v>12845356.744000003</v>
      </c>
      <c r="H136" s="65" t="e">
        <f>VLOOKUP(C136,VayMB!$C$16:$G$1374,5,0)</f>
        <v>#N/A</v>
      </c>
      <c r="I136" s="65">
        <f t="shared" si="10"/>
        <v>244061778.13600004</v>
      </c>
      <c r="J136" s="110"/>
      <c r="K136" s="105"/>
      <c r="L136" s="105"/>
    </row>
    <row r="137" spans="1:12" ht="23">
      <c r="A137" s="107"/>
      <c r="B137" s="8">
        <f t="shared" si="11"/>
        <v>11</v>
      </c>
      <c r="C137" s="4">
        <v>123</v>
      </c>
      <c r="D137" s="5" t="s">
        <v>5</v>
      </c>
      <c r="E137" s="79">
        <f>ROUND(POWER((1-$E$4),B137-1)*VLOOKUP(D137,ĐiệnNăng_Input!$A$1:$C$12,2,0),0)</f>
        <v>146335</v>
      </c>
      <c r="F137" s="6">
        <f t="shared" si="8"/>
        <v>284498653.60000002</v>
      </c>
      <c r="G137" s="65">
        <f t="shared" si="9"/>
        <v>14224932.680000002</v>
      </c>
      <c r="H137" s="65" t="e">
        <f>VLOOKUP(C137,VayMB!$C$16:$G$1374,5,0)</f>
        <v>#N/A</v>
      </c>
      <c r="I137" s="65">
        <f t="shared" si="10"/>
        <v>270273720.92000002</v>
      </c>
      <c r="J137" s="110"/>
      <c r="K137" s="105"/>
      <c r="L137" s="105"/>
    </row>
    <row r="138" spans="1:12" ht="23">
      <c r="A138" s="107"/>
      <c r="B138" s="8">
        <f t="shared" si="11"/>
        <v>11</v>
      </c>
      <c r="C138" s="4">
        <v>124</v>
      </c>
      <c r="D138" s="80" t="s">
        <v>6</v>
      </c>
      <c r="E138" s="79">
        <f>ROUND(POWER((1-$E$4),B138-1)*VLOOKUP(D138,ĐiệnNăng_Input!$A$1:$C$12,2,0),0)</f>
        <v>128859</v>
      </c>
      <c r="F138" s="6">
        <f t="shared" si="8"/>
        <v>250522513.44000003</v>
      </c>
      <c r="G138" s="65">
        <f t="shared" si="9"/>
        <v>12526125.672000002</v>
      </c>
      <c r="H138" s="65" t="e">
        <f>VLOOKUP(C138,VayMB!$C$16:$G$1374,5,0)</f>
        <v>#N/A</v>
      </c>
      <c r="I138" s="65">
        <f t="shared" si="10"/>
        <v>237996387.76800004</v>
      </c>
      <c r="J138" s="110"/>
      <c r="K138" s="105"/>
      <c r="L138" s="105"/>
    </row>
    <row r="139" spans="1:12" ht="23">
      <c r="A139" s="107"/>
      <c r="B139" s="8">
        <f t="shared" si="11"/>
        <v>11</v>
      </c>
      <c r="C139" s="4">
        <v>125</v>
      </c>
      <c r="D139" s="5" t="s">
        <v>7</v>
      </c>
      <c r="E139" s="79">
        <f>ROUND(POWER((1-$E$4),B139-1)*VLOOKUP(D139,ĐiệnNăng_Input!$A$1:$C$12,2,0),0)</f>
        <v>108331</v>
      </c>
      <c r="F139" s="6">
        <f t="shared" si="8"/>
        <v>210612796.96000004</v>
      </c>
      <c r="G139" s="65">
        <f t="shared" si="9"/>
        <v>10530639.848000003</v>
      </c>
      <c r="H139" s="65" t="e">
        <f>VLOOKUP(C139,VayMB!$C$16:$G$1374,5,0)</f>
        <v>#N/A</v>
      </c>
      <c r="I139" s="65">
        <f t="shared" si="10"/>
        <v>200082157.11200005</v>
      </c>
      <c r="J139" s="110"/>
      <c r="K139" s="105"/>
      <c r="L139" s="105"/>
    </row>
    <row r="140" spans="1:12" ht="23">
      <c r="A140" s="107"/>
      <c r="B140" s="8">
        <f t="shared" si="11"/>
        <v>11</v>
      </c>
      <c r="C140" s="4">
        <v>126</v>
      </c>
      <c r="D140" s="80" t="s">
        <v>8</v>
      </c>
      <c r="E140" s="79">
        <f>ROUND(POWER((1-$E$4),B140-1)*VLOOKUP(D140,ĐiệnNăng_Input!$A$1:$C$12,2,0),0)</f>
        <v>99402</v>
      </c>
      <c r="F140" s="6">
        <f t="shared" si="8"/>
        <v>193253392.32000002</v>
      </c>
      <c r="G140" s="65">
        <f t="shared" si="9"/>
        <v>9662669.6160000023</v>
      </c>
      <c r="H140" s="65" t="e">
        <f>VLOOKUP(C140,VayMB!$C$16:$G$1374,5,0)</f>
        <v>#N/A</v>
      </c>
      <c r="I140" s="65">
        <f t="shared" si="10"/>
        <v>183590722.70400003</v>
      </c>
      <c r="J140" s="110"/>
      <c r="K140" s="105"/>
      <c r="L140" s="105"/>
    </row>
    <row r="141" spans="1:12" ht="23">
      <c r="A141" s="107"/>
      <c r="B141" s="8">
        <f t="shared" si="11"/>
        <v>11</v>
      </c>
      <c r="C141" s="4">
        <v>127</v>
      </c>
      <c r="D141" s="5" t="s">
        <v>9</v>
      </c>
      <c r="E141" s="79">
        <f>ROUND(POWER((1-$E$4),B141-1)*VLOOKUP(D141,ĐiệnNăng_Input!$A$1:$C$12,2,0),0)</f>
        <v>98611</v>
      </c>
      <c r="F141" s="6">
        <f t="shared" si="8"/>
        <v>191715561.76000002</v>
      </c>
      <c r="G141" s="65">
        <f t="shared" si="9"/>
        <v>9585778.0880000014</v>
      </c>
      <c r="H141" s="65" t="e">
        <f>VLOOKUP(C141,VayMB!$C$16:$G$1374,5,0)</f>
        <v>#N/A</v>
      </c>
      <c r="I141" s="65">
        <f t="shared" si="10"/>
        <v>182129783.67200002</v>
      </c>
      <c r="J141" s="110"/>
      <c r="K141" s="105"/>
      <c r="L141" s="105"/>
    </row>
    <row r="142" spans="1:12" ht="23">
      <c r="A142" s="107"/>
      <c r="B142" s="8">
        <f t="shared" si="11"/>
        <v>11</v>
      </c>
      <c r="C142" s="4">
        <v>128</v>
      </c>
      <c r="D142" s="80" t="s">
        <v>10</v>
      </c>
      <c r="E142" s="79">
        <f>ROUND(POWER((1-$E$4),B142-1)*VLOOKUP(D142,ĐiệnNăng_Input!$A$1:$C$12,2,0),0)</f>
        <v>100829</v>
      </c>
      <c r="F142" s="6">
        <f t="shared" si="8"/>
        <v>196027708.64000005</v>
      </c>
      <c r="G142" s="65">
        <f t="shared" si="9"/>
        <v>9801385.4320000019</v>
      </c>
      <c r="H142" s="65" t="e">
        <f>VLOOKUP(C142,VayMB!$C$16:$G$1374,5,0)</f>
        <v>#N/A</v>
      </c>
      <c r="I142" s="65">
        <f t="shared" si="10"/>
        <v>186226323.20800003</v>
      </c>
      <c r="J142" s="110"/>
      <c r="K142" s="105"/>
      <c r="L142" s="105"/>
    </row>
    <row r="143" spans="1:12" ht="23">
      <c r="A143" s="107"/>
      <c r="B143" s="8">
        <f t="shared" si="11"/>
        <v>11</v>
      </c>
      <c r="C143" s="4">
        <v>129</v>
      </c>
      <c r="D143" s="5" t="s">
        <v>11</v>
      </c>
      <c r="E143" s="79">
        <f>ROUND(POWER((1-$E$4),B143-1)*VLOOKUP(D143,ĐiệnNăng_Input!$A$1:$C$12,2,0),0)</f>
        <v>104993</v>
      </c>
      <c r="F143" s="6">
        <f t="shared" si="8"/>
        <v>204123190.88000003</v>
      </c>
      <c r="G143" s="65">
        <f t="shared" si="9"/>
        <v>10206159.544000002</v>
      </c>
      <c r="H143" s="65" t="e">
        <f>VLOOKUP(C143,VayMB!$C$16:$G$1374,5,0)</f>
        <v>#N/A</v>
      </c>
      <c r="I143" s="65">
        <f t="shared" si="10"/>
        <v>193917031.33600003</v>
      </c>
      <c r="J143" s="110"/>
      <c r="K143" s="105"/>
      <c r="L143" s="105"/>
    </row>
    <row r="144" spans="1:12" ht="23">
      <c r="A144" s="107"/>
      <c r="B144" s="8">
        <f t="shared" si="11"/>
        <v>11</v>
      </c>
      <c r="C144" s="4">
        <v>130</v>
      </c>
      <c r="D144" s="80" t="s">
        <v>12</v>
      </c>
      <c r="E144" s="79">
        <f>ROUND(POWER((1-$E$4),B144-1)*VLOOKUP(D144,ĐiệnNăng_Input!$A$1:$C$12,2,0),0)</f>
        <v>93645</v>
      </c>
      <c r="F144" s="6">
        <f t="shared" ref="F144:F207" si="17">E144*$E$7</f>
        <v>182060863.20000002</v>
      </c>
      <c r="G144" s="65">
        <f t="shared" ref="G144:G207" si="18">F144*0.05</f>
        <v>9103043.160000002</v>
      </c>
      <c r="H144" s="65" t="e">
        <f>VLOOKUP(C144,VayMB!$C$16:$G$1374,5,0)</f>
        <v>#N/A</v>
      </c>
      <c r="I144" s="65">
        <f t="shared" ref="I144:I207" si="19">_xlfn.IFNA(F144-G144-H144,F144-G144)</f>
        <v>172957820.04000002</v>
      </c>
      <c r="J144" s="110"/>
      <c r="K144" s="105"/>
      <c r="L144" s="105"/>
    </row>
    <row r="145" spans="1:12" ht="23">
      <c r="A145" s="107"/>
      <c r="B145" s="8">
        <f t="shared" ref="B145:B208" si="20">IF(D144="Tháng 12",B144+1,B144)</f>
        <v>11</v>
      </c>
      <c r="C145" s="4">
        <v>131</v>
      </c>
      <c r="D145" s="5" t="s">
        <v>13</v>
      </c>
      <c r="E145" s="79">
        <f>ROUND(POWER((1-$E$4),B145-1)*VLOOKUP(D145,ĐiệnNăng_Input!$A$1:$C$12,2,0),0)</f>
        <v>113910</v>
      </c>
      <c r="F145" s="6">
        <f t="shared" si="17"/>
        <v>221459265.60000002</v>
      </c>
      <c r="G145" s="65">
        <f t="shared" si="18"/>
        <v>11072963.280000001</v>
      </c>
      <c r="H145" s="65" t="e">
        <f>VLOOKUP(C145,VayMB!$C$16:$G$1374,5,0)</f>
        <v>#N/A</v>
      </c>
      <c r="I145" s="65">
        <f t="shared" si="19"/>
        <v>210386302.32000002</v>
      </c>
      <c r="J145" s="110"/>
      <c r="K145" s="105"/>
      <c r="L145" s="105"/>
    </row>
    <row r="146" spans="1:12" ht="24" thickBot="1">
      <c r="A146" s="107"/>
      <c r="B146" s="8">
        <f t="shared" si="20"/>
        <v>11</v>
      </c>
      <c r="C146" s="4">
        <v>132</v>
      </c>
      <c r="D146" s="80" t="s">
        <v>14</v>
      </c>
      <c r="E146" s="79">
        <f>ROUND(POWER((1-$E$4),B146-1)*VLOOKUP(D146,ĐiệnNăng_Input!$A$1:$C$12,2,0),0)</f>
        <v>111808</v>
      </c>
      <c r="F146" s="6">
        <f t="shared" si="17"/>
        <v>217372641.28000003</v>
      </c>
      <c r="G146" s="65">
        <f t="shared" si="18"/>
        <v>10868632.064000003</v>
      </c>
      <c r="H146" s="65" t="e">
        <f>VLOOKUP(C146,VayMB!$C$16:$G$1374,5,0)</f>
        <v>#N/A</v>
      </c>
      <c r="I146" s="65">
        <f t="shared" si="19"/>
        <v>206504009.21600002</v>
      </c>
      <c r="J146" s="110"/>
      <c r="K146" s="106"/>
      <c r="L146" s="106"/>
    </row>
    <row r="147" spans="1:12" ht="23">
      <c r="A147" s="109">
        <v>12</v>
      </c>
      <c r="B147" s="8">
        <f t="shared" si="20"/>
        <v>12</v>
      </c>
      <c r="C147" s="4">
        <v>133</v>
      </c>
      <c r="D147" s="5" t="s">
        <v>3</v>
      </c>
      <c r="E147" s="79">
        <f>ROUND(POWER((1-$E$4),B147-1)*VLOOKUP(D147,ĐiệnNăng_Input!$A$1:$C$12,2,0),0)</f>
        <v>132668</v>
      </c>
      <c r="F147" s="6">
        <f t="shared" si="17"/>
        <v>257927818.88000005</v>
      </c>
      <c r="G147" s="65">
        <f t="shared" si="18"/>
        <v>12896390.944000004</v>
      </c>
      <c r="H147" s="65" t="e">
        <f>VLOOKUP(C147,VayMB!$C$16:$G$1374,5,0)</f>
        <v>#N/A</v>
      </c>
      <c r="I147" s="65">
        <f t="shared" si="19"/>
        <v>245031427.93600005</v>
      </c>
      <c r="J147" s="110">
        <f>SUMIF($B$15:$B$314,"=12",$I$15:$I$314)</f>
        <v>2521719290.632</v>
      </c>
      <c r="K147" s="104">
        <f t="shared" ref="K147:L147" si="21">IF(J147&lt;0,1,0)</f>
        <v>0</v>
      </c>
      <c r="L147" s="104">
        <f>IF(AND(K147=0,K135=1),A147,0)</f>
        <v>0</v>
      </c>
    </row>
    <row r="148" spans="1:12" ht="23">
      <c r="A148" s="109"/>
      <c r="B148" s="8">
        <f t="shared" si="20"/>
        <v>12</v>
      </c>
      <c r="C148" s="4">
        <v>134</v>
      </c>
      <c r="D148" s="80" t="s">
        <v>4</v>
      </c>
      <c r="E148" s="79">
        <f>ROUND(POWER((1-$E$4),B148-1)*VLOOKUP(D148,ĐiệnNăng_Input!$A$1:$C$12,2,0),0)</f>
        <v>131483</v>
      </c>
      <c r="F148" s="6">
        <f t="shared" si="17"/>
        <v>255623989.28000003</v>
      </c>
      <c r="G148" s="65">
        <f t="shared" si="18"/>
        <v>12781199.464000002</v>
      </c>
      <c r="H148" s="65" t="e">
        <f>VLOOKUP(C148,VayMB!$C$16:$G$1374,5,0)</f>
        <v>#N/A</v>
      </c>
      <c r="I148" s="65">
        <f t="shared" si="19"/>
        <v>242842789.81600004</v>
      </c>
      <c r="J148" s="110"/>
      <c r="K148" s="105"/>
      <c r="L148" s="105"/>
    </row>
    <row r="149" spans="1:12" ht="23">
      <c r="A149" s="109"/>
      <c r="B149" s="8">
        <f t="shared" si="20"/>
        <v>12</v>
      </c>
      <c r="C149" s="4">
        <v>135</v>
      </c>
      <c r="D149" s="5" t="s">
        <v>5</v>
      </c>
      <c r="E149" s="79">
        <f>ROUND(POWER((1-$E$4),B149-1)*VLOOKUP(D149,ĐiệnNăng_Input!$A$1:$C$12,2,0),0)</f>
        <v>145603</v>
      </c>
      <c r="F149" s="6">
        <f t="shared" si="17"/>
        <v>283075528.48000002</v>
      </c>
      <c r="G149" s="65">
        <f t="shared" si="18"/>
        <v>14153776.424000002</v>
      </c>
      <c r="H149" s="65" t="e">
        <f>VLOOKUP(C149,VayMB!$C$16:$G$1374,5,0)</f>
        <v>#N/A</v>
      </c>
      <c r="I149" s="65">
        <f t="shared" si="19"/>
        <v>268921752.05599999</v>
      </c>
      <c r="J149" s="110"/>
      <c r="K149" s="105"/>
      <c r="L149" s="105"/>
    </row>
    <row r="150" spans="1:12" ht="23">
      <c r="A150" s="109"/>
      <c r="B150" s="8">
        <f t="shared" si="20"/>
        <v>12</v>
      </c>
      <c r="C150" s="4">
        <v>136</v>
      </c>
      <c r="D150" s="80" t="s">
        <v>6</v>
      </c>
      <c r="E150" s="79">
        <f>ROUND(POWER((1-$E$4),B150-1)*VLOOKUP(D150,ĐiệnNăng_Input!$A$1:$C$12,2,0),0)</f>
        <v>128215</v>
      </c>
      <c r="F150" s="6">
        <f t="shared" si="17"/>
        <v>249270474.40000004</v>
      </c>
      <c r="G150" s="65">
        <f t="shared" si="18"/>
        <v>12463523.720000003</v>
      </c>
      <c r="H150" s="65" t="e">
        <f>VLOOKUP(C150,VayMB!$C$16:$G$1374,5,0)</f>
        <v>#N/A</v>
      </c>
      <c r="I150" s="65">
        <f t="shared" si="19"/>
        <v>236806950.68000004</v>
      </c>
      <c r="J150" s="110"/>
      <c r="K150" s="105"/>
      <c r="L150" s="105"/>
    </row>
    <row r="151" spans="1:12" ht="23">
      <c r="A151" s="109"/>
      <c r="B151" s="8">
        <f t="shared" si="20"/>
        <v>12</v>
      </c>
      <c r="C151" s="4">
        <v>137</v>
      </c>
      <c r="D151" s="5" t="s">
        <v>7</v>
      </c>
      <c r="E151" s="79">
        <f>ROUND(POWER((1-$E$4),B151-1)*VLOOKUP(D151,ĐiệnNăng_Input!$A$1:$C$12,2,0),0)</f>
        <v>107789</v>
      </c>
      <c r="F151" s="6">
        <f t="shared" si="17"/>
        <v>209559062.24000004</v>
      </c>
      <c r="G151" s="65">
        <f t="shared" si="18"/>
        <v>10477953.112000003</v>
      </c>
      <c r="H151" s="65" t="e">
        <f>VLOOKUP(C151,VayMB!$C$16:$G$1374,5,0)</f>
        <v>#N/A</v>
      </c>
      <c r="I151" s="65">
        <f t="shared" si="19"/>
        <v>199081109.12800002</v>
      </c>
      <c r="J151" s="110"/>
      <c r="K151" s="105"/>
      <c r="L151" s="105"/>
    </row>
    <row r="152" spans="1:12" ht="23">
      <c r="A152" s="109"/>
      <c r="B152" s="8">
        <f t="shared" si="20"/>
        <v>12</v>
      </c>
      <c r="C152" s="4">
        <v>138</v>
      </c>
      <c r="D152" s="80" t="s">
        <v>8</v>
      </c>
      <c r="E152" s="79">
        <f>ROUND(POWER((1-$E$4),B152-1)*VLOOKUP(D152,ĐiệnNăng_Input!$A$1:$C$12,2,0),0)</f>
        <v>98905</v>
      </c>
      <c r="F152" s="6">
        <f t="shared" si="17"/>
        <v>192287144.80000004</v>
      </c>
      <c r="G152" s="65">
        <f t="shared" si="18"/>
        <v>9614357.2400000021</v>
      </c>
      <c r="H152" s="65" t="e">
        <f>VLOOKUP(C152,VayMB!$C$16:$G$1374,5,0)</f>
        <v>#N/A</v>
      </c>
      <c r="I152" s="65">
        <f t="shared" si="19"/>
        <v>182672787.56000003</v>
      </c>
      <c r="J152" s="110"/>
      <c r="K152" s="105"/>
      <c r="L152" s="105"/>
    </row>
    <row r="153" spans="1:12" ht="23">
      <c r="A153" s="109"/>
      <c r="B153" s="8">
        <f t="shared" si="20"/>
        <v>12</v>
      </c>
      <c r="C153" s="4">
        <v>139</v>
      </c>
      <c r="D153" s="5" t="s">
        <v>9</v>
      </c>
      <c r="E153" s="79">
        <f>ROUND(POWER((1-$E$4),B153-1)*VLOOKUP(D153,ĐiệnNăng_Input!$A$1:$C$12,2,0),0)</f>
        <v>98118</v>
      </c>
      <c r="F153" s="6">
        <f t="shared" si="17"/>
        <v>190757090.88000003</v>
      </c>
      <c r="G153" s="65">
        <f t="shared" si="18"/>
        <v>9537854.5440000016</v>
      </c>
      <c r="H153" s="65" t="e">
        <f>VLOOKUP(C153,VayMB!$C$16:$G$1374,5,0)</f>
        <v>#N/A</v>
      </c>
      <c r="I153" s="65">
        <f t="shared" si="19"/>
        <v>181219236.33600003</v>
      </c>
      <c r="J153" s="110"/>
      <c r="K153" s="105"/>
      <c r="L153" s="105"/>
    </row>
    <row r="154" spans="1:12" ht="23">
      <c r="A154" s="109"/>
      <c r="B154" s="8">
        <f t="shared" si="20"/>
        <v>12</v>
      </c>
      <c r="C154" s="4">
        <v>140</v>
      </c>
      <c r="D154" s="80" t="s">
        <v>10</v>
      </c>
      <c r="E154" s="79">
        <f>ROUND(POWER((1-$E$4),B154-1)*VLOOKUP(D154,ĐiệnNăng_Input!$A$1:$C$12,2,0),0)</f>
        <v>100325</v>
      </c>
      <c r="F154" s="6">
        <f t="shared" si="17"/>
        <v>195047852.00000003</v>
      </c>
      <c r="G154" s="65">
        <f t="shared" si="18"/>
        <v>9752392.6000000015</v>
      </c>
      <c r="H154" s="65" t="e">
        <f>VLOOKUP(C154,VayMB!$C$16:$G$1374,5,0)</f>
        <v>#N/A</v>
      </c>
      <c r="I154" s="65">
        <f t="shared" si="19"/>
        <v>185295459.40000004</v>
      </c>
      <c r="J154" s="110"/>
      <c r="K154" s="105"/>
      <c r="L154" s="105"/>
    </row>
    <row r="155" spans="1:12" ht="23">
      <c r="A155" s="109"/>
      <c r="B155" s="8">
        <f t="shared" si="20"/>
        <v>12</v>
      </c>
      <c r="C155" s="4">
        <v>141</v>
      </c>
      <c r="D155" s="5" t="s">
        <v>11</v>
      </c>
      <c r="E155" s="79">
        <f>ROUND(POWER((1-$E$4),B155-1)*VLOOKUP(D155,ĐiệnNăng_Input!$A$1:$C$12,2,0),0)</f>
        <v>104468</v>
      </c>
      <c r="F155" s="6">
        <f t="shared" si="17"/>
        <v>203102506.88000003</v>
      </c>
      <c r="G155" s="65">
        <f t="shared" si="18"/>
        <v>10155125.344000002</v>
      </c>
      <c r="H155" s="65" t="e">
        <f>VLOOKUP(C155,VayMB!$C$16:$G$1374,5,0)</f>
        <v>#N/A</v>
      </c>
      <c r="I155" s="65">
        <f t="shared" si="19"/>
        <v>192947381.53600001</v>
      </c>
      <c r="J155" s="110"/>
      <c r="K155" s="105"/>
      <c r="L155" s="105"/>
    </row>
    <row r="156" spans="1:12" ht="23">
      <c r="A156" s="109"/>
      <c r="B156" s="8">
        <f t="shared" si="20"/>
        <v>12</v>
      </c>
      <c r="C156" s="4">
        <v>142</v>
      </c>
      <c r="D156" s="80" t="s">
        <v>12</v>
      </c>
      <c r="E156" s="79">
        <f>ROUND(POWER((1-$E$4),B156-1)*VLOOKUP(D156,ĐiệnNăng_Input!$A$1:$C$12,2,0),0)</f>
        <v>93177</v>
      </c>
      <c r="F156" s="6">
        <f t="shared" si="17"/>
        <v>181150996.32000002</v>
      </c>
      <c r="G156" s="65">
        <f t="shared" si="18"/>
        <v>9057549.8160000015</v>
      </c>
      <c r="H156" s="65" t="e">
        <f>VLOOKUP(C156,VayMB!$C$16:$G$1374,5,0)</f>
        <v>#N/A</v>
      </c>
      <c r="I156" s="65">
        <f t="shared" si="19"/>
        <v>172093446.50400001</v>
      </c>
      <c r="J156" s="110"/>
      <c r="K156" s="105"/>
      <c r="L156" s="105"/>
    </row>
    <row r="157" spans="1:12" ht="23">
      <c r="A157" s="109"/>
      <c r="B157" s="8">
        <f t="shared" si="20"/>
        <v>12</v>
      </c>
      <c r="C157" s="4">
        <v>143</v>
      </c>
      <c r="D157" s="5" t="s">
        <v>13</v>
      </c>
      <c r="E157" s="79">
        <f>ROUND(POWER((1-$E$4),B157-1)*VLOOKUP(D157,ĐiệnNăng_Input!$A$1:$C$12,2,0),0)</f>
        <v>113341</v>
      </c>
      <c r="F157" s="6">
        <f t="shared" si="17"/>
        <v>220353038.56000003</v>
      </c>
      <c r="G157" s="65">
        <f t="shared" si="18"/>
        <v>11017651.928000003</v>
      </c>
      <c r="H157" s="65" t="e">
        <f>VLOOKUP(C157,VayMB!$C$16:$G$1374,5,0)</f>
        <v>#N/A</v>
      </c>
      <c r="I157" s="65">
        <f t="shared" si="19"/>
        <v>209335386.63200003</v>
      </c>
      <c r="J157" s="110"/>
      <c r="K157" s="105"/>
      <c r="L157" s="105"/>
    </row>
    <row r="158" spans="1:12" ht="24" thickBot="1">
      <c r="A158" s="109"/>
      <c r="B158" s="8">
        <f t="shared" si="20"/>
        <v>12</v>
      </c>
      <c r="C158" s="4">
        <v>144</v>
      </c>
      <c r="D158" s="80" t="s">
        <v>14</v>
      </c>
      <c r="E158" s="79">
        <f>ROUND(POWER((1-$E$4),B158-1)*VLOOKUP(D158,ĐiệnNăng_Input!$A$1:$C$12,2,0),0)</f>
        <v>111249</v>
      </c>
      <c r="F158" s="6">
        <f t="shared" si="17"/>
        <v>216285855.84000003</v>
      </c>
      <c r="G158" s="65">
        <f t="shared" si="18"/>
        <v>10814292.792000003</v>
      </c>
      <c r="H158" s="65" t="e">
        <f>VLOOKUP(C158,VayMB!$C$16:$G$1374,5,0)</f>
        <v>#N/A</v>
      </c>
      <c r="I158" s="65">
        <f t="shared" si="19"/>
        <v>205471563.04800004</v>
      </c>
      <c r="J158" s="110"/>
      <c r="K158" s="106"/>
      <c r="L158" s="106"/>
    </row>
    <row r="159" spans="1:12" ht="23">
      <c r="A159" s="107">
        <v>13</v>
      </c>
      <c r="B159" s="8">
        <f t="shared" si="20"/>
        <v>13</v>
      </c>
      <c r="C159" s="4">
        <v>145</v>
      </c>
      <c r="D159" s="5" t="s">
        <v>3</v>
      </c>
      <c r="E159" s="79">
        <f>ROUND(POWER((1-$E$4),B159-1)*VLOOKUP(D159,ĐiệnNăng_Input!$A$1:$C$12,2,0),0)</f>
        <v>132004</v>
      </c>
      <c r="F159" s="6">
        <f t="shared" si="17"/>
        <v>256636896.64000005</v>
      </c>
      <c r="G159" s="65">
        <f t="shared" si="18"/>
        <v>12831844.832000002</v>
      </c>
      <c r="H159" s="65" t="e">
        <f>VLOOKUP(C159,VayMB!$C$16:$G$1374,5,0)</f>
        <v>#N/A</v>
      </c>
      <c r="I159" s="65">
        <f t="shared" si="19"/>
        <v>243805051.80800003</v>
      </c>
      <c r="J159" s="110">
        <f>SUMIF($B$15:$B$314,"=13",$I$15:$I$314)</f>
        <v>2509106455.4240003</v>
      </c>
      <c r="K159" s="104">
        <f t="shared" ref="K159:L159" si="22">IF(J159&lt;0,1,0)</f>
        <v>0</v>
      </c>
      <c r="L159" s="104">
        <f>IF(AND(K159=0,K147=1),A159,0)</f>
        <v>0</v>
      </c>
    </row>
    <row r="160" spans="1:12" ht="23">
      <c r="A160" s="107"/>
      <c r="B160" s="8">
        <f t="shared" si="20"/>
        <v>13</v>
      </c>
      <c r="C160" s="4">
        <v>146</v>
      </c>
      <c r="D160" s="80" t="s">
        <v>4</v>
      </c>
      <c r="E160" s="79">
        <f>ROUND(POWER((1-$E$4),B160-1)*VLOOKUP(D160,ĐiệnNăng_Input!$A$1:$C$12,2,0),0)</f>
        <v>130825</v>
      </c>
      <c r="F160" s="6">
        <f t="shared" si="17"/>
        <v>254344732.00000003</v>
      </c>
      <c r="G160" s="65">
        <f t="shared" si="18"/>
        <v>12717236.600000001</v>
      </c>
      <c r="H160" s="65" t="e">
        <f>VLOOKUP(C160,VayMB!$C$16:$G$1374,5,0)</f>
        <v>#N/A</v>
      </c>
      <c r="I160" s="65">
        <f t="shared" si="19"/>
        <v>241627495.40000004</v>
      </c>
      <c r="J160" s="110"/>
      <c r="K160" s="105"/>
      <c r="L160" s="105"/>
    </row>
    <row r="161" spans="1:12" ht="23">
      <c r="A161" s="107"/>
      <c r="B161" s="8">
        <f t="shared" si="20"/>
        <v>13</v>
      </c>
      <c r="C161" s="4">
        <v>147</v>
      </c>
      <c r="D161" s="5" t="s">
        <v>5</v>
      </c>
      <c r="E161" s="79">
        <f>ROUND(POWER((1-$E$4),B161-1)*VLOOKUP(D161,ĐiệnNăng_Input!$A$1:$C$12,2,0),0)</f>
        <v>144875</v>
      </c>
      <c r="F161" s="6">
        <f t="shared" si="17"/>
        <v>281660180.00000006</v>
      </c>
      <c r="G161" s="65">
        <f t="shared" si="18"/>
        <v>14083009.000000004</v>
      </c>
      <c r="H161" s="65" t="e">
        <f>VLOOKUP(C161,VayMB!$C$16:$G$1374,5,0)</f>
        <v>#N/A</v>
      </c>
      <c r="I161" s="65">
        <f t="shared" si="19"/>
        <v>267577171.00000006</v>
      </c>
      <c r="J161" s="110"/>
      <c r="K161" s="105"/>
      <c r="L161" s="105"/>
    </row>
    <row r="162" spans="1:12" ht="23">
      <c r="A162" s="107"/>
      <c r="B162" s="8">
        <f t="shared" si="20"/>
        <v>13</v>
      </c>
      <c r="C162" s="4">
        <v>148</v>
      </c>
      <c r="D162" s="80" t="s">
        <v>6</v>
      </c>
      <c r="E162" s="79">
        <f>ROUND(POWER((1-$E$4),B162-1)*VLOOKUP(D162,ĐiệnNăng_Input!$A$1:$C$12,2,0),0)</f>
        <v>127573</v>
      </c>
      <c r="F162" s="6">
        <f t="shared" si="17"/>
        <v>248022323.68000004</v>
      </c>
      <c r="G162" s="65">
        <f t="shared" si="18"/>
        <v>12401116.184000002</v>
      </c>
      <c r="H162" s="65" t="e">
        <f>VLOOKUP(C162,VayMB!$C$16:$G$1374,5,0)</f>
        <v>#N/A</v>
      </c>
      <c r="I162" s="65">
        <f t="shared" si="19"/>
        <v>235621207.49600002</v>
      </c>
      <c r="J162" s="110"/>
      <c r="K162" s="105"/>
      <c r="L162" s="105"/>
    </row>
    <row r="163" spans="1:12" ht="23">
      <c r="A163" s="107"/>
      <c r="B163" s="8">
        <f t="shared" si="20"/>
        <v>13</v>
      </c>
      <c r="C163" s="4">
        <v>149</v>
      </c>
      <c r="D163" s="5" t="s">
        <v>7</v>
      </c>
      <c r="E163" s="79">
        <f>ROUND(POWER((1-$E$4),B163-1)*VLOOKUP(D163,ĐiệnNăng_Input!$A$1:$C$12,2,0),0)</f>
        <v>107250</v>
      </c>
      <c r="F163" s="6">
        <f t="shared" si="17"/>
        <v>208511160.00000003</v>
      </c>
      <c r="G163" s="65">
        <f t="shared" si="18"/>
        <v>10425558.000000002</v>
      </c>
      <c r="H163" s="65" t="e">
        <f>VLOOKUP(C163,VayMB!$C$16:$G$1374,5,0)</f>
        <v>#N/A</v>
      </c>
      <c r="I163" s="65">
        <f t="shared" si="19"/>
        <v>198085602.00000003</v>
      </c>
      <c r="J163" s="110"/>
      <c r="K163" s="105"/>
      <c r="L163" s="105"/>
    </row>
    <row r="164" spans="1:12" ht="23">
      <c r="A164" s="107"/>
      <c r="B164" s="8">
        <f t="shared" si="20"/>
        <v>13</v>
      </c>
      <c r="C164" s="4">
        <v>150</v>
      </c>
      <c r="D164" s="80" t="s">
        <v>8</v>
      </c>
      <c r="E164" s="79">
        <f>ROUND(POWER((1-$E$4),B164-1)*VLOOKUP(D164,ĐiệnNăng_Input!$A$1:$C$12,2,0),0)</f>
        <v>98411</v>
      </c>
      <c r="F164" s="6">
        <f t="shared" si="17"/>
        <v>191326729.76000002</v>
      </c>
      <c r="G164" s="65">
        <f t="shared" si="18"/>
        <v>9566336.4880000018</v>
      </c>
      <c r="H164" s="65" t="e">
        <f>VLOOKUP(C164,VayMB!$C$16:$G$1374,5,0)</f>
        <v>#N/A</v>
      </c>
      <c r="I164" s="65">
        <f t="shared" si="19"/>
        <v>181760393.27200001</v>
      </c>
      <c r="J164" s="110"/>
      <c r="K164" s="105"/>
      <c r="L164" s="105"/>
    </row>
    <row r="165" spans="1:12" ht="23">
      <c r="A165" s="107"/>
      <c r="B165" s="8">
        <f t="shared" si="20"/>
        <v>13</v>
      </c>
      <c r="C165" s="4">
        <v>151</v>
      </c>
      <c r="D165" s="5" t="s">
        <v>9</v>
      </c>
      <c r="E165" s="79">
        <f>ROUND(POWER((1-$E$4),B165-1)*VLOOKUP(D165,ĐiệnNăng_Input!$A$1:$C$12,2,0),0)</f>
        <v>97627</v>
      </c>
      <c r="F165" s="6">
        <f t="shared" si="17"/>
        <v>189802508.32000002</v>
      </c>
      <c r="G165" s="65">
        <f t="shared" si="18"/>
        <v>9490125.4160000011</v>
      </c>
      <c r="H165" s="65" t="e">
        <f>VLOOKUP(C165,VayMB!$C$16:$G$1374,5,0)</f>
        <v>#N/A</v>
      </c>
      <c r="I165" s="65">
        <f t="shared" si="19"/>
        <v>180312382.90400001</v>
      </c>
      <c r="J165" s="110"/>
      <c r="K165" s="105"/>
      <c r="L165" s="105"/>
    </row>
    <row r="166" spans="1:12" ht="23">
      <c r="A166" s="107"/>
      <c r="B166" s="8">
        <f t="shared" si="20"/>
        <v>13</v>
      </c>
      <c r="C166" s="4">
        <v>152</v>
      </c>
      <c r="D166" s="80" t="s">
        <v>10</v>
      </c>
      <c r="E166" s="79">
        <f>ROUND(POWER((1-$E$4),B166-1)*VLOOKUP(D166,ĐiệnNăng_Input!$A$1:$C$12,2,0),0)</f>
        <v>99823</v>
      </c>
      <c r="F166" s="6">
        <f t="shared" si="17"/>
        <v>194071883.68000004</v>
      </c>
      <c r="G166" s="65">
        <f t="shared" si="18"/>
        <v>9703594.1840000022</v>
      </c>
      <c r="H166" s="65" t="e">
        <f>VLOOKUP(C166,VayMB!$C$16:$G$1374,5,0)</f>
        <v>#N/A</v>
      </c>
      <c r="I166" s="65">
        <f t="shared" si="19"/>
        <v>184368289.49600002</v>
      </c>
      <c r="J166" s="110"/>
      <c r="K166" s="105"/>
      <c r="L166" s="105"/>
    </row>
    <row r="167" spans="1:12" ht="23">
      <c r="A167" s="107"/>
      <c r="B167" s="8">
        <f t="shared" si="20"/>
        <v>13</v>
      </c>
      <c r="C167" s="4">
        <v>153</v>
      </c>
      <c r="D167" s="5" t="s">
        <v>11</v>
      </c>
      <c r="E167" s="79">
        <f>ROUND(POWER((1-$E$4),B167-1)*VLOOKUP(D167,ĐiệnNăng_Input!$A$1:$C$12,2,0),0)</f>
        <v>103946</v>
      </c>
      <c r="F167" s="6">
        <f t="shared" si="17"/>
        <v>202087655.36000004</v>
      </c>
      <c r="G167" s="65">
        <f t="shared" si="18"/>
        <v>10104382.768000003</v>
      </c>
      <c r="H167" s="65" t="e">
        <f>VLOOKUP(C167,VayMB!$C$16:$G$1374,5,0)</f>
        <v>#N/A</v>
      </c>
      <c r="I167" s="65">
        <f t="shared" si="19"/>
        <v>191983272.59200004</v>
      </c>
      <c r="J167" s="110"/>
      <c r="K167" s="105"/>
      <c r="L167" s="105"/>
    </row>
    <row r="168" spans="1:12" ht="23">
      <c r="A168" s="107"/>
      <c r="B168" s="8">
        <f t="shared" si="20"/>
        <v>13</v>
      </c>
      <c r="C168" s="4">
        <v>154</v>
      </c>
      <c r="D168" s="80" t="s">
        <v>12</v>
      </c>
      <c r="E168" s="79">
        <f>ROUND(POWER((1-$E$4),B168-1)*VLOOKUP(D168,ĐiệnNăng_Input!$A$1:$C$12,2,0),0)</f>
        <v>92711</v>
      </c>
      <c r="F168" s="6">
        <f t="shared" si="17"/>
        <v>180245017.76000002</v>
      </c>
      <c r="G168" s="65">
        <f t="shared" si="18"/>
        <v>9012250.8880000021</v>
      </c>
      <c r="H168" s="65" t="e">
        <f>VLOOKUP(C168,VayMB!$C$16:$G$1374,5,0)</f>
        <v>#N/A</v>
      </c>
      <c r="I168" s="65">
        <f t="shared" si="19"/>
        <v>171232766.87200001</v>
      </c>
      <c r="J168" s="110"/>
      <c r="K168" s="105"/>
      <c r="L168" s="105"/>
    </row>
    <row r="169" spans="1:12" ht="23">
      <c r="A169" s="107"/>
      <c r="B169" s="8">
        <f t="shared" si="20"/>
        <v>13</v>
      </c>
      <c r="C169" s="4">
        <v>155</v>
      </c>
      <c r="D169" s="5" t="s">
        <v>13</v>
      </c>
      <c r="E169" s="79">
        <f>ROUND(POWER((1-$E$4),B169-1)*VLOOKUP(D169,ĐiệnNăng_Input!$A$1:$C$12,2,0),0)</f>
        <v>112774</v>
      </c>
      <c r="F169" s="6">
        <f t="shared" si="17"/>
        <v>219250699.84000003</v>
      </c>
      <c r="G169" s="65">
        <f t="shared" si="18"/>
        <v>10962534.992000002</v>
      </c>
      <c r="H169" s="65" t="e">
        <f>VLOOKUP(C169,VayMB!$C$16:$G$1374,5,0)</f>
        <v>#N/A</v>
      </c>
      <c r="I169" s="65">
        <f t="shared" si="19"/>
        <v>208288164.84800002</v>
      </c>
      <c r="J169" s="110"/>
      <c r="K169" s="105"/>
      <c r="L169" s="105"/>
    </row>
    <row r="170" spans="1:12" ht="24" thickBot="1">
      <c r="A170" s="107"/>
      <c r="B170" s="8">
        <f t="shared" si="20"/>
        <v>13</v>
      </c>
      <c r="C170" s="4">
        <v>156</v>
      </c>
      <c r="D170" s="80" t="s">
        <v>14</v>
      </c>
      <c r="E170" s="79">
        <f>ROUND(POWER((1-$E$4),B170-1)*VLOOKUP(D170,ĐiệnNăng_Input!$A$1:$C$12,2,0),0)</f>
        <v>110693</v>
      </c>
      <c r="F170" s="6">
        <f t="shared" si="17"/>
        <v>215204902.88000003</v>
      </c>
      <c r="G170" s="65">
        <f t="shared" si="18"/>
        <v>10760245.144000001</v>
      </c>
      <c r="H170" s="65" t="e">
        <f>VLOOKUP(C170,VayMB!$C$16:$G$1374,5,0)</f>
        <v>#N/A</v>
      </c>
      <c r="I170" s="65">
        <f t="shared" si="19"/>
        <v>204444657.73600003</v>
      </c>
      <c r="J170" s="110"/>
      <c r="K170" s="106"/>
      <c r="L170" s="106"/>
    </row>
    <row r="171" spans="1:12" ht="23">
      <c r="A171" s="109">
        <v>14</v>
      </c>
      <c r="B171" s="8">
        <f t="shared" si="20"/>
        <v>14</v>
      </c>
      <c r="C171" s="4">
        <v>157</v>
      </c>
      <c r="D171" s="5" t="s">
        <v>3</v>
      </c>
      <c r="E171" s="79">
        <f>ROUND(POWER((1-$E$4),B171-1)*VLOOKUP(D171,ĐiệnNăng_Input!$A$1:$C$12,2,0),0)</f>
        <v>131344</v>
      </c>
      <c r="F171" s="6">
        <f t="shared" si="17"/>
        <v>255353751.04000005</v>
      </c>
      <c r="G171" s="65">
        <f t="shared" si="18"/>
        <v>12767687.552000003</v>
      </c>
      <c r="H171" s="65" t="e">
        <f>VLOOKUP(C171,VayMB!$C$16:$G$1374,5,0)</f>
        <v>#N/A</v>
      </c>
      <c r="I171" s="65">
        <f t="shared" si="19"/>
        <v>242586063.48800004</v>
      </c>
      <c r="J171" s="110">
        <f>SUMIF($B$15:$B$314,"=14",$I$15:$I$314)</f>
        <v>2496561957.4400005</v>
      </c>
      <c r="K171" s="104">
        <f t="shared" ref="K171:L171" si="23">IF(J171&lt;0,1,0)</f>
        <v>0</v>
      </c>
      <c r="L171" s="104">
        <f>IF(AND(K171=0,K159=1),A171,0)</f>
        <v>0</v>
      </c>
    </row>
    <row r="172" spans="1:12" ht="23">
      <c r="A172" s="109"/>
      <c r="B172" s="8">
        <f t="shared" si="20"/>
        <v>14</v>
      </c>
      <c r="C172" s="4">
        <v>158</v>
      </c>
      <c r="D172" s="80" t="s">
        <v>4</v>
      </c>
      <c r="E172" s="79">
        <f>ROUND(POWER((1-$E$4),B172-1)*VLOOKUP(D172,ĐiệnNăng_Input!$A$1:$C$12,2,0),0)</f>
        <v>130171</v>
      </c>
      <c r="F172" s="6">
        <f t="shared" si="17"/>
        <v>253073251.36000004</v>
      </c>
      <c r="G172" s="65">
        <f t="shared" si="18"/>
        <v>12653662.568000004</v>
      </c>
      <c r="H172" s="65" t="e">
        <f>VLOOKUP(C172,VayMB!$C$16:$G$1374,5,0)</f>
        <v>#N/A</v>
      </c>
      <c r="I172" s="65">
        <f t="shared" si="19"/>
        <v>240419588.79200006</v>
      </c>
      <c r="J172" s="110"/>
      <c r="K172" s="105"/>
      <c r="L172" s="105"/>
    </row>
    <row r="173" spans="1:12" ht="23">
      <c r="A173" s="109"/>
      <c r="B173" s="8">
        <f t="shared" si="20"/>
        <v>14</v>
      </c>
      <c r="C173" s="4">
        <v>159</v>
      </c>
      <c r="D173" s="5" t="s">
        <v>5</v>
      </c>
      <c r="E173" s="79">
        <f>ROUND(POWER((1-$E$4),B173-1)*VLOOKUP(D173,ĐiệnNăng_Input!$A$1:$C$12,2,0),0)</f>
        <v>144151</v>
      </c>
      <c r="F173" s="6">
        <f t="shared" si="17"/>
        <v>280252608.16000003</v>
      </c>
      <c r="G173" s="65">
        <f t="shared" si="18"/>
        <v>14012630.408000002</v>
      </c>
      <c r="H173" s="65" t="e">
        <f>VLOOKUP(C173,VayMB!$C$16:$G$1374,5,0)</f>
        <v>#N/A</v>
      </c>
      <c r="I173" s="65">
        <f t="shared" si="19"/>
        <v>266239977.75200003</v>
      </c>
      <c r="J173" s="110"/>
      <c r="K173" s="105"/>
      <c r="L173" s="105"/>
    </row>
    <row r="174" spans="1:12" ht="23">
      <c r="A174" s="109"/>
      <c r="B174" s="8">
        <f t="shared" si="20"/>
        <v>14</v>
      </c>
      <c r="C174" s="4">
        <v>160</v>
      </c>
      <c r="D174" s="80" t="s">
        <v>6</v>
      </c>
      <c r="E174" s="79">
        <f>ROUND(POWER((1-$E$4),B174-1)*VLOOKUP(D174,ĐiệnNăng_Input!$A$1:$C$12,2,0),0)</f>
        <v>126936</v>
      </c>
      <c r="F174" s="6">
        <f t="shared" si="17"/>
        <v>246783893.76000005</v>
      </c>
      <c r="G174" s="65">
        <f t="shared" si="18"/>
        <v>12339194.688000003</v>
      </c>
      <c r="H174" s="65" t="e">
        <f>VLOOKUP(C174,VayMB!$C$16:$G$1374,5,0)</f>
        <v>#N/A</v>
      </c>
      <c r="I174" s="65">
        <f t="shared" si="19"/>
        <v>234444699.07200006</v>
      </c>
      <c r="J174" s="110"/>
      <c r="K174" s="105"/>
      <c r="L174" s="105"/>
    </row>
    <row r="175" spans="1:12" ht="23">
      <c r="A175" s="109"/>
      <c r="B175" s="8">
        <f t="shared" si="20"/>
        <v>14</v>
      </c>
      <c r="C175" s="4">
        <v>161</v>
      </c>
      <c r="D175" s="5" t="s">
        <v>7</v>
      </c>
      <c r="E175" s="79">
        <f>ROUND(POWER((1-$E$4),B175-1)*VLOOKUP(D175,ĐiệnNăng_Input!$A$1:$C$12,2,0),0)</f>
        <v>106714</v>
      </c>
      <c r="F175" s="6">
        <f t="shared" si="17"/>
        <v>207469090.24000004</v>
      </c>
      <c r="G175" s="65">
        <f t="shared" si="18"/>
        <v>10373454.512000002</v>
      </c>
      <c r="H175" s="65" t="e">
        <f>VLOOKUP(C175,VayMB!$C$16:$G$1374,5,0)</f>
        <v>#N/A</v>
      </c>
      <c r="I175" s="65">
        <f t="shared" si="19"/>
        <v>197095635.72800004</v>
      </c>
      <c r="J175" s="110"/>
      <c r="K175" s="105"/>
      <c r="L175" s="105"/>
    </row>
    <row r="176" spans="1:12" ht="23">
      <c r="A176" s="109"/>
      <c r="B176" s="8">
        <f t="shared" si="20"/>
        <v>14</v>
      </c>
      <c r="C176" s="4">
        <v>162</v>
      </c>
      <c r="D176" s="80" t="s">
        <v>8</v>
      </c>
      <c r="E176" s="79">
        <f>ROUND(POWER((1-$E$4),B176-1)*VLOOKUP(D176,ĐiệnNăng_Input!$A$1:$C$12,2,0),0)</f>
        <v>97919</v>
      </c>
      <c r="F176" s="6">
        <f t="shared" si="17"/>
        <v>190370203.04000002</v>
      </c>
      <c r="G176" s="65">
        <f t="shared" si="18"/>
        <v>9518510.1520000007</v>
      </c>
      <c r="H176" s="65" t="e">
        <f>VLOOKUP(C176,VayMB!$C$16:$G$1374,5,0)</f>
        <v>#N/A</v>
      </c>
      <c r="I176" s="65">
        <f t="shared" si="19"/>
        <v>180851692.88800001</v>
      </c>
      <c r="J176" s="110"/>
      <c r="K176" s="105"/>
      <c r="L176" s="105"/>
    </row>
    <row r="177" spans="1:12" ht="23">
      <c r="A177" s="109"/>
      <c r="B177" s="8">
        <f t="shared" si="20"/>
        <v>14</v>
      </c>
      <c r="C177" s="4">
        <v>163</v>
      </c>
      <c r="D177" s="5" t="s">
        <v>9</v>
      </c>
      <c r="E177" s="79">
        <f>ROUND(POWER((1-$E$4),B177-1)*VLOOKUP(D177,ĐiệnNăng_Input!$A$1:$C$12,2,0),0)</f>
        <v>97139</v>
      </c>
      <c r="F177" s="6">
        <f t="shared" si="17"/>
        <v>188853758.24000004</v>
      </c>
      <c r="G177" s="65">
        <f t="shared" si="18"/>
        <v>9442687.9120000023</v>
      </c>
      <c r="H177" s="65" t="e">
        <f>VLOOKUP(C177,VayMB!$C$16:$G$1374,5,0)</f>
        <v>#N/A</v>
      </c>
      <c r="I177" s="65">
        <f t="shared" si="19"/>
        <v>179411070.32800004</v>
      </c>
      <c r="J177" s="110"/>
      <c r="K177" s="105"/>
      <c r="L177" s="105"/>
    </row>
    <row r="178" spans="1:12" ht="23">
      <c r="A178" s="109"/>
      <c r="B178" s="8">
        <f t="shared" si="20"/>
        <v>14</v>
      </c>
      <c r="C178" s="4">
        <v>164</v>
      </c>
      <c r="D178" s="80" t="s">
        <v>10</v>
      </c>
      <c r="E178" s="79">
        <f>ROUND(POWER((1-$E$4),B178-1)*VLOOKUP(D178,ĐiệnNăng_Input!$A$1:$C$12,2,0),0)</f>
        <v>99324</v>
      </c>
      <c r="F178" s="6">
        <f t="shared" si="17"/>
        <v>193101747.84000003</v>
      </c>
      <c r="G178" s="65">
        <f t="shared" si="18"/>
        <v>9655087.3920000028</v>
      </c>
      <c r="H178" s="65" t="e">
        <f>VLOOKUP(C178,VayMB!$C$16:$G$1374,5,0)</f>
        <v>#N/A</v>
      </c>
      <c r="I178" s="65">
        <f t="shared" si="19"/>
        <v>183446660.44800004</v>
      </c>
      <c r="J178" s="110"/>
      <c r="K178" s="105"/>
      <c r="L178" s="105"/>
    </row>
    <row r="179" spans="1:12" ht="23">
      <c r="A179" s="109"/>
      <c r="B179" s="8">
        <f t="shared" si="20"/>
        <v>14</v>
      </c>
      <c r="C179" s="4">
        <v>165</v>
      </c>
      <c r="D179" s="5" t="s">
        <v>11</v>
      </c>
      <c r="E179" s="79">
        <f>ROUND(POWER((1-$E$4),B179-1)*VLOOKUP(D179,ĐiệnNăng_Input!$A$1:$C$12,2,0),0)</f>
        <v>103426</v>
      </c>
      <c r="F179" s="6">
        <f t="shared" si="17"/>
        <v>201076692.16000003</v>
      </c>
      <c r="G179" s="65">
        <f t="shared" si="18"/>
        <v>10053834.608000001</v>
      </c>
      <c r="H179" s="65" t="e">
        <f>VLOOKUP(C179,VayMB!$C$16:$G$1374,5,0)</f>
        <v>#N/A</v>
      </c>
      <c r="I179" s="65">
        <f t="shared" si="19"/>
        <v>191022857.55200002</v>
      </c>
      <c r="J179" s="110"/>
      <c r="K179" s="105"/>
      <c r="L179" s="105"/>
    </row>
    <row r="180" spans="1:12" ht="23">
      <c r="A180" s="109"/>
      <c r="B180" s="8">
        <f t="shared" si="20"/>
        <v>14</v>
      </c>
      <c r="C180" s="4">
        <v>166</v>
      </c>
      <c r="D180" s="80" t="s">
        <v>12</v>
      </c>
      <c r="E180" s="79">
        <f>ROUND(POWER((1-$E$4),B180-1)*VLOOKUP(D180,ĐiệnNăng_Input!$A$1:$C$12,2,0),0)</f>
        <v>92247</v>
      </c>
      <c r="F180" s="6">
        <f t="shared" si="17"/>
        <v>179342927.52000004</v>
      </c>
      <c r="G180" s="65">
        <f t="shared" si="18"/>
        <v>8967146.376000002</v>
      </c>
      <c r="H180" s="65" t="e">
        <f>VLOOKUP(C180,VayMB!$C$16:$G$1374,5,0)</f>
        <v>#N/A</v>
      </c>
      <c r="I180" s="65">
        <f t="shared" si="19"/>
        <v>170375781.14400005</v>
      </c>
      <c r="J180" s="110"/>
      <c r="K180" s="105"/>
      <c r="L180" s="105"/>
    </row>
    <row r="181" spans="1:12" ht="23">
      <c r="A181" s="109"/>
      <c r="B181" s="8">
        <f t="shared" si="20"/>
        <v>14</v>
      </c>
      <c r="C181" s="4">
        <v>167</v>
      </c>
      <c r="D181" s="5" t="s">
        <v>13</v>
      </c>
      <c r="E181" s="79">
        <f>ROUND(POWER((1-$E$4),B181-1)*VLOOKUP(D181,ĐiệnNăng_Input!$A$1:$C$12,2,0),0)</f>
        <v>112210</v>
      </c>
      <c r="F181" s="6">
        <f t="shared" si="17"/>
        <v>218154193.60000002</v>
      </c>
      <c r="G181" s="65">
        <f t="shared" si="18"/>
        <v>10907709.680000002</v>
      </c>
      <c r="H181" s="65" t="e">
        <f>VLOOKUP(C181,VayMB!$C$16:$G$1374,5,0)</f>
        <v>#N/A</v>
      </c>
      <c r="I181" s="65">
        <f t="shared" si="19"/>
        <v>207246483.92000002</v>
      </c>
      <c r="J181" s="110"/>
      <c r="K181" s="105"/>
      <c r="L181" s="105"/>
    </row>
    <row r="182" spans="1:12" ht="24" thickBot="1">
      <c r="A182" s="109"/>
      <c r="B182" s="8">
        <f t="shared" si="20"/>
        <v>14</v>
      </c>
      <c r="C182" s="4">
        <v>168</v>
      </c>
      <c r="D182" s="80" t="s">
        <v>14</v>
      </c>
      <c r="E182" s="79">
        <f>ROUND(POWER((1-$E$4),B182-1)*VLOOKUP(D182,ĐiệnNăng_Input!$A$1:$C$12,2,0),0)</f>
        <v>110139</v>
      </c>
      <c r="F182" s="6">
        <f t="shared" si="17"/>
        <v>214127838.24000004</v>
      </c>
      <c r="G182" s="65">
        <f t="shared" si="18"/>
        <v>10706391.912000002</v>
      </c>
      <c r="H182" s="65" t="e">
        <f>VLOOKUP(C182,VayMB!$C$16:$G$1374,5,0)</f>
        <v>#N/A</v>
      </c>
      <c r="I182" s="65">
        <f t="shared" si="19"/>
        <v>203421446.32800004</v>
      </c>
      <c r="J182" s="110"/>
      <c r="K182" s="106"/>
      <c r="L182" s="106"/>
    </row>
    <row r="183" spans="1:12" ht="23">
      <c r="A183" s="107">
        <v>15</v>
      </c>
      <c r="B183" s="8">
        <f t="shared" si="20"/>
        <v>15</v>
      </c>
      <c r="C183" s="4">
        <v>169</v>
      </c>
      <c r="D183" s="5" t="s">
        <v>3</v>
      </c>
      <c r="E183" s="79">
        <f>ROUND(POWER((1-$E$4),B183-1)*VLOOKUP(D183,ĐiệnNăng_Input!$A$1:$C$12,2,0),0)</f>
        <v>130688</v>
      </c>
      <c r="F183" s="6">
        <f t="shared" si="17"/>
        <v>254078382.08000004</v>
      </c>
      <c r="G183" s="65">
        <f t="shared" si="18"/>
        <v>12703919.104000002</v>
      </c>
      <c r="H183" s="65" t="e">
        <f>VLOOKUP(C183,VayMB!$C$16:$G$1374,5,0)</f>
        <v>#N/A</v>
      </c>
      <c r="I183" s="65">
        <f t="shared" si="19"/>
        <v>241374462.97600004</v>
      </c>
      <c r="J183" s="110">
        <f>SUMIF($B$15:$B$314,"=15",$I$15:$I$314)</f>
        <v>2484082102.7760005</v>
      </c>
      <c r="K183" s="104">
        <f t="shared" ref="K183:L183" si="24">IF(J183&lt;0,1,0)</f>
        <v>0</v>
      </c>
      <c r="L183" s="104">
        <f>IF(AND(K183=0,K171=1),A183,0)</f>
        <v>0</v>
      </c>
    </row>
    <row r="184" spans="1:12" ht="23">
      <c r="A184" s="107"/>
      <c r="B184" s="8">
        <f t="shared" si="20"/>
        <v>15</v>
      </c>
      <c r="C184" s="4">
        <v>170</v>
      </c>
      <c r="D184" s="80" t="s">
        <v>4</v>
      </c>
      <c r="E184" s="79">
        <f>ROUND(POWER((1-$E$4),B184-1)*VLOOKUP(D184,ĐiệnNăng_Input!$A$1:$C$12,2,0),0)</f>
        <v>129520</v>
      </c>
      <c r="F184" s="6">
        <f t="shared" si="17"/>
        <v>251807603.20000005</v>
      </c>
      <c r="G184" s="65">
        <f t="shared" si="18"/>
        <v>12590380.160000004</v>
      </c>
      <c r="H184" s="65" t="e">
        <f>VLOOKUP(C184,VayMB!$C$16:$G$1374,5,0)</f>
        <v>#N/A</v>
      </c>
      <c r="I184" s="65">
        <f t="shared" si="19"/>
        <v>239217223.04000005</v>
      </c>
      <c r="J184" s="110"/>
      <c r="K184" s="105"/>
      <c r="L184" s="105"/>
    </row>
    <row r="185" spans="1:12" ht="23">
      <c r="A185" s="107"/>
      <c r="B185" s="8">
        <f t="shared" si="20"/>
        <v>15</v>
      </c>
      <c r="C185" s="4">
        <v>171</v>
      </c>
      <c r="D185" s="5" t="s">
        <v>5</v>
      </c>
      <c r="E185" s="79">
        <f>ROUND(POWER((1-$E$4),B185-1)*VLOOKUP(D185,ĐiệnNăng_Input!$A$1:$C$12,2,0),0)</f>
        <v>143430</v>
      </c>
      <c r="F185" s="6">
        <f t="shared" si="17"/>
        <v>278850868.80000007</v>
      </c>
      <c r="G185" s="65">
        <f t="shared" si="18"/>
        <v>13942543.440000005</v>
      </c>
      <c r="H185" s="65" t="e">
        <f>VLOOKUP(C185,VayMB!$C$16:$G$1374,5,0)</f>
        <v>#N/A</v>
      </c>
      <c r="I185" s="65">
        <f t="shared" si="19"/>
        <v>264908325.36000007</v>
      </c>
      <c r="J185" s="110"/>
      <c r="K185" s="105"/>
      <c r="L185" s="105"/>
    </row>
    <row r="186" spans="1:12" ht="23">
      <c r="A186" s="107"/>
      <c r="B186" s="8">
        <f t="shared" si="20"/>
        <v>15</v>
      </c>
      <c r="C186" s="4">
        <v>172</v>
      </c>
      <c r="D186" s="80" t="s">
        <v>6</v>
      </c>
      <c r="E186" s="79">
        <f>ROUND(POWER((1-$E$4),B186-1)*VLOOKUP(D186,ĐiệnNăng_Input!$A$1:$C$12,2,0),0)</f>
        <v>126301</v>
      </c>
      <c r="F186" s="6">
        <f t="shared" si="17"/>
        <v>245549352.16000003</v>
      </c>
      <c r="G186" s="65">
        <f t="shared" si="18"/>
        <v>12277467.608000003</v>
      </c>
      <c r="H186" s="65" t="e">
        <f>VLOOKUP(C186,VayMB!$C$16:$G$1374,5,0)</f>
        <v>#N/A</v>
      </c>
      <c r="I186" s="65">
        <f t="shared" si="19"/>
        <v>233271884.55200002</v>
      </c>
      <c r="J186" s="110"/>
      <c r="K186" s="105"/>
      <c r="L186" s="105"/>
    </row>
    <row r="187" spans="1:12" ht="23">
      <c r="A187" s="107"/>
      <c r="B187" s="8">
        <f t="shared" si="20"/>
        <v>15</v>
      </c>
      <c r="C187" s="4">
        <v>173</v>
      </c>
      <c r="D187" s="5" t="s">
        <v>7</v>
      </c>
      <c r="E187" s="79">
        <f>ROUND(POWER((1-$E$4),B187-1)*VLOOKUP(D187,ĐiệnNăng_Input!$A$1:$C$12,2,0),0)</f>
        <v>106180</v>
      </c>
      <c r="F187" s="6">
        <f t="shared" si="17"/>
        <v>206430908.80000004</v>
      </c>
      <c r="G187" s="65">
        <f t="shared" si="18"/>
        <v>10321545.440000003</v>
      </c>
      <c r="H187" s="65" t="e">
        <f>VLOOKUP(C187,VayMB!$C$16:$G$1374,5,0)</f>
        <v>#N/A</v>
      </c>
      <c r="I187" s="65">
        <f t="shared" si="19"/>
        <v>196109363.36000004</v>
      </c>
      <c r="J187" s="110"/>
      <c r="K187" s="105"/>
      <c r="L187" s="105"/>
    </row>
    <row r="188" spans="1:12" ht="23">
      <c r="A188" s="107"/>
      <c r="B188" s="8">
        <f t="shared" si="20"/>
        <v>15</v>
      </c>
      <c r="C188" s="4">
        <v>174</v>
      </c>
      <c r="D188" s="80" t="s">
        <v>8</v>
      </c>
      <c r="E188" s="79">
        <f>ROUND(POWER((1-$E$4),B188-1)*VLOOKUP(D188,ĐiệnNăng_Input!$A$1:$C$12,2,0),0)</f>
        <v>97429</v>
      </c>
      <c r="F188" s="6">
        <f t="shared" si="17"/>
        <v>189417564.64000002</v>
      </c>
      <c r="G188" s="65">
        <f t="shared" si="18"/>
        <v>9470878.2320000008</v>
      </c>
      <c r="H188" s="65" t="e">
        <f>VLOOKUP(C188,VayMB!$C$16:$G$1374,5,0)</f>
        <v>#N/A</v>
      </c>
      <c r="I188" s="65">
        <f t="shared" si="19"/>
        <v>179946686.40800002</v>
      </c>
      <c r="J188" s="110"/>
      <c r="K188" s="105"/>
      <c r="L188" s="105"/>
    </row>
    <row r="189" spans="1:12" ht="23">
      <c r="A189" s="107"/>
      <c r="B189" s="8">
        <f t="shared" si="20"/>
        <v>15</v>
      </c>
      <c r="C189" s="4">
        <v>175</v>
      </c>
      <c r="D189" s="5" t="s">
        <v>9</v>
      </c>
      <c r="E189" s="79">
        <f>ROUND(POWER((1-$E$4),B189-1)*VLOOKUP(D189,ĐiệnNăng_Input!$A$1:$C$12,2,0),0)</f>
        <v>96654</v>
      </c>
      <c r="F189" s="6">
        <f t="shared" si="17"/>
        <v>187910840.64000002</v>
      </c>
      <c r="G189" s="65">
        <f t="shared" si="18"/>
        <v>9395542.0320000015</v>
      </c>
      <c r="H189" s="65" t="e">
        <f>VLOOKUP(C189,VayMB!$C$16:$G$1374,5,0)</f>
        <v>#N/A</v>
      </c>
      <c r="I189" s="65">
        <f t="shared" si="19"/>
        <v>178515298.60800001</v>
      </c>
      <c r="J189" s="110"/>
      <c r="K189" s="105"/>
      <c r="L189" s="105"/>
    </row>
    <row r="190" spans="1:12" ht="23">
      <c r="A190" s="107"/>
      <c r="B190" s="8">
        <f t="shared" si="20"/>
        <v>15</v>
      </c>
      <c r="C190" s="4">
        <v>176</v>
      </c>
      <c r="D190" s="80" t="s">
        <v>10</v>
      </c>
      <c r="E190" s="79">
        <f>ROUND(POWER((1-$E$4),B190-1)*VLOOKUP(D190,ĐiệnNăng_Input!$A$1:$C$12,2,0),0)</f>
        <v>98828</v>
      </c>
      <c r="F190" s="6">
        <f t="shared" si="17"/>
        <v>192137444.48000002</v>
      </c>
      <c r="G190" s="65">
        <f t="shared" si="18"/>
        <v>9606872.2240000013</v>
      </c>
      <c r="H190" s="65" t="e">
        <f>VLOOKUP(C190,VayMB!$C$16:$G$1374,5,0)</f>
        <v>#N/A</v>
      </c>
      <c r="I190" s="65">
        <f t="shared" si="19"/>
        <v>182530572.25600001</v>
      </c>
      <c r="J190" s="110"/>
      <c r="K190" s="105"/>
      <c r="L190" s="105"/>
    </row>
    <row r="191" spans="1:12" ht="23">
      <c r="A191" s="107"/>
      <c r="B191" s="8">
        <f t="shared" si="20"/>
        <v>15</v>
      </c>
      <c r="C191" s="4">
        <v>177</v>
      </c>
      <c r="D191" s="5" t="s">
        <v>11</v>
      </c>
      <c r="E191" s="79">
        <f>ROUND(POWER((1-$E$4),B191-1)*VLOOKUP(D191,ĐiệnNăng_Input!$A$1:$C$12,2,0),0)</f>
        <v>102909</v>
      </c>
      <c r="F191" s="6">
        <f t="shared" si="17"/>
        <v>200071561.44000003</v>
      </c>
      <c r="G191" s="65">
        <f t="shared" si="18"/>
        <v>10003578.072000002</v>
      </c>
      <c r="H191" s="65" t="e">
        <f>VLOOKUP(C191,VayMB!$C$16:$G$1374,5,0)</f>
        <v>#N/A</v>
      </c>
      <c r="I191" s="65">
        <f t="shared" si="19"/>
        <v>190067983.36800003</v>
      </c>
      <c r="J191" s="110"/>
      <c r="K191" s="105"/>
      <c r="L191" s="105"/>
    </row>
    <row r="192" spans="1:12" ht="23">
      <c r="A192" s="107"/>
      <c r="B192" s="8">
        <f t="shared" si="20"/>
        <v>15</v>
      </c>
      <c r="C192" s="4">
        <v>178</v>
      </c>
      <c r="D192" s="80" t="s">
        <v>12</v>
      </c>
      <c r="E192" s="79">
        <f>ROUND(POWER((1-$E$4),B192-1)*VLOOKUP(D192,ĐiệnNăng_Input!$A$1:$C$12,2,0),0)</f>
        <v>91786</v>
      </c>
      <c r="F192" s="6">
        <f t="shared" si="17"/>
        <v>178446669.76000002</v>
      </c>
      <c r="G192" s="65">
        <f t="shared" si="18"/>
        <v>8922333.4880000018</v>
      </c>
      <c r="H192" s="65" t="e">
        <f>VLOOKUP(C192,VayMB!$C$16:$G$1374,5,0)</f>
        <v>#N/A</v>
      </c>
      <c r="I192" s="65">
        <f t="shared" si="19"/>
        <v>169524336.27200001</v>
      </c>
      <c r="J192" s="110"/>
      <c r="K192" s="105"/>
      <c r="L192" s="105"/>
    </row>
    <row r="193" spans="1:12" ht="23">
      <c r="A193" s="107"/>
      <c r="B193" s="8">
        <f t="shared" si="20"/>
        <v>15</v>
      </c>
      <c r="C193" s="4">
        <v>179</v>
      </c>
      <c r="D193" s="5" t="s">
        <v>13</v>
      </c>
      <c r="E193" s="79">
        <f>ROUND(POWER((1-$E$4),B193-1)*VLOOKUP(D193,ĐiệnNăng_Input!$A$1:$C$12,2,0),0)</f>
        <v>111649</v>
      </c>
      <c r="F193" s="6">
        <f t="shared" si="17"/>
        <v>217063519.84000003</v>
      </c>
      <c r="G193" s="65">
        <f t="shared" si="18"/>
        <v>10853175.992000002</v>
      </c>
      <c r="H193" s="65" t="e">
        <f>VLOOKUP(C193,VayMB!$C$16:$G$1374,5,0)</f>
        <v>#N/A</v>
      </c>
      <c r="I193" s="65">
        <f t="shared" si="19"/>
        <v>206210343.84800002</v>
      </c>
      <c r="J193" s="110"/>
      <c r="K193" s="105"/>
      <c r="L193" s="105"/>
    </row>
    <row r="194" spans="1:12" ht="24" thickBot="1">
      <c r="A194" s="107"/>
      <c r="B194" s="8">
        <f t="shared" si="20"/>
        <v>15</v>
      </c>
      <c r="C194" s="4">
        <v>180</v>
      </c>
      <c r="D194" s="80" t="s">
        <v>14</v>
      </c>
      <c r="E194" s="79">
        <f>ROUND(POWER((1-$E$4),B194-1)*VLOOKUP(D194,ĐiệnNăng_Input!$A$1:$C$12,2,0),0)</f>
        <v>109589</v>
      </c>
      <c r="F194" s="6">
        <f t="shared" si="17"/>
        <v>213058550.24000004</v>
      </c>
      <c r="G194" s="65">
        <f t="shared" si="18"/>
        <v>10652927.512000002</v>
      </c>
      <c r="H194" s="65" t="e">
        <f>VLOOKUP(C194,VayMB!$C$16:$G$1374,5,0)</f>
        <v>#N/A</v>
      </c>
      <c r="I194" s="65">
        <f t="shared" si="19"/>
        <v>202405622.72800004</v>
      </c>
      <c r="J194" s="110"/>
      <c r="K194" s="106"/>
      <c r="L194" s="106"/>
    </row>
    <row r="195" spans="1:12" ht="23">
      <c r="A195" s="109">
        <v>16</v>
      </c>
      <c r="B195" s="8">
        <f t="shared" si="20"/>
        <v>16</v>
      </c>
      <c r="C195" s="4">
        <v>181</v>
      </c>
      <c r="D195" s="5" t="s">
        <v>3</v>
      </c>
      <c r="E195" s="79">
        <f>ROUND(POWER((1-$E$4),B195-1)*VLOOKUP(D195,ĐiệnNăng_Input!$A$1:$C$12,2,0),0)</f>
        <v>130034</v>
      </c>
      <c r="F195" s="6">
        <f t="shared" si="17"/>
        <v>252806901.44000003</v>
      </c>
      <c r="G195" s="65">
        <f t="shared" si="18"/>
        <v>12640345.072000002</v>
      </c>
      <c r="H195" s="65" t="e">
        <f>VLOOKUP(C195,VayMB!$C$16:$G$1374,5,0)</f>
        <v>#N/A</v>
      </c>
      <c r="I195" s="65">
        <f t="shared" si="19"/>
        <v>240166556.36800003</v>
      </c>
      <c r="J195" s="110">
        <f>SUMIF($B$15:$B$314,"=16",$I$15:$I$314)</f>
        <v>2471659503.6240001</v>
      </c>
      <c r="K195" s="104">
        <f t="shared" ref="K195:L195" si="25">IF(J195&lt;0,1,0)</f>
        <v>0</v>
      </c>
      <c r="L195" s="104">
        <f>IF(AND(K195=0,K183=1),A195,0)</f>
        <v>0</v>
      </c>
    </row>
    <row r="196" spans="1:12" ht="23">
      <c r="A196" s="109"/>
      <c r="B196" s="8">
        <f t="shared" si="20"/>
        <v>16</v>
      </c>
      <c r="C196" s="4">
        <v>182</v>
      </c>
      <c r="D196" s="80" t="s">
        <v>4</v>
      </c>
      <c r="E196" s="79">
        <f>ROUND(POWER((1-$E$4),B196-1)*VLOOKUP(D196,ĐiệnNăng_Input!$A$1:$C$12,2,0),0)</f>
        <v>128873</v>
      </c>
      <c r="F196" s="6">
        <f t="shared" si="17"/>
        <v>250549731.68000004</v>
      </c>
      <c r="G196" s="65">
        <f t="shared" si="18"/>
        <v>12527486.584000003</v>
      </c>
      <c r="H196" s="65" t="e">
        <f>VLOOKUP(C196,VayMB!$C$16:$G$1374,5,0)</f>
        <v>#N/A</v>
      </c>
      <c r="I196" s="65">
        <f t="shared" si="19"/>
        <v>238022245.09600005</v>
      </c>
      <c r="J196" s="110"/>
      <c r="K196" s="105"/>
      <c r="L196" s="105"/>
    </row>
    <row r="197" spans="1:12" ht="23">
      <c r="A197" s="109"/>
      <c r="B197" s="8">
        <f t="shared" si="20"/>
        <v>16</v>
      </c>
      <c r="C197" s="4">
        <v>183</v>
      </c>
      <c r="D197" s="5" t="s">
        <v>5</v>
      </c>
      <c r="E197" s="79">
        <f>ROUND(POWER((1-$E$4),B197-1)*VLOOKUP(D197,ĐiệnNăng_Input!$A$1:$C$12,2,0),0)</f>
        <v>142713</v>
      </c>
      <c r="F197" s="6">
        <f t="shared" si="17"/>
        <v>277456906.08000004</v>
      </c>
      <c r="G197" s="65">
        <f t="shared" si="18"/>
        <v>13872845.304000003</v>
      </c>
      <c r="H197" s="65" t="e">
        <f>VLOOKUP(C197,VayMB!$C$16:$G$1374,5,0)</f>
        <v>#N/A</v>
      </c>
      <c r="I197" s="65">
        <f t="shared" si="19"/>
        <v>263584060.77600005</v>
      </c>
      <c r="J197" s="110"/>
      <c r="K197" s="105"/>
      <c r="L197" s="105"/>
    </row>
    <row r="198" spans="1:12" ht="23">
      <c r="A198" s="109"/>
      <c r="B198" s="8">
        <f t="shared" si="20"/>
        <v>16</v>
      </c>
      <c r="C198" s="4">
        <v>184</v>
      </c>
      <c r="D198" s="80" t="s">
        <v>6</v>
      </c>
      <c r="E198" s="79">
        <f>ROUND(POWER((1-$E$4),B198-1)*VLOOKUP(D198,ĐiệnNăng_Input!$A$1:$C$12,2,0),0)</f>
        <v>125669</v>
      </c>
      <c r="F198" s="6">
        <f t="shared" si="17"/>
        <v>244320643.04000005</v>
      </c>
      <c r="G198" s="65">
        <f t="shared" si="18"/>
        <v>12216032.152000003</v>
      </c>
      <c r="H198" s="65" t="e">
        <f>VLOOKUP(C198,VayMB!$C$16:$G$1374,5,0)</f>
        <v>#N/A</v>
      </c>
      <c r="I198" s="65">
        <f t="shared" si="19"/>
        <v>232104610.88800004</v>
      </c>
      <c r="J198" s="110"/>
      <c r="K198" s="105"/>
      <c r="L198" s="105"/>
    </row>
    <row r="199" spans="1:12" ht="23">
      <c r="A199" s="109"/>
      <c r="B199" s="8">
        <f t="shared" si="20"/>
        <v>16</v>
      </c>
      <c r="C199" s="4">
        <v>185</v>
      </c>
      <c r="D199" s="5" t="s">
        <v>7</v>
      </c>
      <c r="E199" s="79">
        <f>ROUND(POWER((1-$E$4),B199-1)*VLOOKUP(D199,ĐiệnNăng_Input!$A$1:$C$12,2,0),0)</f>
        <v>105649</v>
      </c>
      <c r="F199" s="6">
        <f t="shared" si="17"/>
        <v>205398559.84000003</v>
      </c>
      <c r="G199" s="65">
        <f t="shared" si="18"/>
        <v>10269927.992000002</v>
      </c>
      <c r="H199" s="65" t="e">
        <f>VLOOKUP(C199,VayMB!$C$16:$G$1374,5,0)</f>
        <v>#N/A</v>
      </c>
      <c r="I199" s="65">
        <f t="shared" si="19"/>
        <v>195128631.84800002</v>
      </c>
      <c r="J199" s="110"/>
      <c r="K199" s="105"/>
      <c r="L199" s="105"/>
    </row>
    <row r="200" spans="1:12" ht="23">
      <c r="A200" s="109"/>
      <c r="B200" s="8">
        <f t="shared" si="20"/>
        <v>16</v>
      </c>
      <c r="C200" s="4">
        <v>186</v>
      </c>
      <c r="D200" s="80" t="s">
        <v>8</v>
      </c>
      <c r="E200" s="79">
        <f>ROUND(POWER((1-$E$4),B200-1)*VLOOKUP(D200,ĐiệnNăng_Input!$A$1:$C$12,2,0),0)</f>
        <v>96942</v>
      </c>
      <c r="F200" s="6">
        <f t="shared" si="17"/>
        <v>188470758.72000003</v>
      </c>
      <c r="G200" s="65">
        <f t="shared" si="18"/>
        <v>9423537.9360000025</v>
      </c>
      <c r="H200" s="65" t="e">
        <f>VLOOKUP(C200,VayMB!$C$16:$G$1374,5,0)</f>
        <v>#N/A</v>
      </c>
      <c r="I200" s="65">
        <f t="shared" si="19"/>
        <v>179047220.78400004</v>
      </c>
      <c r="J200" s="110"/>
      <c r="K200" s="105"/>
      <c r="L200" s="105"/>
    </row>
    <row r="201" spans="1:12" ht="23">
      <c r="A201" s="109"/>
      <c r="B201" s="8">
        <f t="shared" si="20"/>
        <v>16</v>
      </c>
      <c r="C201" s="4">
        <v>187</v>
      </c>
      <c r="D201" s="5" t="s">
        <v>9</v>
      </c>
      <c r="E201" s="79">
        <f>ROUND(POWER((1-$E$4),B201-1)*VLOOKUP(D201,ĐiệnNăng_Input!$A$1:$C$12,2,0),0)</f>
        <v>96170</v>
      </c>
      <c r="F201" s="6">
        <f t="shared" si="17"/>
        <v>186969867.20000002</v>
      </c>
      <c r="G201" s="65">
        <f t="shared" si="18"/>
        <v>9348493.3600000013</v>
      </c>
      <c r="H201" s="65" t="e">
        <f>VLOOKUP(C201,VayMB!$C$16:$G$1374,5,0)</f>
        <v>#N/A</v>
      </c>
      <c r="I201" s="65">
        <f t="shared" si="19"/>
        <v>177621373.84</v>
      </c>
      <c r="J201" s="110"/>
      <c r="K201" s="105"/>
      <c r="L201" s="105"/>
    </row>
    <row r="202" spans="1:12" ht="23">
      <c r="A202" s="109"/>
      <c r="B202" s="8">
        <f t="shared" si="20"/>
        <v>16</v>
      </c>
      <c r="C202" s="4">
        <v>188</v>
      </c>
      <c r="D202" s="80" t="s">
        <v>10</v>
      </c>
      <c r="E202" s="79">
        <f>ROUND(POWER((1-$E$4),B202-1)*VLOOKUP(D202,ĐiệnNăng_Input!$A$1:$C$12,2,0),0)</f>
        <v>98333</v>
      </c>
      <c r="F202" s="6">
        <f t="shared" si="17"/>
        <v>191175085.28000003</v>
      </c>
      <c r="G202" s="65">
        <f t="shared" si="18"/>
        <v>9558754.2640000023</v>
      </c>
      <c r="H202" s="65" t="e">
        <f>VLOOKUP(C202,VayMB!$C$16:$G$1374,5,0)</f>
        <v>#N/A</v>
      </c>
      <c r="I202" s="65">
        <f t="shared" si="19"/>
        <v>181616331.01600003</v>
      </c>
      <c r="J202" s="110"/>
      <c r="K202" s="105"/>
      <c r="L202" s="105"/>
    </row>
    <row r="203" spans="1:12" ht="23">
      <c r="A203" s="109"/>
      <c r="B203" s="8">
        <f t="shared" si="20"/>
        <v>16</v>
      </c>
      <c r="C203" s="4">
        <v>189</v>
      </c>
      <c r="D203" s="5" t="s">
        <v>11</v>
      </c>
      <c r="E203" s="79">
        <f>ROUND(POWER((1-$E$4),B203-1)*VLOOKUP(D203,ĐiệnNăng_Input!$A$1:$C$12,2,0),0)</f>
        <v>102395</v>
      </c>
      <c r="F203" s="6">
        <f t="shared" si="17"/>
        <v>199072263.20000002</v>
      </c>
      <c r="G203" s="65">
        <f t="shared" si="18"/>
        <v>9953613.160000002</v>
      </c>
      <c r="H203" s="65" t="e">
        <f>VLOOKUP(C203,VayMB!$C$16:$G$1374,5,0)</f>
        <v>#N/A</v>
      </c>
      <c r="I203" s="65">
        <f t="shared" si="19"/>
        <v>189118650.04000002</v>
      </c>
      <c r="J203" s="110"/>
      <c r="K203" s="105"/>
      <c r="L203" s="105"/>
    </row>
    <row r="204" spans="1:12" ht="23">
      <c r="A204" s="109"/>
      <c r="B204" s="8">
        <f t="shared" si="20"/>
        <v>16</v>
      </c>
      <c r="C204" s="4">
        <v>190</v>
      </c>
      <c r="D204" s="80" t="s">
        <v>12</v>
      </c>
      <c r="E204" s="79">
        <f>ROUND(POWER((1-$E$4),B204-1)*VLOOKUP(D204,ĐiệnNăng_Input!$A$1:$C$12,2,0),0)</f>
        <v>91327</v>
      </c>
      <c r="F204" s="6">
        <f t="shared" si="17"/>
        <v>177554300.32000002</v>
      </c>
      <c r="G204" s="65">
        <f t="shared" si="18"/>
        <v>8877715.0160000008</v>
      </c>
      <c r="H204" s="65" t="e">
        <f>VLOOKUP(C204,VayMB!$C$16:$G$1374,5,0)</f>
        <v>#N/A</v>
      </c>
      <c r="I204" s="65">
        <f t="shared" si="19"/>
        <v>168676585.30400002</v>
      </c>
      <c r="J204" s="110"/>
      <c r="K204" s="105"/>
      <c r="L204" s="105"/>
    </row>
    <row r="205" spans="1:12" ht="23">
      <c r="A205" s="109"/>
      <c r="B205" s="8">
        <f t="shared" si="20"/>
        <v>16</v>
      </c>
      <c r="C205" s="4">
        <v>191</v>
      </c>
      <c r="D205" s="5" t="s">
        <v>13</v>
      </c>
      <c r="E205" s="79">
        <f>ROUND(POWER((1-$E$4),B205-1)*VLOOKUP(D205,ĐiệnNăng_Input!$A$1:$C$12,2,0),0)</f>
        <v>111091</v>
      </c>
      <c r="F205" s="6">
        <f t="shared" si="17"/>
        <v>215978678.56000003</v>
      </c>
      <c r="G205" s="65">
        <f t="shared" si="18"/>
        <v>10798933.928000003</v>
      </c>
      <c r="H205" s="65" t="e">
        <f>VLOOKUP(C205,VayMB!$C$16:$G$1374,5,0)</f>
        <v>#N/A</v>
      </c>
      <c r="I205" s="65">
        <f t="shared" si="19"/>
        <v>205179744.63200003</v>
      </c>
      <c r="J205" s="110"/>
      <c r="K205" s="105"/>
      <c r="L205" s="105"/>
    </row>
    <row r="206" spans="1:12" ht="24" thickBot="1">
      <c r="A206" s="109"/>
      <c r="B206" s="8">
        <f t="shared" si="20"/>
        <v>16</v>
      </c>
      <c r="C206" s="4">
        <v>192</v>
      </c>
      <c r="D206" s="80" t="s">
        <v>14</v>
      </c>
      <c r="E206" s="79">
        <f>ROUND(POWER((1-$E$4),B206-1)*VLOOKUP(D206,ĐiệnNăng_Input!$A$1:$C$12,2,0),0)</f>
        <v>109041</v>
      </c>
      <c r="F206" s="6">
        <f t="shared" si="17"/>
        <v>211993150.56000003</v>
      </c>
      <c r="G206" s="65">
        <f t="shared" si="18"/>
        <v>10599657.528000003</v>
      </c>
      <c r="H206" s="65" t="e">
        <f>VLOOKUP(C206,VayMB!$C$16:$G$1374,5,0)</f>
        <v>#N/A</v>
      </c>
      <c r="I206" s="65">
        <f t="shared" si="19"/>
        <v>201393493.03200004</v>
      </c>
      <c r="J206" s="110"/>
      <c r="K206" s="106"/>
      <c r="L206" s="106"/>
    </row>
    <row r="207" spans="1:12" ht="23">
      <c r="A207" s="107">
        <v>17</v>
      </c>
      <c r="B207" s="8">
        <f t="shared" si="20"/>
        <v>17</v>
      </c>
      <c r="C207" s="4">
        <v>193</v>
      </c>
      <c r="D207" s="5" t="s">
        <v>3</v>
      </c>
      <c r="E207" s="79">
        <f>ROUND(POWER((1-$E$4),B207-1)*VLOOKUP(D207,ĐiệnNăng_Input!$A$1:$C$12,2,0),0)</f>
        <v>129384</v>
      </c>
      <c r="F207" s="6">
        <f t="shared" si="17"/>
        <v>251543197.44000003</v>
      </c>
      <c r="G207" s="65">
        <f t="shared" si="18"/>
        <v>12577159.872000001</v>
      </c>
      <c r="H207" s="65" t="e">
        <f>VLOOKUP(C207,VayMB!$C$16:$G$1374,5,0)</f>
        <v>#N/A</v>
      </c>
      <c r="I207" s="65">
        <f t="shared" si="19"/>
        <v>238966037.56800002</v>
      </c>
      <c r="J207" s="110">
        <f>SUMIF($B$15:$B$314,"=17",$I$15:$I$314)</f>
        <v>2459301547.7920003</v>
      </c>
      <c r="K207" s="104">
        <f t="shared" ref="K207:L207" si="26">IF(J207&lt;0,1,0)</f>
        <v>0</v>
      </c>
      <c r="L207" s="104">
        <f>IF(AND(K207=0,K195=1),A207,0)</f>
        <v>0</v>
      </c>
    </row>
    <row r="208" spans="1:12" ht="23">
      <c r="A208" s="107"/>
      <c r="B208" s="8">
        <f t="shared" si="20"/>
        <v>17</v>
      </c>
      <c r="C208" s="4">
        <v>194</v>
      </c>
      <c r="D208" s="80" t="s">
        <v>4</v>
      </c>
      <c r="E208" s="79">
        <f>ROUND(POWER((1-$E$4),B208-1)*VLOOKUP(D208,ĐiệnNăng_Input!$A$1:$C$12,2,0),0)</f>
        <v>128228</v>
      </c>
      <c r="F208" s="6">
        <f t="shared" ref="F208:F271" si="27">E208*$E$7</f>
        <v>249295748.48000005</v>
      </c>
      <c r="G208" s="65">
        <f t="shared" ref="G208:G271" si="28">F208*0.05</f>
        <v>12464787.424000002</v>
      </c>
      <c r="H208" s="65" t="e">
        <f>VLOOKUP(C208,VayMB!$C$16:$G$1374,5,0)</f>
        <v>#N/A</v>
      </c>
      <c r="I208" s="65">
        <f t="shared" ref="I208:I271" si="29">_xlfn.IFNA(F208-G208-H208,F208-G208)</f>
        <v>236830961.05600005</v>
      </c>
      <c r="J208" s="110"/>
      <c r="K208" s="105"/>
      <c r="L208" s="105"/>
    </row>
    <row r="209" spans="1:12" ht="23">
      <c r="A209" s="107"/>
      <c r="B209" s="8">
        <f t="shared" ref="B209:B272" si="30">IF(D208="Tháng 12",B208+1,B208)</f>
        <v>17</v>
      </c>
      <c r="C209" s="4">
        <v>195</v>
      </c>
      <c r="D209" s="5" t="s">
        <v>5</v>
      </c>
      <c r="E209" s="79">
        <f>ROUND(POWER((1-$E$4),B209-1)*VLOOKUP(D209,ĐiệnNăng_Input!$A$1:$C$12,2,0),0)</f>
        <v>141999</v>
      </c>
      <c r="F209" s="6">
        <f t="shared" si="27"/>
        <v>276068775.84000003</v>
      </c>
      <c r="G209" s="65">
        <f t="shared" si="28"/>
        <v>13803438.792000003</v>
      </c>
      <c r="H209" s="65" t="e">
        <f>VLOOKUP(C209,VayMB!$C$16:$G$1374,5,0)</f>
        <v>#N/A</v>
      </c>
      <c r="I209" s="65">
        <f t="shared" si="29"/>
        <v>262265337.04800004</v>
      </c>
      <c r="J209" s="110"/>
      <c r="K209" s="105"/>
      <c r="L209" s="105"/>
    </row>
    <row r="210" spans="1:12" ht="23">
      <c r="A210" s="107"/>
      <c r="B210" s="8">
        <f t="shared" si="30"/>
        <v>17</v>
      </c>
      <c r="C210" s="4">
        <v>196</v>
      </c>
      <c r="D210" s="80" t="s">
        <v>6</v>
      </c>
      <c r="E210" s="79">
        <f>ROUND(POWER((1-$E$4),B210-1)*VLOOKUP(D210,ĐiệnNăng_Input!$A$1:$C$12,2,0),0)</f>
        <v>125041</v>
      </c>
      <c r="F210" s="6">
        <f t="shared" si="27"/>
        <v>243099710.56000003</v>
      </c>
      <c r="G210" s="65">
        <f t="shared" si="28"/>
        <v>12154985.528000003</v>
      </c>
      <c r="H210" s="65" t="e">
        <f>VLOOKUP(C210,VayMB!$C$16:$G$1374,5,0)</f>
        <v>#N/A</v>
      </c>
      <c r="I210" s="65">
        <f t="shared" si="29"/>
        <v>230944725.03200004</v>
      </c>
      <c r="J210" s="110"/>
      <c r="K210" s="105"/>
      <c r="L210" s="105"/>
    </row>
    <row r="211" spans="1:12" ht="23">
      <c r="A211" s="107"/>
      <c r="B211" s="8">
        <f t="shared" si="30"/>
        <v>17</v>
      </c>
      <c r="C211" s="4">
        <v>197</v>
      </c>
      <c r="D211" s="5" t="s">
        <v>7</v>
      </c>
      <c r="E211" s="79">
        <f>ROUND(POWER((1-$E$4),B211-1)*VLOOKUP(D211,ĐiệnNăng_Input!$A$1:$C$12,2,0),0)</f>
        <v>105121</v>
      </c>
      <c r="F211" s="6">
        <f t="shared" si="27"/>
        <v>204372043.36000004</v>
      </c>
      <c r="G211" s="65">
        <f t="shared" si="28"/>
        <v>10218602.168000003</v>
      </c>
      <c r="H211" s="65" t="e">
        <f>VLOOKUP(C211,VayMB!$C$16:$G$1374,5,0)</f>
        <v>#N/A</v>
      </c>
      <c r="I211" s="65">
        <f t="shared" si="29"/>
        <v>194153441.19200003</v>
      </c>
      <c r="J211" s="110"/>
      <c r="K211" s="105"/>
      <c r="L211" s="105"/>
    </row>
    <row r="212" spans="1:12" ht="23">
      <c r="A212" s="107"/>
      <c r="B212" s="8">
        <f t="shared" si="30"/>
        <v>17</v>
      </c>
      <c r="C212" s="4">
        <v>198</v>
      </c>
      <c r="D212" s="80" t="s">
        <v>8</v>
      </c>
      <c r="E212" s="79">
        <f>ROUND(POWER((1-$E$4),B212-1)*VLOOKUP(D212,ĐiệnNăng_Input!$A$1:$C$12,2,0),0)</f>
        <v>96457</v>
      </c>
      <c r="F212" s="6">
        <f t="shared" si="27"/>
        <v>187527841.12000003</v>
      </c>
      <c r="G212" s="65">
        <f t="shared" si="28"/>
        <v>9376392.0560000017</v>
      </c>
      <c r="H212" s="65" t="e">
        <f>VLOOKUP(C212,VayMB!$C$16:$G$1374,5,0)</f>
        <v>#N/A</v>
      </c>
      <c r="I212" s="65">
        <f t="shared" si="29"/>
        <v>178151449.06400004</v>
      </c>
      <c r="J212" s="110"/>
      <c r="K212" s="105"/>
      <c r="L212" s="105"/>
    </row>
    <row r="213" spans="1:12" ht="23">
      <c r="A213" s="107"/>
      <c r="B213" s="8">
        <f t="shared" si="30"/>
        <v>17</v>
      </c>
      <c r="C213" s="4">
        <v>199</v>
      </c>
      <c r="D213" s="5" t="s">
        <v>9</v>
      </c>
      <c r="E213" s="79">
        <f>ROUND(POWER((1-$E$4),B213-1)*VLOOKUP(D213,ĐiệnNăng_Input!$A$1:$C$12,2,0),0)</f>
        <v>95689</v>
      </c>
      <c r="F213" s="6">
        <f t="shared" si="27"/>
        <v>186034726.24000004</v>
      </c>
      <c r="G213" s="65">
        <f t="shared" si="28"/>
        <v>9301736.3120000027</v>
      </c>
      <c r="H213" s="65" t="e">
        <f>VLOOKUP(C213,VayMB!$C$16:$G$1374,5,0)</f>
        <v>#N/A</v>
      </c>
      <c r="I213" s="65">
        <f t="shared" si="29"/>
        <v>176732989.92800003</v>
      </c>
      <c r="J213" s="110"/>
      <c r="K213" s="105"/>
      <c r="L213" s="105"/>
    </row>
    <row r="214" spans="1:12" ht="23">
      <c r="A214" s="107"/>
      <c r="B214" s="8">
        <f t="shared" si="30"/>
        <v>17</v>
      </c>
      <c r="C214" s="4">
        <v>200</v>
      </c>
      <c r="D214" s="80" t="s">
        <v>10</v>
      </c>
      <c r="E214" s="79">
        <f>ROUND(POWER((1-$E$4),B214-1)*VLOOKUP(D214,ĐiệnNăng_Input!$A$1:$C$12,2,0),0)</f>
        <v>97842</v>
      </c>
      <c r="F214" s="6">
        <f t="shared" si="27"/>
        <v>190220502.72000003</v>
      </c>
      <c r="G214" s="65">
        <f t="shared" si="28"/>
        <v>9511025.1360000018</v>
      </c>
      <c r="H214" s="65" t="e">
        <f>VLOOKUP(C214,VayMB!$C$16:$G$1374,5,0)</f>
        <v>#N/A</v>
      </c>
      <c r="I214" s="65">
        <f t="shared" si="29"/>
        <v>180709477.58400002</v>
      </c>
      <c r="J214" s="110"/>
      <c r="K214" s="105"/>
      <c r="L214" s="105"/>
    </row>
    <row r="215" spans="1:12" ht="23">
      <c r="A215" s="107"/>
      <c r="B215" s="8">
        <f t="shared" si="30"/>
        <v>17</v>
      </c>
      <c r="C215" s="4">
        <v>201</v>
      </c>
      <c r="D215" s="5" t="s">
        <v>11</v>
      </c>
      <c r="E215" s="79">
        <f>ROUND(POWER((1-$E$4),B215-1)*VLOOKUP(D215,ĐiệnNăng_Input!$A$1:$C$12,2,0),0)</f>
        <v>101883</v>
      </c>
      <c r="F215" s="6">
        <f t="shared" si="27"/>
        <v>198076853.28000003</v>
      </c>
      <c r="G215" s="65">
        <f t="shared" si="28"/>
        <v>9903842.6640000027</v>
      </c>
      <c r="H215" s="65" t="e">
        <f>VLOOKUP(C215,VayMB!$C$16:$G$1374,5,0)</f>
        <v>#N/A</v>
      </c>
      <c r="I215" s="65">
        <f t="shared" si="29"/>
        <v>188173010.61600003</v>
      </c>
      <c r="J215" s="110"/>
      <c r="K215" s="105"/>
      <c r="L215" s="105"/>
    </row>
    <row r="216" spans="1:12" ht="23">
      <c r="A216" s="107"/>
      <c r="B216" s="8">
        <f t="shared" si="30"/>
        <v>17</v>
      </c>
      <c r="C216" s="4">
        <v>202</v>
      </c>
      <c r="D216" s="80" t="s">
        <v>12</v>
      </c>
      <c r="E216" s="79">
        <f>ROUND(POWER((1-$E$4),B216-1)*VLOOKUP(D216,ĐiệnNăng_Input!$A$1:$C$12,2,0),0)</f>
        <v>90871</v>
      </c>
      <c r="F216" s="6">
        <f t="shared" si="27"/>
        <v>176667763.36000001</v>
      </c>
      <c r="G216" s="65">
        <f t="shared" si="28"/>
        <v>8833388.1680000015</v>
      </c>
      <c r="H216" s="65" t="e">
        <f>VLOOKUP(C216,VayMB!$C$16:$G$1374,5,0)</f>
        <v>#N/A</v>
      </c>
      <c r="I216" s="65">
        <f t="shared" si="29"/>
        <v>167834375.192</v>
      </c>
      <c r="J216" s="110"/>
      <c r="K216" s="105"/>
      <c r="L216" s="105"/>
    </row>
    <row r="217" spans="1:12" ht="23">
      <c r="A217" s="107"/>
      <c r="B217" s="8">
        <f t="shared" si="30"/>
        <v>17</v>
      </c>
      <c r="C217" s="4">
        <v>203</v>
      </c>
      <c r="D217" s="5" t="s">
        <v>13</v>
      </c>
      <c r="E217" s="79">
        <f>ROUND(POWER((1-$E$4),B217-1)*VLOOKUP(D217,ĐiệnNăng_Input!$A$1:$C$12,2,0),0)</f>
        <v>110535</v>
      </c>
      <c r="F217" s="6">
        <f t="shared" si="27"/>
        <v>214897725.60000002</v>
      </c>
      <c r="G217" s="65">
        <f t="shared" si="28"/>
        <v>10744886.280000001</v>
      </c>
      <c r="H217" s="65" t="e">
        <f>VLOOKUP(C217,VayMB!$C$16:$G$1374,5,0)</f>
        <v>#N/A</v>
      </c>
      <c r="I217" s="65">
        <f t="shared" si="29"/>
        <v>204152839.32000002</v>
      </c>
      <c r="J217" s="110"/>
      <c r="K217" s="105"/>
      <c r="L217" s="105"/>
    </row>
    <row r="218" spans="1:12" ht="24" thickBot="1">
      <c r="A218" s="107"/>
      <c r="B218" s="8">
        <f t="shared" si="30"/>
        <v>17</v>
      </c>
      <c r="C218" s="4">
        <v>204</v>
      </c>
      <c r="D218" s="80" t="s">
        <v>14</v>
      </c>
      <c r="E218" s="79">
        <f>ROUND(POWER((1-$E$4),B218-1)*VLOOKUP(D218,ĐiệnNăng_Input!$A$1:$C$12,2,0),0)</f>
        <v>108496</v>
      </c>
      <c r="F218" s="6">
        <f t="shared" si="27"/>
        <v>210933583.36000004</v>
      </c>
      <c r="G218" s="65">
        <f t="shared" si="28"/>
        <v>10546679.168000003</v>
      </c>
      <c r="H218" s="65" t="e">
        <f>VLOOKUP(C218,VayMB!$C$16:$G$1374,5,0)</f>
        <v>#N/A</v>
      </c>
      <c r="I218" s="65">
        <f t="shared" si="29"/>
        <v>200386904.19200003</v>
      </c>
      <c r="J218" s="110"/>
      <c r="K218" s="106"/>
      <c r="L218" s="106"/>
    </row>
    <row r="219" spans="1:12" ht="23">
      <c r="A219" s="109">
        <v>18</v>
      </c>
      <c r="B219" s="8">
        <f t="shared" si="30"/>
        <v>18</v>
      </c>
      <c r="C219" s="4">
        <v>205</v>
      </c>
      <c r="D219" s="5" t="s">
        <v>3</v>
      </c>
      <c r="E219" s="79">
        <f>ROUND(POWER((1-$E$4),B219-1)*VLOOKUP(D219,ĐiệnNăng_Input!$A$1:$C$12,2,0),0)</f>
        <v>128737</v>
      </c>
      <c r="F219" s="6">
        <f t="shared" si="27"/>
        <v>250285325.92000005</v>
      </c>
      <c r="G219" s="65">
        <f t="shared" si="28"/>
        <v>12514266.296000004</v>
      </c>
      <c r="H219" s="65" t="e">
        <f>VLOOKUP(C219,VayMB!$C$16:$G$1374,5,0)</f>
        <v>#N/A</v>
      </c>
      <c r="I219" s="65">
        <f t="shared" si="29"/>
        <v>237771059.62400004</v>
      </c>
      <c r="J219" s="110">
        <f>SUMIF($B$15:$B$314,"=18",$I$15:$I$314)</f>
        <v>2447006388.3280005</v>
      </c>
      <c r="K219" s="104">
        <f t="shared" ref="K219:L219" si="31">IF(J219&lt;0,1,0)</f>
        <v>0</v>
      </c>
      <c r="L219" s="104">
        <f>IF(AND(K219=0,K207=1),A219,0)</f>
        <v>0</v>
      </c>
    </row>
    <row r="220" spans="1:12" ht="23">
      <c r="A220" s="109"/>
      <c r="B220" s="8">
        <f t="shared" si="30"/>
        <v>18</v>
      </c>
      <c r="C220" s="4">
        <v>206</v>
      </c>
      <c r="D220" s="80" t="s">
        <v>4</v>
      </c>
      <c r="E220" s="79">
        <f>ROUND(POWER((1-$E$4),B220-1)*VLOOKUP(D220,ĐiệnNăng_Input!$A$1:$C$12,2,0),0)</f>
        <v>127587</v>
      </c>
      <c r="F220" s="6">
        <f t="shared" si="27"/>
        <v>248049541.92000005</v>
      </c>
      <c r="G220" s="65">
        <f t="shared" si="28"/>
        <v>12402477.096000003</v>
      </c>
      <c r="H220" s="65" t="e">
        <f>VLOOKUP(C220,VayMB!$C$16:$G$1374,5,0)</f>
        <v>#N/A</v>
      </c>
      <c r="I220" s="65">
        <f t="shared" si="29"/>
        <v>235647064.82400003</v>
      </c>
      <c r="J220" s="110"/>
      <c r="K220" s="105"/>
      <c r="L220" s="105"/>
    </row>
    <row r="221" spans="1:12" ht="23">
      <c r="A221" s="109"/>
      <c r="B221" s="8">
        <f t="shared" si="30"/>
        <v>18</v>
      </c>
      <c r="C221" s="4">
        <v>207</v>
      </c>
      <c r="D221" s="5" t="s">
        <v>5</v>
      </c>
      <c r="E221" s="79">
        <f>ROUND(POWER((1-$E$4),B221-1)*VLOOKUP(D221,ĐiệnNăng_Input!$A$1:$C$12,2,0),0)</f>
        <v>141289</v>
      </c>
      <c r="F221" s="6">
        <f t="shared" si="27"/>
        <v>274688422.24000007</v>
      </c>
      <c r="G221" s="65">
        <f t="shared" si="28"/>
        <v>13734421.112000003</v>
      </c>
      <c r="H221" s="65" t="e">
        <f>VLOOKUP(C221,VayMB!$C$16:$G$1374,5,0)</f>
        <v>#N/A</v>
      </c>
      <c r="I221" s="65">
        <f t="shared" si="29"/>
        <v>260954001.12800008</v>
      </c>
      <c r="J221" s="110"/>
      <c r="K221" s="105"/>
      <c r="L221" s="105"/>
    </row>
    <row r="222" spans="1:12" ht="23">
      <c r="A222" s="109"/>
      <c r="B222" s="8">
        <f t="shared" si="30"/>
        <v>18</v>
      </c>
      <c r="C222" s="4">
        <v>208</v>
      </c>
      <c r="D222" s="80" t="s">
        <v>6</v>
      </c>
      <c r="E222" s="79">
        <f>ROUND(POWER((1-$E$4),B222-1)*VLOOKUP(D222,ĐiệnNăng_Input!$A$1:$C$12,2,0),0)</f>
        <v>124416</v>
      </c>
      <c r="F222" s="6">
        <f t="shared" si="27"/>
        <v>241884610.56000003</v>
      </c>
      <c r="G222" s="65">
        <f t="shared" si="28"/>
        <v>12094230.528000003</v>
      </c>
      <c r="H222" s="65" t="e">
        <f>VLOOKUP(C222,VayMB!$C$16:$G$1374,5,0)</f>
        <v>#N/A</v>
      </c>
      <c r="I222" s="65">
        <f t="shared" si="29"/>
        <v>229790380.03200004</v>
      </c>
      <c r="J222" s="110"/>
      <c r="K222" s="105"/>
      <c r="L222" s="105"/>
    </row>
    <row r="223" spans="1:12" ht="23">
      <c r="A223" s="109"/>
      <c r="B223" s="8">
        <f t="shared" si="30"/>
        <v>18</v>
      </c>
      <c r="C223" s="4">
        <v>209</v>
      </c>
      <c r="D223" s="5" t="s">
        <v>7</v>
      </c>
      <c r="E223" s="79">
        <f>ROUND(POWER((1-$E$4),B223-1)*VLOOKUP(D223,ĐiệnNăng_Input!$A$1:$C$12,2,0),0)</f>
        <v>104596</v>
      </c>
      <c r="F223" s="6">
        <f t="shared" si="27"/>
        <v>203351359.36000004</v>
      </c>
      <c r="G223" s="65">
        <f t="shared" si="28"/>
        <v>10167567.968000002</v>
      </c>
      <c r="H223" s="65" t="e">
        <f>VLOOKUP(C223,VayMB!$C$16:$G$1374,5,0)</f>
        <v>#N/A</v>
      </c>
      <c r="I223" s="65">
        <f t="shared" si="29"/>
        <v>193183791.39200005</v>
      </c>
      <c r="J223" s="110"/>
      <c r="K223" s="105"/>
      <c r="L223" s="105"/>
    </row>
    <row r="224" spans="1:12" ht="23">
      <c r="A224" s="109"/>
      <c r="B224" s="8">
        <f t="shared" si="30"/>
        <v>18</v>
      </c>
      <c r="C224" s="4">
        <v>210</v>
      </c>
      <c r="D224" s="80" t="s">
        <v>8</v>
      </c>
      <c r="E224" s="79">
        <f>ROUND(POWER((1-$E$4),B224-1)*VLOOKUP(D224,ĐiệnNăng_Input!$A$1:$C$12,2,0),0)</f>
        <v>95975</v>
      </c>
      <c r="F224" s="6">
        <f t="shared" si="27"/>
        <v>186590756.00000003</v>
      </c>
      <c r="G224" s="65">
        <f t="shared" si="28"/>
        <v>9329537.8000000026</v>
      </c>
      <c r="H224" s="65" t="e">
        <f>VLOOKUP(C224,VayMB!$C$16:$G$1374,5,0)</f>
        <v>#N/A</v>
      </c>
      <c r="I224" s="65">
        <f t="shared" si="29"/>
        <v>177261218.20000002</v>
      </c>
      <c r="J224" s="110"/>
      <c r="K224" s="105"/>
      <c r="L224" s="105"/>
    </row>
    <row r="225" spans="1:12" ht="23">
      <c r="A225" s="109"/>
      <c r="B225" s="8">
        <f t="shared" si="30"/>
        <v>18</v>
      </c>
      <c r="C225" s="4">
        <v>211</v>
      </c>
      <c r="D225" s="5" t="s">
        <v>9</v>
      </c>
      <c r="E225" s="79">
        <f>ROUND(POWER((1-$E$4),B225-1)*VLOOKUP(D225,ĐiệnNăng_Input!$A$1:$C$12,2,0),0)</f>
        <v>95211</v>
      </c>
      <c r="F225" s="6">
        <f t="shared" si="27"/>
        <v>185105417.76000002</v>
      </c>
      <c r="G225" s="65">
        <f t="shared" si="28"/>
        <v>9255270.8880000021</v>
      </c>
      <c r="H225" s="65" t="e">
        <f>VLOOKUP(C225,VayMB!$C$16:$G$1374,5,0)</f>
        <v>#N/A</v>
      </c>
      <c r="I225" s="65">
        <f t="shared" si="29"/>
        <v>175850146.87200001</v>
      </c>
      <c r="J225" s="110"/>
      <c r="K225" s="105"/>
      <c r="L225" s="105"/>
    </row>
    <row r="226" spans="1:12" ht="23">
      <c r="A226" s="109"/>
      <c r="B226" s="8">
        <f t="shared" si="30"/>
        <v>18</v>
      </c>
      <c r="C226" s="4">
        <v>212</v>
      </c>
      <c r="D226" s="80" t="s">
        <v>10</v>
      </c>
      <c r="E226" s="79">
        <f>ROUND(POWER((1-$E$4),B226-1)*VLOOKUP(D226,ĐiệnNăng_Input!$A$1:$C$12,2,0),0)</f>
        <v>97353</v>
      </c>
      <c r="F226" s="6">
        <f t="shared" si="27"/>
        <v>189269808.48000002</v>
      </c>
      <c r="G226" s="65">
        <f t="shared" si="28"/>
        <v>9463490.4240000006</v>
      </c>
      <c r="H226" s="65" t="e">
        <f>VLOOKUP(C226,VayMB!$C$16:$G$1374,5,0)</f>
        <v>#N/A</v>
      </c>
      <c r="I226" s="65">
        <f t="shared" si="29"/>
        <v>179806318.05600002</v>
      </c>
      <c r="J226" s="110"/>
      <c r="K226" s="105"/>
      <c r="L226" s="105"/>
    </row>
    <row r="227" spans="1:12" ht="23">
      <c r="A227" s="109"/>
      <c r="B227" s="8">
        <f t="shared" si="30"/>
        <v>18</v>
      </c>
      <c r="C227" s="4">
        <v>213</v>
      </c>
      <c r="D227" s="5" t="s">
        <v>11</v>
      </c>
      <c r="E227" s="79">
        <f>ROUND(POWER((1-$E$4),B227-1)*VLOOKUP(D227,ĐiệnNăng_Input!$A$1:$C$12,2,0),0)</f>
        <v>101373</v>
      </c>
      <c r="F227" s="6">
        <f t="shared" si="27"/>
        <v>197085331.68000004</v>
      </c>
      <c r="G227" s="65">
        <f t="shared" si="28"/>
        <v>9854266.5840000026</v>
      </c>
      <c r="H227" s="65" t="e">
        <f>VLOOKUP(C227,VayMB!$C$16:$G$1374,5,0)</f>
        <v>#N/A</v>
      </c>
      <c r="I227" s="65">
        <f t="shared" si="29"/>
        <v>187231065.09600005</v>
      </c>
      <c r="J227" s="110"/>
      <c r="K227" s="105"/>
      <c r="L227" s="105"/>
    </row>
    <row r="228" spans="1:12" ht="23">
      <c r="A228" s="109"/>
      <c r="B228" s="8">
        <f t="shared" si="30"/>
        <v>18</v>
      </c>
      <c r="C228" s="4">
        <v>214</v>
      </c>
      <c r="D228" s="80" t="s">
        <v>12</v>
      </c>
      <c r="E228" s="79">
        <f>ROUND(POWER((1-$E$4),B228-1)*VLOOKUP(D228,ĐiệnNăng_Input!$A$1:$C$12,2,0),0)</f>
        <v>90416</v>
      </c>
      <c r="F228" s="6">
        <f t="shared" si="27"/>
        <v>175783170.56000003</v>
      </c>
      <c r="G228" s="65">
        <f t="shared" si="28"/>
        <v>8789158.5280000027</v>
      </c>
      <c r="H228" s="65" t="e">
        <f>VLOOKUP(C228,VayMB!$C$16:$G$1374,5,0)</f>
        <v>#N/A</v>
      </c>
      <c r="I228" s="65">
        <f t="shared" si="29"/>
        <v>166994012.03200004</v>
      </c>
      <c r="J228" s="110"/>
      <c r="K228" s="105"/>
      <c r="L228" s="105"/>
    </row>
    <row r="229" spans="1:12" ht="23">
      <c r="A229" s="109"/>
      <c r="B229" s="8">
        <f t="shared" si="30"/>
        <v>18</v>
      </c>
      <c r="C229" s="4">
        <v>215</v>
      </c>
      <c r="D229" s="5" t="s">
        <v>13</v>
      </c>
      <c r="E229" s="79">
        <f>ROUND(POWER((1-$E$4),B229-1)*VLOOKUP(D229,ĐiệnNăng_Input!$A$1:$C$12,2,0),0)</f>
        <v>109983</v>
      </c>
      <c r="F229" s="6">
        <f t="shared" si="27"/>
        <v>213824549.28000003</v>
      </c>
      <c r="G229" s="65">
        <f t="shared" si="28"/>
        <v>10691227.464000002</v>
      </c>
      <c r="H229" s="65" t="e">
        <f>VLOOKUP(C229,VayMB!$C$16:$G$1374,5,0)</f>
        <v>#N/A</v>
      </c>
      <c r="I229" s="65">
        <f t="shared" si="29"/>
        <v>203133321.81600004</v>
      </c>
      <c r="J229" s="110"/>
      <c r="K229" s="105"/>
      <c r="L229" s="105"/>
    </row>
    <row r="230" spans="1:12" ht="24" thickBot="1">
      <c r="A230" s="109"/>
      <c r="B230" s="8">
        <f t="shared" si="30"/>
        <v>18</v>
      </c>
      <c r="C230" s="4">
        <v>216</v>
      </c>
      <c r="D230" s="80" t="s">
        <v>14</v>
      </c>
      <c r="E230" s="79">
        <f>ROUND(POWER((1-$E$4),B230-1)*VLOOKUP(D230,ĐiệnNăng_Input!$A$1:$C$12,2,0),0)</f>
        <v>107953</v>
      </c>
      <c r="F230" s="6">
        <f t="shared" si="27"/>
        <v>209877904.48000002</v>
      </c>
      <c r="G230" s="65">
        <f t="shared" si="28"/>
        <v>10493895.224000001</v>
      </c>
      <c r="H230" s="65" t="e">
        <f>VLOOKUP(C230,VayMB!$C$16:$G$1374,5,0)</f>
        <v>#N/A</v>
      </c>
      <c r="I230" s="65">
        <f t="shared" si="29"/>
        <v>199384009.25600001</v>
      </c>
      <c r="J230" s="110"/>
      <c r="K230" s="106"/>
      <c r="L230" s="106"/>
    </row>
    <row r="231" spans="1:12" ht="23">
      <c r="A231" s="107">
        <v>19</v>
      </c>
      <c r="B231" s="8">
        <f t="shared" si="30"/>
        <v>19</v>
      </c>
      <c r="C231" s="4">
        <v>217</v>
      </c>
      <c r="D231" s="5" t="s">
        <v>3</v>
      </c>
      <c r="E231" s="79">
        <f>ROUND(POWER((1-$E$4),B231-1)*VLOOKUP(D231,ĐiệnNăng_Input!$A$1:$C$12,2,0),0)</f>
        <v>128093</v>
      </c>
      <c r="F231" s="6">
        <f t="shared" si="27"/>
        <v>249033286.88000003</v>
      </c>
      <c r="G231" s="65">
        <f t="shared" si="28"/>
        <v>12451664.344000002</v>
      </c>
      <c r="H231" s="65" t="e">
        <f>VLOOKUP(C231,VayMB!$C$16:$G$1374,5,0)</f>
        <v>#N/A</v>
      </c>
      <c r="I231" s="65">
        <f t="shared" si="29"/>
        <v>236581622.53600001</v>
      </c>
      <c r="J231" s="110">
        <f>SUMIF($B$15:$B$314,"=19",$I$15:$I$314)</f>
        <v>2434770331.3280005</v>
      </c>
      <c r="K231" s="104">
        <f t="shared" ref="K231:L231" si="32">IF(J231&lt;0,1,0)</f>
        <v>0</v>
      </c>
      <c r="L231" s="104">
        <f>IF(AND(K231=0,K219=1),A231,0)</f>
        <v>0</v>
      </c>
    </row>
    <row r="232" spans="1:12" ht="23">
      <c r="A232" s="107"/>
      <c r="B232" s="8">
        <f t="shared" si="30"/>
        <v>19</v>
      </c>
      <c r="C232" s="4">
        <v>218</v>
      </c>
      <c r="D232" s="80" t="s">
        <v>4</v>
      </c>
      <c r="E232" s="79">
        <f>ROUND(POWER((1-$E$4),B232-1)*VLOOKUP(D232,ĐiệnNăng_Input!$A$1:$C$12,2,0),0)</f>
        <v>126949</v>
      </c>
      <c r="F232" s="6">
        <f t="shared" si="27"/>
        <v>246809167.84000003</v>
      </c>
      <c r="G232" s="65">
        <f t="shared" si="28"/>
        <v>12340458.392000003</v>
      </c>
      <c r="H232" s="65" t="e">
        <f>VLOOKUP(C232,VayMB!$C$16:$G$1374,5,0)</f>
        <v>#N/A</v>
      </c>
      <c r="I232" s="65">
        <f t="shared" si="29"/>
        <v>234468709.44800004</v>
      </c>
      <c r="J232" s="110"/>
      <c r="K232" s="105"/>
      <c r="L232" s="105"/>
    </row>
    <row r="233" spans="1:12" ht="23">
      <c r="A233" s="107"/>
      <c r="B233" s="8">
        <f t="shared" si="30"/>
        <v>19</v>
      </c>
      <c r="C233" s="4">
        <v>219</v>
      </c>
      <c r="D233" s="5" t="s">
        <v>5</v>
      </c>
      <c r="E233" s="79">
        <f>ROUND(POWER((1-$E$4),B233-1)*VLOOKUP(D233,ĐiệnNăng_Input!$A$1:$C$12,2,0),0)</f>
        <v>140583</v>
      </c>
      <c r="F233" s="6">
        <f t="shared" si="27"/>
        <v>273315845.28000003</v>
      </c>
      <c r="G233" s="65">
        <f t="shared" si="28"/>
        <v>13665792.264000002</v>
      </c>
      <c r="H233" s="65" t="e">
        <f>VLOOKUP(C233,VayMB!$C$16:$G$1374,5,0)</f>
        <v>#N/A</v>
      </c>
      <c r="I233" s="65">
        <f t="shared" si="29"/>
        <v>259650053.01600003</v>
      </c>
      <c r="J233" s="110"/>
      <c r="K233" s="105"/>
      <c r="L233" s="105"/>
    </row>
    <row r="234" spans="1:12" ht="23">
      <c r="A234" s="107"/>
      <c r="B234" s="8">
        <f t="shared" si="30"/>
        <v>19</v>
      </c>
      <c r="C234" s="4">
        <v>220</v>
      </c>
      <c r="D234" s="80" t="s">
        <v>6</v>
      </c>
      <c r="E234" s="79">
        <f>ROUND(POWER((1-$E$4),B234-1)*VLOOKUP(D234,ĐiệnNăng_Input!$A$1:$C$12,2,0),0)</f>
        <v>123794</v>
      </c>
      <c r="F234" s="6">
        <f t="shared" si="27"/>
        <v>240675343.04000005</v>
      </c>
      <c r="G234" s="65">
        <f t="shared" si="28"/>
        <v>12033767.152000003</v>
      </c>
      <c r="H234" s="65" t="e">
        <f>VLOOKUP(C234,VayMB!$C$16:$G$1374,5,0)</f>
        <v>#N/A</v>
      </c>
      <c r="I234" s="65">
        <f t="shared" si="29"/>
        <v>228641575.88800004</v>
      </c>
      <c r="J234" s="110"/>
      <c r="K234" s="105"/>
      <c r="L234" s="105"/>
    </row>
    <row r="235" spans="1:12" ht="23">
      <c r="A235" s="107"/>
      <c r="B235" s="8">
        <f t="shared" si="30"/>
        <v>19</v>
      </c>
      <c r="C235" s="4">
        <v>221</v>
      </c>
      <c r="D235" s="5" t="s">
        <v>7</v>
      </c>
      <c r="E235" s="79">
        <f>ROUND(POWER((1-$E$4),B235-1)*VLOOKUP(D235,ĐiệnNăng_Input!$A$1:$C$12,2,0),0)</f>
        <v>104073</v>
      </c>
      <c r="F235" s="6">
        <f t="shared" si="27"/>
        <v>202334563.68000004</v>
      </c>
      <c r="G235" s="65">
        <f t="shared" si="28"/>
        <v>10116728.184000002</v>
      </c>
      <c r="H235" s="65" t="e">
        <f>VLOOKUP(C235,VayMB!$C$16:$G$1374,5,0)</f>
        <v>#N/A</v>
      </c>
      <c r="I235" s="65">
        <f t="shared" si="29"/>
        <v>192217835.49600002</v>
      </c>
      <c r="J235" s="110"/>
      <c r="K235" s="105"/>
      <c r="L235" s="105"/>
    </row>
    <row r="236" spans="1:12" ht="23">
      <c r="A236" s="107"/>
      <c r="B236" s="8">
        <f t="shared" si="30"/>
        <v>19</v>
      </c>
      <c r="C236" s="4">
        <v>222</v>
      </c>
      <c r="D236" s="80" t="s">
        <v>8</v>
      </c>
      <c r="E236" s="79">
        <f>ROUND(POWER((1-$E$4),B236-1)*VLOOKUP(D236,ĐiệnNăng_Input!$A$1:$C$12,2,0),0)</f>
        <v>95495</v>
      </c>
      <c r="F236" s="6">
        <f t="shared" si="27"/>
        <v>185657559.20000002</v>
      </c>
      <c r="G236" s="65">
        <f t="shared" si="28"/>
        <v>9282877.9600000009</v>
      </c>
      <c r="H236" s="65" t="e">
        <f>VLOOKUP(C236,VayMB!$C$16:$G$1374,5,0)</f>
        <v>#N/A</v>
      </c>
      <c r="I236" s="65">
        <f t="shared" si="29"/>
        <v>176374681.24000001</v>
      </c>
      <c r="J236" s="110"/>
      <c r="K236" s="105"/>
      <c r="L236" s="105"/>
    </row>
    <row r="237" spans="1:12" ht="23">
      <c r="A237" s="107"/>
      <c r="B237" s="8">
        <f t="shared" si="30"/>
        <v>19</v>
      </c>
      <c r="C237" s="4">
        <v>223</v>
      </c>
      <c r="D237" s="5" t="s">
        <v>9</v>
      </c>
      <c r="E237" s="79">
        <f>ROUND(POWER((1-$E$4),B237-1)*VLOOKUP(D237,ĐiệnNăng_Input!$A$1:$C$12,2,0),0)</f>
        <v>94735</v>
      </c>
      <c r="F237" s="6">
        <f t="shared" si="27"/>
        <v>184179997.60000002</v>
      </c>
      <c r="G237" s="65">
        <f t="shared" si="28"/>
        <v>9208999.8800000008</v>
      </c>
      <c r="H237" s="65" t="e">
        <f>VLOOKUP(C237,VayMB!$C$16:$G$1374,5,0)</f>
        <v>#N/A</v>
      </c>
      <c r="I237" s="65">
        <f t="shared" si="29"/>
        <v>174970997.72000003</v>
      </c>
      <c r="J237" s="110"/>
      <c r="K237" s="105"/>
      <c r="L237" s="105"/>
    </row>
    <row r="238" spans="1:12" ht="23">
      <c r="A238" s="107"/>
      <c r="B238" s="8">
        <f t="shared" si="30"/>
        <v>19</v>
      </c>
      <c r="C238" s="4">
        <v>224</v>
      </c>
      <c r="D238" s="80" t="s">
        <v>10</v>
      </c>
      <c r="E238" s="79">
        <f>ROUND(POWER((1-$E$4),B238-1)*VLOOKUP(D238,ĐiệnNăng_Input!$A$1:$C$12,2,0),0)</f>
        <v>96866</v>
      </c>
      <c r="F238" s="6">
        <f t="shared" si="27"/>
        <v>188323002.56000003</v>
      </c>
      <c r="G238" s="65">
        <f t="shared" si="28"/>
        <v>9416150.1280000024</v>
      </c>
      <c r="H238" s="65" t="e">
        <f>VLOOKUP(C238,VayMB!$C$16:$G$1374,5,0)</f>
        <v>#N/A</v>
      </c>
      <c r="I238" s="65">
        <f t="shared" si="29"/>
        <v>178906852.43200004</v>
      </c>
      <c r="J238" s="110"/>
      <c r="K238" s="105"/>
      <c r="L238" s="105"/>
    </row>
    <row r="239" spans="1:12" ht="23">
      <c r="A239" s="107"/>
      <c r="B239" s="8">
        <f t="shared" si="30"/>
        <v>19</v>
      </c>
      <c r="C239" s="4">
        <v>225</v>
      </c>
      <c r="D239" s="5" t="s">
        <v>11</v>
      </c>
      <c r="E239" s="79">
        <f>ROUND(POWER((1-$E$4),B239-1)*VLOOKUP(D239,ĐiệnNăng_Input!$A$1:$C$12,2,0),0)</f>
        <v>100866</v>
      </c>
      <c r="F239" s="6">
        <f t="shared" si="27"/>
        <v>196099642.56000003</v>
      </c>
      <c r="G239" s="65">
        <f t="shared" si="28"/>
        <v>9804982.1280000024</v>
      </c>
      <c r="H239" s="65" t="e">
        <f>VLOOKUP(C239,VayMB!$C$16:$G$1374,5,0)</f>
        <v>#N/A</v>
      </c>
      <c r="I239" s="65">
        <f t="shared" si="29"/>
        <v>186294660.43200004</v>
      </c>
      <c r="J239" s="110"/>
      <c r="K239" s="105"/>
      <c r="L239" s="105"/>
    </row>
    <row r="240" spans="1:12" ht="23">
      <c r="A240" s="107"/>
      <c r="B240" s="8">
        <f t="shared" si="30"/>
        <v>19</v>
      </c>
      <c r="C240" s="4">
        <v>226</v>
      </c>
      <c r="D240" s="80" t="s">
        <v>12</v>
      </c>
      <c r="E240" s="79">
        <f>ROUND(POWER((1-$E$4),B240-1)*VLOOKUP(D240,ĐiệnNăng_Input!$A$1:$C$12,2,0),0)</f>
        <v>89964</v>
      </c>
      <c r="F240" s="6">
        <f t="shared" si="27"/>
        <v>174904410.24000004</v>
      </c>
      <c r="G240" s="65">
        <f t="shared" si="28"/>
        <v>8745220.512000002</v>
      </c>
      <c r="H240" s="65" t="e">
        <f>VLOOKUP(C240,VayMB!$C$16:$G$1374,5,0)</f>
        <v>#N/A</v>
      </c>
      <c r="I240" s="65">
        <f t="shared" si="29"/>
        <v>166159189.72800004</v>
      </c>
      <c r="J240" s="110"/>
      <c r="K240" s="105"/>
      <c r="L240" s="105"/>
    </row>
    <row r="241" spans="1:12" ht="23">
      <c r="A241" s="107"/>
      <c r="B241" s="8">
        <f t="shared" si="30"/>
        <v>19</v>
      </c>
      <c r="C241" s="4">
        <v>227</v>
      </c>
      <c r="D241" s="5" t="s">
        <v>13</v>
      </c>
      <c r="E241" s="79">
        <f>ROUND(POWER((1-$E$4),B241-1)*VLOOKUP(D241,ĐiệnNăng_Input!$A$1:$C$12,2,0),0)</f>
        <v>109433</v>
      </c>
      <c r="F241" s="6">
        <f t="shared" si="27"/>
        <v>212755261.28000003</v>
      </c>
      <c r="G241" s="65">
        <f t="shared" si="28"/>
        <v>10637763.064000003</v>
      </c>
      <c r="H241" s="65" t="e">
        <f>VLOOKUP(C241,VayMB!$C$16:$G$1374,5,0)</f>
        <v>#N/A</v>
      </c>
      <c r="I241" s="65">
        <f t="shared" si="29"/>
        <v>202117498.21600002</v>
      </c>
      <c r="J241" s="110"/>
      <c r="K241" s="105"/>
      <c r="L241" s="105"/>
    </row>
    <row r="242" spans="1:12" ht="24" thickBot="1">
      <c r="A242" s="107"/>
      <c r="B242" s="8">
        <f t="shared" si="30"/>
        <v>19</v>
      </c>
      <c r="C242" s="4">
        <v>228</v>
      </c>
      <c r="D242" s="80" t="s">
        <v>14</v>
      </c>
      <c r="E242" s="79">
        <f>ROUND(POWER((1-$E$4),B242-1)*VLOOKUP(D242,ĐiệnNăng_Input!$A$1:$C$12,2,0),0)</f>
        <v>107413</v>
      </c>
      <c r="F242" s="6">
        <f t="shared" si="27"/>
        <v>208828058.08000004</v>
      </c>
      <c r="G242" s="65">
        <f t="shared" si="28"/>
        <v>10441402.904000003</v>
      </c>
      <c r="H242" s="65" t="e">
        <f>VLOOKUP(C242,VayMB!$C$16:$G$1374,5,0)</f>
        <v>#N/A</v>
      </c>
      <c r="I242" s="65">
        <f t="shared" si="29"/>
        <v>198386655.17600003</v>
      </c>
      <c r="J242" s="110"/>
      <c r="K242" s="106"/>
      <c r="L242" s="106"/>
    </row>
    <row r="243" spans="1:12" ht="23">
      <c r="A243" s="109">
        <v>20</v>
      </c>
      <c r="B243" s="8">
        <f t="shared" si="30"/>
        <v>20</v>
      </c>
      <c r="C243" s="4">
        <v>229</v>
      </c>
      <c r="D243" s="5" t="s">
        <v>3</v>
      </c>
      <c r="E243" s="79">
        <f>ROUND(POWER((1-$E$4),B243-1)*VLOOKUP(D243,ĐiệnNăng_Input!$A$1:$C$12,2,0),0)</f>
        <v>127453</v>
      </c>
      <c r="F243" s="6">
        <f t="shared" si="27"/>
        <v>247789024.48000005</v>
      </c>
      <c r="G243" s="65">
        <f t="shared" si="28"/>
        <v>12389451.224000003</v>
      </c>
      <c r="H243" s="65" t="e">
        <f>VLOOKUP(C243,VayMB!$C$16:$G$1374,5,0)</f>
        <v>#N/A</v>
      </c>
      <c r="I243" s="65">
        <f t="shared" si="29"/>
        <v>235399573.25600004</v>
      </c>
      <c r="J243" s="110">
        <f>SUMIF($B$15:$B$314,"=20",$I$15:$I$314)</f>
        <v>2422593376.7920008</v>
      </c>
      <c r="K243" s="104">
        <f t="shared" ref="K243:L243" si="33">IF(J243&lt;0,1,0)</f>
        <v>0</v>
      </c>
      <c r="L243" s="104">
        <f>IF(AND(K243=0,K231=1),A243,0)</f>
        <v>0</v>
      </c>
    </row>
    <row r="244" spans="1:12" ht="23">
      <c r="A244" s="109"/>
      <c r="B244" s="8">
        <f t="shared" si="30"/>
        <v>20</v>
      </c>
      <c r="C244" s="4">
        <v>230</v>
      </c>
      <c r="D244" s="80" t="s">
        <v>4</v>
      </c>
      <c r="E244" s="79">
        <f>ROUND(POWER((1-$E$4),B244-1)*VLOOKUP(D244,ĐiệnNăng_Input!$A$1:$C$12,2,0),0)</f>
        <v>126314</v>
      </c>
      <c r="F244" s="6">
        <f t="shared" si="27"/>
        <v>245574626.24000004</v>
      </c>
      <c r="G244" s="65">
        <f t="shared" si="28"/>
        <v>12278731.312000003</v>
      </c>
      <c r="H244" s="65" t="e">
        <f>VLOOKUP(C244,VayMB!$C$16:$G$1374,5,0)</f>
        <v>#N/A</v>
      </c>
      <c r="I244" s="65">
        <f t="shared" si="29"/>
        <v>233295894.92800003</v>
      </c>
      <c r="J244" s="110"/>
      <c r="K244" s="105"/>
      <c r="L244" s="105"/>
    </row>
    <row r="245" spans="1:12" ht="23">
      <c r="A245" s="109"/>
      <c r="B245" s="8">
        <f t="shared" si="30"/>
        <v>20</v>
      </c>
      <c r="C245" s="4">
        <v>231</v>
      </c>
      <c r="D245" s="5" t="s">
        <v>5</v>
      </c>
      <c r="E245" s="79">
        <f>ROUND(POWER((1-$E$4),B245-1)*VLOOKUP(D245,ĐiệnNăng_Input!$A$1:$C$12,2,0),0)</f>
        <v>139880</v>
      </c>
      <c r="F245" s="6">
        <f t="shared" si="27"/>
        <v>271949100.80000007</v>
      </c>
      <c r="G245" s="65">
        <f t="shared" si="28"/>
        <v>13597455.040000005</v>
      </c>
      <c r="H245" s="65" t="e">
        <f>VLOOKUP(C245,VayMB!$C$16:$G$1374,5,0)</f>
        <v>#N/A</v>
      </c>
      <c r="I245" s="65">
        <f t="shared" si="29"/>
        <v>258351645.76000008</v>
      </c>
      <c r="J245" s="110"/>
      <c r="K245" s="105"/>
      <c r="L245" s="105"/>
    </row>
    <row r="246" spans="1:12" ht="23">
      <c r="A246" s="109"/>
      <c r="B246" s="8">
        <f t="shared" si="30"/>
        <v>20</v>
      </c>
      <c r="C246" s="4">
        <v>232</v>
      </c>
      <c r="D246" s="80" t="s">
        <v>6</v>
      </c>
      <c r="E246" s="79">
        <f>ROUND(POWER((1-$E$4),B246-1)*VLOOKUP(D246,ĐiệnNăng_Input!$A$1:$C$12,2,0),0)</f>
        <v>123175</v>
      </c>
      <c r="F246" s="6">
        <f t="shared" si="27"/>
        <v>239471908.00000003</v>
      </c>
      <c r="G246" s="65">
        <f t="shared" si="28"/>
        <v>11973595.400000002</v>
      </c>
      <c r="H246" s="65" t="e">
        <f>VLOOKUP(C246,VayMB!$C$16:$G$1374,5,0)</f>
        <v>#N/A</v>
      </c>
      <c r="I246" s="65">
        <f t="shared" si="29"/>
        <v>227498312.60000002</v>
      </c>
      <c r="J246" s="110"/>
      <c r="K246" s="105"/>
      <c r="L246" s="105"/>
    </row>
    <row r="247" spans="1:12" ht="23">
      <c r="A247" s="109"/>
      <c r="B247" s="8">
        <f t="shared" si="30"/>
        <v>20</v>
      </c>
      <c r="C247" s="4">
        <v>233</v>
      </c>
      <c r="D247" s="5" t="s">
        <v>7</v>
      </c>
      <c r="E247" s="79">
        <f>ROUND(POWER((1-$E$4),B247-1)*VLOOKUP(D247,ĐiệnNăng_Input!$A$1:$C$12,2,0),0)</f>
        <v>103552</v>
      </c>
      <c r="F247" s="6">
        <f t="shared" si="27"/>
        <v>201321656.32000002</v>
      </c>
      <c r="G247" s="65">
        <f t="shared" si="28"/>
        <v>10066082.816000002</v>
      </c>
      <c r="H247" s="65" t="e">
        <f>VLOOKUP(C247,VayMB!$C$16:$G$1374,5,0)</f>
        <v>#N/A</v>
      </c>
      <c r="I247" s="65">
        <f t="shared" si="29"/>
        <v>191255573.50400001</v>
      </c>
      <c r="J247" s="110"/>
      <c r="K247" s="105"/>
      <c r="L247" s="105"/>
    </row>
    <row r="248" spans="1:12" ht="23">
      <c r="A248" s="109"/>
      <c r="B248" s="8">
        <f t="shared" si="30"/>
        <v>20</v>
      </c>
      <c r="C248" s="4">
        <v>234</v>
      </c>
      <c r="D248" s="80" t="s">
        <v>8</v>
      </c>
      <c r="E248" s="79">
        <f>ROUND(POWER((1-$E$4),B248-1)*VLOOKUP(D248,ĐiệnNăng_Input!$A$1:$C$12,2,0),0)</f>
        <v>95018</v>
      </c>
      <c r="F248" s="6">
        <f t="shared" si="27"/>
        <v>184730194.88000003</v>
      </c>
      <c r="G248" s="65">
        <f t="shared" si="28"/>
        <v>9236509.7440000009</v>
      </c>
      <c r="H248" s="65" t="e">
        <f>VLOOKUP(C248,VayMB!$C$16:$G$1374,5,0)</f>
        <v>#N/A</v>
      </c>
      <c r="I248" s="65">
        <f t="shared" si="29"/>
        <v>175493685.13600004</v>
      </c>
      <c r="J248" s="110"/>
      <c r="K248" s="105"/>
      <c r="L248" s="105"/>
    </row>
    <row r="249" spans="1:12" ht="23">
      <c r="A249" s="109"/>
      <c r="B249" s="8">
        <f t="shared" si="30"/>
        <v>20</v>
      </c>
      <c r="C249" s="4">
        <v>235</v>
      </c>
      <c r="D249" s="5" t="s">
        <v>9</v>
      </c>
      <c r="E249" s="79">
        <f>ROUND(POWER((1-$E$4),B249-1)*VLOOKUP(D249,ĐiệnNăng_Input!$A$1:$C$12,2,0),0)</f>
        <v>94261</v>
      </c>
      <c r="F249" s="6">
        <f t="shared" si="27"/>
        <v>183258465.76000002</v>
      </c>
      <c r="G249" s="65">
        <f t="shared" si="28"/>
        <v>9162923.2880000006</v>
      </c>
      <c r="H249" s="65" t="e">
        <f>VLOOKUP(C249,VayMB!$C$16:$G$1374,5,0)</f>
        <v>#N/A</v>
      </c>
      <c r="I249" s="65">
        <f t="shared" si="29"/>
        <v>174095542.47200003</v>
      </c>
      <c r="J249" s="110"/>
      <c r="K249" s="105"/>
      <c r="L249" s="105"/>
    </row>
    <row r="250" spans="1:12" ht="23">
      <c r="A250" s="109"/>
      <c r="B250" s="8">
        <f t="shared" si="30"/>
        <v>20</v>
      </c>
      <c r="C250" s="4">
        <v>236</v>
      </c>
      <c r="D250" s="80" t="s">
        <v>10</v>
      </c>
      <c r="E250" s="79">
        <f>ROUND(POWER((1-$E$4),B250-1)*VLOOKUP(D250,ĐiệnNăng_Input!$A$1:$C$12,2,0),0)</f>
        <v>96381</v>
      </c>
      <c r="F250" s="6">
        <f t="shared" si="27"/>
        <v>187380084.96000004</v>
      </c>
      <c r="G250" s="65">
        <f t="shared" si="28"/>
        <v>9369004.2480000015</v>
      </c>
      <c r="H250" s="65" t="e">
        <f>VLOOKUP(C250,VayMB!$C$16:$G$1374,5,0)</f>
        <v>#N/A</v>
      </c>
      <c r="I250" s="65">
        <f t="shared" si="29"/>
        <v>178011080.71200004</v>
      </c>
      <c r="J250" s="110"/>
      <c r="K250" s="105"/>
      <c r="L250" s="105"/>
    </row>
    <row r="251" spans="1:12" ht="23">
      <c r="A251" s="109"/>
      <c r="B251" s="8">
        <f t="shared" si="30"/>
        <v>20</v>
      </c>
      <c r="C251" s="4">
        <v>237</v>
      </c>
      <c r="D251" s="5" t="s">
        <v>11</v>
      </c>
      <c r="E251" s="79">
        <f>ROUND(POWER((1-$E$4),B251-1)*VLOOKUP(D251,ĐiệnNăng_Input!$A$1:$C$12,2,0),0)</f>
        <v>100362</v>
      </c>
      <c r="F251" s="6">
        <f t="shared" si="27"/>
        <v>195119785.92000002</v>
      </c>
      <c r="G251" s="65">
        <f t="shared" si="28"/>
        <v>9755989.296000002</v>
      </c>
      <c r="H251" s="65" t="e">
        <f>VLOOKUP(C251,VayMB!$C$16:$G$1374,5,0)</f>
        <v>#N/A</v>
      </c>
      <c r="I251" s="65">
        <f t="shared" si="29"/>
        <v>185363796.62400001</v>
      </c>
      <c r="J251" s="110"/>
      <c r="K251" s="105"/>
      <c r="L251" s="105"/>
    </row>
    <row r="252" spans="1:12" ht="23">
      <c r="A252" s="109"/>
      <c r="B252" s="8">
        <f t="shared" si="30"/>
        <v>20</v>
      </c>
      <c r="C252" s="4">
        <v>238</v>
      </c>
      <c r="D252" s="80" t="s">
        <v>12</v>
      </c>
      <c r="E252" s="79">
        <f>ROUND(POWER((1-$E$4),B252-1)*VLOOKUP(D252,ĐiệnNăng_Input!$A$1:$C$12,2,0),0)</f>
        <v>89514</v>
      </c>
      <c r="F252" s="6">
        <f t="shared" si="27"/>
        <v>174029538.24000004</v>
      </c>
      <c r="G252" s="65">
        <f t="shared" si="28"/>
        <v>8701476.9120000023</v>
      </c>
      <c r="H252" s="65" t="e">
        <f>VLOOKUP(C252,VayMB!$C$16:$G$1374,5,0)</f>
        <v>#N/A</v>
      </c>
      <c r="I252" s="65">
        <f t="shared" si="29"/>
        <v>165328061.32800004</v>
      </c>
      <c r="J252" s="110"/>
      <c r="K252" s="105"/>
      <c r="L252" s="105"/>
    </row>
    <row r="253" spans="1:12" ht="23">
      <c r="A253" s="109"/>
      <c r="B253" s="8">
        <f t="shared" si="30"/>
        <v>20</v>
      </c>
      <c r="C253" s="4">
        <v>239</v>
      </c>
      <c r="D253" s="5" t="s">
        <v>13</v>
      </c>
      <c r="E253" s="79">
        <f>ROUND(POWER((1-$E$4),B253-1)*VLOOKUP(D253,ĐiệnNăng_Input!$A$1:$C$12,2,0),0)</f>
        <v>108885</v>
      </c>
      <c r="F253" s="6">
        <f t="shared" si="27"/>
        <v>211689861.60000002</v>
      </c>
      <c r="G253" s="65">
        <f t="shared" si="28"/>
        <v>10584493.080000002</v>
      </c>
      <c r="H253" s="65" t="e">
        <f>VLOOKUP(C253,VayMB!$C$16:$G$1374,5,0)</f>
        <v>#N/A</v>
      </c>
      <c r="I253" s="65">
        <f t="shared" si="29"/>
        <v>201105368.52000001</v>
      </c>
      <c r="J253" s="110"/>
      <c r="K253" s="105"/>
      <c r="L253" s="105"/>
    </row>
    <row r="254" spans="1:12" ht="24" thickBot="1">
      <c r="A254" s="109"/>
      <c r="B254" s="8">
        <f t="shared" si="30"/>
        <v>20</v>
      </c>
      <c r="C254" s="4">
        <v>240</v>
      </c>
      <c r="D254" s="80" t="s">
        <v>14</v>
      </c>
      <c r="E254" s="79">
        <f>ROUND(POWER((1-$E$4),B254-1)*VLOOKUP(D254,ĐiệnNăng_Input!$A$1:$C$12,2,0),0)</f>
        <v>106876</v>
      </c>
      <c r="F254" s="6">
        <f t="shared" si="27"/>
        <v>207784044.16000003</v>
      </c>
      <c r="G254" s="65">
        <f t="shared" si="28"/>
        <v>10389202.208000002</v>
      </c>
      <c r="H254" s="65" t="e">
        <f>VLOOKUP(C254,VayMB!$C$16:$G$1374,5,0)</f>
        <v>#N/A</v>
      </c>
      <c r="I254" s="65">
        <f t="shared" si="29"/>
        <v>197394841.95200002</v>
      </c>
      <c r="J254" s="110"/>
      <c r="K254" s="106"/>
      <c r="L254" s="106"/>
    </row>
    <row r="255" spans="1:12" ht="23">
      <c r="A255" s="107">
        <v>21</v>
      </c>
      <c r="B255" s="8">
        <f t="shared" si="30"/>
        <v>21</v>
      </c>
      <c r="C255" s="4">
        <v>241</v>
      </c>
      <c r="D255" s="5" t="s">
        <v>3</v>
      </c>
      <c r="E255" s="79">
        <f>ROUND(POWER((1-$E$4),B255-1)*VLOOKUP(D255,ĐiệnNăng_Input!$A$1:$C$12,2,0),0)</f>
        <v>126816</v>
      </c>
      <c r="F255" s="6">
        <f t="shared" si="27"/>
        <v>246550594.56000003</v>
      </c>
      <c r="G255" s="65">
        <f t="shared" si="28"/>
        <v>12327529.728000002</v>
      </c>
      <c r="H255" s="65" t="e">
        <f>VLOOKUP(C255,VayMB!$C$16:$G$1374,5,0)</f>
        <v>#N/A</v>
      </c>
      <c r="I255" s="65">
        <f t="shared" si="29"/>
        <v>234223064.83200002</v>
      </c>
      <c r="J255" s="110">
        <f>SUMIF($B$15:$B$314,"=21",$I$15:$I$314)</f>
        <v>2410486606.4320002</v>
      </c>
      <c r="K255" s="104">
        <f t="shared" ref="K255:L255" si="34">IF(J255&lt;0,1,0)</f>
        <v>0</v>
      </c>
      <c r="L255" s="104">
        <f>IF(AND(K255=0,K243=1),A255,0)</f>
        <v>0</v>
      </c>
    </row>
    <row r="256" spans="1:12" ht="23">
      <c r="A256" s="107"/>
      <c r="B256" s="8">
        <f t="shared" si="30"/>
        <v>21</v>
      </c>
      <c r="C256" s="4">
        <v>242</v>
      </c>
      <c r="D256" s="80" t="s">
        <v>4</v>
      </c>
      <c r="E256" s="79">
        <f>ROUND(POWER((1-$E$4),B256-1)*VLOOKUP(D256,ĐiệnNăng_Input!$A$1:$C$12,2,0),0)</f>
        <v>125683</v>
      </c>
      <c r="F256" s="6">
        <f t="shared" si="27"/>
        <v>244347861.28000003</v>
      </c>
      <c r="G256" s="65">
        <f t="shared" si="28"/>
        <v>12217393.064000003</v>
      </c>
      <c r="H256" s="65" t="e">
        <f>VLOOKUP(C256,VayMB!$C$16:$G$1374,5,0)</f>
        <v>#N/A</v>
      </c>
      <c r="I256" s="65">
        <f t="shared" si="29"/>
        <v>232130468.21600002</v>
      </c>
      <c r="J256" s="110"/>
      <c r="K256" s="105"/>
      <c r="L256" s="105"/>
    </row>
    <row r="257" spans="1:12" ht="23">
      <c r="A257" s="107"/>
      <c r="B257" s="8">
        <f t="shared" si="30"/>
        <v>21</v>
      </c>
      <c r="C257" s="4">
        <v>243</v>
      </c>
      <c r="D257" s="5" t="s">
        <v>5</v>
      </c>
      <c r="E257" s="79">
        <f>ROUND(POWER((1-$E$4),B257-1)*VLOOKUP(D257,ĐiệnNăng_Input!$A$1:$C$12,2,0),0)</f>
        <v>139181</v>
      </c>
      <c r="F257" s="6">
        <f t="shared" si="27"/>
        <v>270590132.96000004</v>
      </c>
      <c r="G257" s="65">
        <f t="shared" si="28"/>
        <v>13529506.648000002</v>
      </c>
      <c r="H257" s="65" t="e">
        <f>VLOOKUP(C257,VayMB!$C$16:$G$1374,5,0)</f>
        <v>#N/A</v>
      </c>
      <c r="I257" s="65">
        <f t="shared" si="29"/>
        <v>257060626.31200004</v>
      </c>
      <c r="J257" s="110"/>
      <c r="K257" s="105"/>
      <c r="L257" s="105"/>
    </row>
    <row r="258" spans="1:12" ht="23">
      <c r="A258" s="107"/>
      <c r="B258" s="8">
        <f t="shared" si="30"/>
        <v>21</v>
      </c>
      <c r="C258" s="4">
        <v>244</v>
      </c>
      <c r="D258" s="80" t="s">
        <v>6</v>
      </c>
      <c r="E258" s="79">
        <f>ROUND(POWER((1-$E$4),B258-1)*VLOOKUP(D258,ĐiệnNăng_Input!$A$1:$C$12,2,0),0)</f>
        <v>122559</v>
      </c>
      <c r="F258" s="6">
        <f t="shared" si="27"/>
        <v>238274305.44000003</v>
      </c>
      <c r="G258" s="65">
        <f t="shared" si="28"/>
        <v>11913715.272000002</v>
      </c>
      <c r="H258" s="65" t="e">
        <f>VLOOKUP(C258,VayMB!$C$16:$G$1374,5,0)</f>
        <v>#N/A</v>
      </c>
      <c r="I258" s="65">
        <f t="shared" si="29"/>
        <v>226360590.16800001</v>
      </c>
      <c r="J258" s="110"/>
      <c r="K258" s="105"/>
      <c r="L258" s="105"/>
    </row>
    <row r="259" spans="1:12" ht="23">
      <c r="A259" s="107"/>
      <c r="B259" s="8">
        <f t="shared" si="30"/>
        <v>21</v>
      </c>
      <c r="C259" s="4">
        <v>245</v>
      </c>
      <c r="D259" s="5" t="s">
        <v>7</v>
      </c>
      <c r="E259" s="79">
        <f>ROUND(POWER((1-$E$4),B259-1)*VLOOKUP(D259,ĐiệnNăng_Input!$A$1:$C$12,2,0),0)</f>
        <v>103035</v>
      </c>
      <c r="F259" s="6">
        <f t="shared" si="27"/>
        <v>200316525.60000002</v>
      </c>
      <c r="G259" s="65">
        <f t="shared" si="28"/>
        <v>10015826.280000001</v>
      </c>
      <c r="H259" s="65" t="e">
        <f>VLOOKUP(C259,VayMB!$C$16:$G$1374,5,0)</f>
        <v>#N/A</v>
      </c>
      <c r="I259" s="65">
        <f t="shared" si="29"/>
        <v>190300699.32000002</v>
      </c>
      <c r="J259" s="110"/>
      <c r="K259" s="105"/>
      <c r="L259" s="105"/>
    </row>
    <row r="260" spans="1:12" ht="23">
      <c r="A260" s="107"/>
      <c r="B260" s="8">
        <f t="shared" si="30"/>
        <v>21</v>
      </c>
      <c r="C260" s="4">
        <v>246</v>
      </c>
      <c r="D260" s="80" t="s">
        <v>8</v>
      </c>
      <c r="E260" s="79">
        <f>ROUND(POWER((1-$E$4),B260-1)*VLOOKUP(D260,ĐiệnNăng_Input!$A$1:$C$12,2,0),0)</f>
        <v>94542</v>
      </c>
      <c r="F260" s="6">
        <f t="shared" si="27"/>
        <v>183804774.72000003</v>
      </c>
      <c r="G260" s="65">
        <f t="shared" si="28"/>
        <v>9190238.7360000014</v>
      </c>
      <c r="H260" s="65" t="e">
        <f>VLOOKUP(C260,VayMB!$C$16:$G$1374,5,0)</f>
        <v>#N/A</v>
      </c>
      <c r="I260" s="65">
        <f t="shared" si="29"/>
        <v>174614535.98400003</v>
      </c>
      <c r="J260" s="110"/>
      <c r="K260" s="105"/>
      <c r="L260" s="105"/>
    </row>
    <row r="261" spans="1:12" ht="23">
      <c r="A261" s="107"/>
      <c r="B261" s="8">
        <f t="shared" si="30"/>
        <v>21</v>
      </c>
      <c r="C261" s="4">
        <v>247</v>
      </c>
      <c r="D261" s="5" t="s">
        <v>9</v>
      </c>
      <c r="E261" s="79">
        <f>ROUND(POWER((1-$E$4),B261-1)*VLOOKUP(D261,ĐiệnNăng_Input!$A$1:$C$12,2,0),0)</f>
        <v>93790</v>
      </c>
      <c r="F261" s="6">
        <f t="shared" si="27"/>
        <v>182342766.40000004</v>
      </c>
      <c r="G261" s="65">
        <f t="shared" si="28"/>
        <v>9117138.3200000022</v>
      </c>
      <c r="H261" s="65" t="e">
        <f>VLOOKUP(C261,VayMB!$C$16:$G$1374,5,0)</f>
        <v>#N/A</v>
      </c>
      <c r="I261" s="65">
        <f t="shared" si="29"/>
        <v>173225628.08000004</v>
      </c>
      <c r="J261" s="110"/>
      <c r="K261" s="105"/>
      <c r="L261" s="105"/>
    </row>
    <row r="262" spans="1:12" ht="23">
      <c r="A262" s="107"/>
      <c r="B262" s="8">
        <f t="shared" si="30"/>
        <v>21</v>
      </c>
      <c r="C262" s="4">
        <v>248</v>
      </c>
      <c r="D262" s="80" t="s">
        <v>10</v>
      </c>
      <c r="E262" s="79">
        <f>ROUND(POWER((1-$E$4),B262-1)*VLOOKUP(D262,ĐiệnNăng_Input!$A$1:$C$12,2,0),0)</f>
        <v>95900</v>
      </c>
      <c r="F262" s="6">
        <f t="shared" si="27"/>
        <v>186444944.00000003</v>
      </c>
      <c r="G262" s="65">
        <f t="shared" si="28"/>
        <v>9322247.2000000011</v>
      </c>
      <c r="H262" s="65" t="e">
        <f>VLOOKUP(C262,VayMB!$C$16:$G$1374,5,0)</f>
        <v>#N/A</v>
      </c>
      <c r="I262" s="65">
        <f t="shared" si="29"/>
        <v>177122696.80000004</v>
      </c>
      <c r="J262" s="110"/>
      <c r="K262" s="105"/>
      <c r="L262" s="105"/>
    </row>
    <row r="263" spans="1:12" ht="23">
      <c r="A263" s="107"/>
      <c r="B263" s="8">
        <f t="shared" si="30"/>
        <v>21</v>
      </c>
      <c r="C263" s="4">
        <v>249</v>
      </c>
      <c r="D263" s="5" t="s">
        <v>11</v>
      </c>
      <c r="E263" s="79">
        <f>ROUND(POWER((1-$E$4),B263-1)*VLOOKUP(D263,ĐiệnNăng_Input!$A$1:$C$12,2,0),0)</f>
        <v>99860</v>
      </c>
      <c r="F263" s="6">
        <f t="shared" si="27"/>
        <v>194143817.60000002</v>
      </c>
      <c r="G263" s="65">
        <f t="shared" si="28"/>
        <v>9707190.8800000008</v>
      </c>
      <c r="H263" s="65" t="e">
        <f>VLOOKUP(C263,VayMB!$C$16:$G$1374,5,0)</f>
        <v>#N/A</v>
      </c>
      <c r="I263" s="65">
        <f t="shared" si="29"/>
        <v>184436626.72000003</v>
      </c>
      <c r="J263" s="110"/>
      <c r="K263" s="105"/>
      <c r="L263" s="105"/>
    </row>
    <row r="264" spans="1:12" ht="23">
      <c r="A264" s="107"/>
      <c r="B264" s="8">
        <f t="shared" si="30"/>
        <v>21</v>
      </c>
      <c r="C264" s="4">
        <v>250</v>
      </c>
      <c r="D264" s="80" t="s">
        <v>12</v>
      </c>
      <c r="E264" s="79">
        <f>ROUND(POWER((1-$E$4),B264-1)*VLOOKUP(D264,ĐiệnNăng_Input!$A$1:$C$12,2,0),0)</f>
        <v>89067</v>
      </c>
      <c r="F264" s="6">
        <f t="shared" si="27"/>
        <v>173160498.72000003</v>
      </c>
      <c r="G264" s="65">
        <f t="shared" si="28"/>
        <v>8658024.9360000025</v>
      </c>
      <c r="H264" s="65" t="e">
        <f>VLOOKUP(C264,VayMB!$C$16:$G$1374,5,0)</f>
        <v>#N/A</v>
      </c>
      <c r="I264" s="65">
        <f t="shared" si="29"/>
        <v>164502473.78400004</v>
      </c>
      <c r="J264" s="110"/>
      <c r="K264" s="105"/>
      <c r="L264" s="105"/>
    </row>
    <row r="265" spans="1:12" ht="23">
      <c r="A265" s="107"/>
      <c r="B265" s="8">
        <f t="shared" si="30"/>
        <v>21</v>
      </c>
      <c r="C265" s="4">
        <v>251</v>
      </c>
      <c r="D265" s="5" t="s">
        <v>13</v>
      </c>
      <c r="E265" s="79">
        <f>ROUND(POWER((1-$E$4),B265-1)*VLOOKUP(D265,ĐiệnNăng_Input!$A$1:$C$12,2,0),0)</f>
        <v>108341</v>
      </c>
      <c r="F265" s="6">
        <f t="shared" si="27"/>
        <v>210632238.56000003</v>
      </c>
      <c r="G265" s="65">
        <f t="shared" si="28"/>
        <v>10531611.928000003</v>
      </c>
      <c r="H265" s="65" t="e">
        <f>VLOOKUP(C265,VayMB!$C$16:$G$1374,5,0)</f>
        <v>#N/A</v>
      </c>
      <c r="I265" s="65">
        <f t="shared" si="29"/>
        <v>200100626.63200003</v>
      </c>
      <c r="J265" s="110"/>
      <c r="K265" s="105"/>
      <c r="L265" s="105"/>
    </row>
    <row r="266" spans="1:12" ht="24" thickBot="1">
      <c r="A266" s="107"/>
      <c r="B266" s="8">
        <f t="shared" si="30"/>
        <v>21</v>
      </c>
      <c r="C266" s="4">
        <v>252</v>
      </c>
      <c r="D266" s="80" t="s">
        <v>14</v>
      </c>
      <c r="E266" s="79">
        <f>ROUND(POWER((1-$E$4),B266-1)*VLOOKUP(D266,ĐiệnNăng_Input!$A$1:$C$12,2,0),0)</f>
        <v>106342</v>
      </c>
      <c r="F266" s="6">
        <f t="shared" si="27"/>
        <v>206745862.72000003</v>
      </c>
      <c r="G266" s="65">
        <f t="shared" si="28"/>
        <v>10337293.136000002</v>
      </c>
      <c r="H266" s="65" t="e">
        <f>VLOOKUP(C266,VayMB!$C$16:$G$1374,5,0)</f>
        <v>#N/A</v>
      </c>
      <c r="I266" s="65">
        <f t="shared" si="29"/>
        <v>196408569.58400002</v>
      </c>
      <c r="J266" s="110"/>
      <c r="K266" s="106"/>
      <c r="L266" s="106"/>
    </row>
    <row r="267" spans="1:12" ht="23">
      <c r="A267" s="109">
        <v>22</v>
      </c>
      <c r="B267" s="8">
        <f t="shared" si="30"/>
        <v>22</v>
      </c>
      <c r="C267" s="4">
        <v>253</v>
      </c>
      <c r="D267" s="5" t="s">
        <v>3</v>
      </c>
      <c r="E267" s="79">
        <f>ROUND(POWER((1-$E$4),B267-1)*VLOOKUP(D267,ĐiệnNăng_Input!$A$1:$C$12,2,0),0)</f>
        <v>126181</v>
      </c>
      <c r="F267" s="6">
        <f t="shared" si="27"/>
        <v>245316052.96000004</v>
      </c>
      <c r="G267" s="65">
        <f t="shared" si="28"/>
        <v>12265802.648000002</v>
      </c>
      <c r="H267" s="65" t="e">
        <f>VLOOKUP(C267,VayMB!$C$16:$G$1374,5,0)</f>
        <v>#N/A</v>
      </c>
      <c r="I267" s="65">
        <f t="shared" si="29"/>
        <v>233050250.31200004</v>
      </c>
      <c r="J267" s="110">
        <f>SUMIF($B$15:$B$314,"=22",$I$15:$I$314)</f>
        <v>2398429703.776</v>
      </c>
      <c r="K267" s="104">
        <f t="shared" ref="K267:L267" si="35">IF(J267&lt;0,1,0)</f>
        <v>0</v>
      </c>
      <c r="L267" s="104">
        <f>IF(AND(K267=0,K255=1),A267,0)</f>
        <v>0</v>
      </c>
    </row>
    <row r="268" spans="1:12" ht="23">
      <c r="A268" s="109"/>
      <c r="B268" s="8">
        <f t="shared" si="30"/>
        <v>22</v>
      </c>
      <c r="C268" s="4">
        <v>254</v>
      </c>
      <c r="D268" s="80" t="s">
        <v>4</v>
      </c>
      <c r="E268" s="79">
        <f>ROUND(POWER((1-$E$4),B268-1)*VLOOKUP(D268,ĐiệnNăng_Input!$A$1:$C$12,2,0),0)</f>
        <v>125054</v>
      </c>
      <c r="F268" s="6">
        <f t="shared" si="27"/>
        <v>243124984.64000005</v>
      </c>
      <c r="G268" s="65">
        <f t="shared" si="28"/>
        <v>12156249.232000003</v>
      </c>
      <c r="H268" s="65" t="e">
        <f>VLOOKUP(C268,VayMB!$C$16:$G$1374,5,0)</f>
        <v>#N/A</v>
      </c>
      <c r="I268" s="65">
        <f t="shared" si="29"/>
        <v>230968735.40800005</v>
      </c>
      <c r="J268" s="110"/>
      <c r="K268" s="105"/>
      <c r="L268" s="105"/>
    </row>
    <row r="269" spans="1:12" ht="23">
      <c r="A269" s="109"/>
      <c r="B269" s="8">
        <f t="shared" si="30"/>
        <v>22</v>
      </c>
      <c r="C269" s="4">
        <v>255</v>
      </c>
      <c r="D269" s="5" t="s">
        <v>5</v>
      </c>
      <c r="E269" s="79">
        <f>ROUND(POWER((1-$E$4),B269-1)*VLOOKUP(D269,ĐiệnNăng_Input!$A$1:$C$12,2,0),0)</f>
        <v>138485</v>
      </c>
      <c r="F269" s="6">
        <f t="shared" si="27"/>
        <v>269236997.60000002</v>
      </c>
      <c r="G269" s="65">
        <f t="shared" si="28"/>
        <v>13461849.880000003</v>
      </c>
      <c r="H269" s="65" t="e">
        <f>VLOOKUP(C269,VayMB!$C$16:$G$1374,5,0)</f>
        <v>#N/A</v>
      </c>
      <c r="I269" s="65">
        <f t="shared" si="29"/>
        <v>255775147.72000003</v>
      </c>
      <c r="J269" s="110"/>
      <c r="K269" s="105"/>
      <c r="L269" s="105"/>
    </row>
    <row r="270" spans="1:12" ht="23">
      <c r="A270" s="109"/>
      <c r="B270" s="8">
        <f t="shared" si="30"/>
        <v>22</v>
      </c>
      <c r="C270" s="4">
        <v>256</v>
      </c>
      <c r="D270" s="80" t="s">
        <v>6</v>
      </c>
      <c r="E270" s="79">
        <f>ROUND(POWER((1-$E$4),B270-1)*VLOOKUP(D270,ĐiệnNăng_Input!$A$1:$C$12,2,0),0)</f>
        <v>121946</v>
      </c>
      <c r="F270" s="6">
        <f t="shared" si="27"/>
        <v>237082535.36000004</v>
      </c>
      <c r="G270" s="65">
        <f t="shared" si="28"/>
        <v>11854126.768000003</v>
      </c>
      <c r="H270" s="65" t="e">
        <f>VLOOKUP(C270,VayMB!$C$16:$G$1374,5,0)</f>
        <v>#N/A</v>
      </c>
      <c r="I270" s="65">
        <f t="shared" si="29"/>
        <v>225228408.59200004</v>
      </c>
      <c r="J270" s="110"/>
      <c r="K270" s="105"/>
      <c r="L270" s="105"/>
    </row>
    <row r="271" spans="1:12" ht="23">
      <c r="A271" s="109"/>
      <c r="B271" s="8">
        <f t="shared" si="30"/>
        <v>22</v>
      </c>
      <c r="C271" s="4">
        <v>257</v>
      </c>
      <c r="D271" s="5" t="s">
        <v>7</v>
      </c>
      <c r="E271" s="79">
        <f>ROUND(POWER((1-$E$4),B271-1)*VLOOKUP(D271,ĐiệnNăng_Input!$A$1:$C$12,2,0),0)</f>
        <v>102519</v>
      </c>
      <c r="F271" s="6">
        <f t="shared" si="27"/>
        <v>199313339.04000002</v>
      </c>
      <c r="G271" s="65">
        <f t="shared" si="28"/>
        <v>9965666.9520000014</v>
      </c>
      <c r="H271" s="65" t="e">
        <f>VLOOKUP(C271,VayMB!$C$16:$G$1374,5,0)</f>
        <v>#N/A</v>
      </c>
      <c r="I271" s="65">
        <f t="shared" si="29"/>
        <v>189347672.08800003</v>
      </c>
      <c r="J271" s="110"/>
      <c r="K271" s="105"/>
      <c r="L271" s="105"/>
    </row>
    <row r="272" spans="1:12" ht="23">
      <c r="A272" s="109"/>
      <c r="B272" s="8">
        <f t="shared" si="30"/>
        <v>22</v>
      </c>
      <c r="C272" s="4">
        <v>258</v>
      </c>
      <c r="D272" s="80" t="s">
        <v>8</v>
      </c>
      <c r="E272" s="79">
        <f>ROUND(POWER((1-$E$4),B272-1)*VLOOKUP(D272,ĐiệnNăng_Input!$A$1:$C$12,2,0),0)</f>
        <v>94070</v>
      </c>
      <c r="F272" s="6">
        <f t="shared" ref="F272:F314" si="36">E272*$E$7</f>
        <v>182887131.20000002</v>
      </c>
      <c r="G272" s="65">
        <f t="shared" ref="G272:G314" si="37">F272*0.05</f>
        <v>9144356.5600000005</v>
      </c>
      <c r="H272" s="65" t="e">
        <f>VLOOKUP(C272,VayMB!$C$16:$G$1374,5,0)</f>
        <v>#N/A</v>
      </c>
      <c r="I272" s="65">
        <f t="shared" ref="I272:I314" si="38">_xlfn.IFNA(F272-G272-H272,F272-G272)</f>
        <v>173742774.64000002</v>
      </c>
      <c r="J272" s="110"/>
      <c r="K272" s="105"/>
      <c r="L272" s="105"/>
    </row>
    <row r="273" spans="1:12" ht="23">
      <c r="A273" s="109"/>
      <c r="B273" s="8">
        <f t="shared" ref="B273:B314" si="39">IF(D272="Tháng 12",B272+1,B272)</f>
        <v>22</v>
      </c>
      <c r="C273" s="4">
        <v>259</v>
      </c>
      <c r="D273" s="5" t="s">
        <v>9</v>
      </c>
      <c r="E273" s="79">
        <f>ROUND(POWER((1-$E$4),B273-1)*VLOOKUP(D273,ĐiệnNăng_Input!$A$1:$C$12,2,0),0)</f>
        <v>93321</v>
      </c>
      <c r="F273" s="6">
        <f t="shared" si="36"/>
        <v>181430955.36000001</v>
      </c>
      <c r="G273" s="65">
        <f t="shared" si="37"/>
        <v>9071547.7680000011</v>
      </c>
      <c r="H273" s="65" t="e">
        <f>VLOOKUP(C273,VayMB!$C$16:$G$1374,5,0)</f>
        <v>#N/A</v>
      </c>
      <c r="I273" s="65">
        <f t="shared" si="38"/>
        <v>172359407.59200001</v>
      </c>
      <c r="J273" s="110"/>
      <c r="K273" s="105"/>
      <c r="L273" s="105"/>
    </row>
    <row r="274" spans="1:12" ht="23">
      <c r="A274" s="109"/>
      <c r="B274" s="8">
        <f t="shared" si="39"/>
        <v>22</v>
      </c>
      <c r="C274" s="4">
        <v>260</v>
      </c>
      <c r="D274" s="80" t="s">
        <v>10</v>
      </c>
      <c r="E274" s="79">
        <f>ROUND(POWER((1-$E$4),B274-1)*VLOOKUP(D274,ĐiệnNăng_Input!$A$1:$C$12,2,0),0)</f>
        <v>95420</v>
      </c>
      <c r="F274" s="6">
        <f t="shared" si="36"/>
        <v>185511747.20000002</v>
      </c>
      <c r="G274" s="65">
        <f t="shared" si="37"/>
        <v>9275587.3600000013</v>
      </c>
      <c r="H274" s="65" t="e">
        <f>VLOOKUP(C274,VayMB!$C$16:$G$1374,5,0)</f>
        <v>#N/A</v>
      </c>
      <c r="I274" s="65">
        <f t="shared" si="38"/>
        <v>176236159.84</v>
      </c>
      <c r="J274" s="110"/>
      <c r="K274" s="105"/>
      <c r="L274" s="105"/>
    </row>
    <row r="275" spans="1:12" ht="23">
      <c r="A275" s="109"/>
      <c r="B275" s="8">
        <f t="shared" si="39"/>
        <v>22</v>
      </c>
      <c r="C275" s="4">
        <v>261</v>
      </c>
      <c r="D275" s="5" t="s">
        <v>11</v>
      </c>
      <c r="E275" s="79">
        <f>ROUND(POWER((1-$E$4),B275-1)*VLOOKUP(D275,ĐiệnNăng_Input!$A$1:$C$12,2,0),0)</f>
        <v>99361</v>
      </c>
      <c r="F275" s="6">
        <f t="shared" si="36"/>
        <v>193173681.76000002</v>
      </c>
      <c r="G275" s="65">
        <f t="shared" si="37"/>
        <v>9658684.0880000014</v>
      </c>
      <c r="H275" s="65" t="e">
        <f>VLOOKUP(C275,VayMB!$C$16:$G$1374,5,0)</f>
        <v>#N/A</v>
      </c>
      <c r="I275" s="65">
        <f t="shared" si="38"/>
        <v>183514997.67200002</v>
      </c>
      <c r="J275" s="110"/>
      <c r="K275" s="105"/>
      <c r="L275" s="105"/>
    </row>
    <row r="276" spans="1:12" ht="23">
      <c r="A276" s="109"/>
      <c r="B276" s="8">
        <f t="shared" si="39"/>
        <v>22</v>
      </c>
      <c r="C276" s="4">
        <v>262</v>
      </c>
      <c r="D276" s="80" t="s">
        <v>12</v>
      </c>
      <c r="E276" s="79">
        <f>ROUND(POWER((1-$E$4),B276-1)*VLOOKUP(D276,ĐiệnNăng_Input!$A$1:$C$12,2,0),0)</f>
        <v>88622</v>
      </c>
      <c r="F276" s="6">
        <f t="shared" si="36"/>
        <v>172295347.52000004</v>
      </c>
      <c r="G276" s="65">
        <f t="shared" si="37"/>
        <v>8614767.376000002</v>
      </c>
      <c r="H276" s="65" t="e">
        <f>VLOOKUP(C276,VayMB!$C$16:$G$1374,5,0)</f>
        <v>#N/A</v>
      </c>
      <c r="I276" s="65">
        <f t="shared" si="38"/>
        <v>163680580.14400005</v>
      </c>
      <c r="J276" s="110"/>
      <c r="K276" s="105"/>
      <c r="L276" s="105"/>
    </row>
    <row r="277" spans="1:12" ht="23">
      <c r="A277" s="109"/>
      <c r="B277" s="8">
        <f t="shared" si="39"/>
        <v>22</v>
      </c>
      <c r="C277" s="4">
        <v>263</v>
      </c>
      <c r="D277" s="5" t="s">
        <v>13</v>
      </c>
      <c r="E277" s="79">
        <f>ROUND(POWER((1-$E$4),B277-1)*VLOOKUP(D277,ĐiệnNăng_Input!$A$1:$C$12,2,0),0)</f>
        <v>107799</v>
      </c>
      <c r="F277" s="6">
        <f t="shared" si="36"/>
        <v>209578503.84000003</v>
      </c>
      <c r="G277" s="65">
        <f t="shared" si="37"/>
        <v>10478925.192000002</v>
      </c>
      <c r="H277" s="65" t="e">
        <f>VLOOKUP(C277,VayMB!$C$16:$G$1374,5,0)</f>
        <v>#N/A</v>
      </c>
      <c r="I277" s="65">
        <f t="shared" si="38"/>
        <v>199099578.64800003</v>
      </c>
      <c r="J277" s="110"/>
      <c r="K277" s="105"/>
      <c r="L277" s="105"/>
    </row>
    <row r="278" spans="1:12" ht="24" thickBot="1">
      <c r="A278" s="109"/>
      <c r="B278" s="8">
        <f t="shared" si="39"/>
        <v>22</v>
      </c>
      <c r="C278" s="4">
        <v>264</v>
      </c>
      <c r="D278" s="80" t="s">
        <v>14</v>
      </c>
      <c r="E278" s="79">
        <f>ROUND(POWER((1-$E$4),B278-1)*VLOOKUP(D278,ĐiệnNăng_Input!$A$1:$C$12,2,0),0)</f>
        <v>105810</v>
      </c>
      <c r="F278" s="6">
        <f t="shared" si="36"/>
        <v>205711569.60000002</v>
      </c>
      <c r="G278" s="65">
        <f t="shared" si="37"/>
        <v>10285578.480000002</v>
      </c>
      <c r="H278" s="65" t="e">
        <f>VLOOKUP(C278,VayMB!$C$16:$G$1374,5,0)</f>
        <v>#N/A</v>
      </c>
      <c r="I278" s="65">
        <f t="shared" si="38"/>
        <v>195425991.12000003</v>
      </c>
      <c r="J278" s="110"/>
      <c r="K278" s="106"/>
      <c r="L278" s="106"/>
    </row>
    <row r="279" spans="1:12" ht="23">
      <c r="A279" s="107">
        <v>23</v>
      </c>
      <c r="B279" s="8">
        <f t="shared" si="39"/>
        <v>23</v>
      </c>
      <c r="C279" s="4">
        <v>265</v>
      </c>
      <c r="D279" s="5" t="s">
        <v>3</v>
      </c>
      <c r="E279" s="79">
        <f>ROUND(POWER((1-$E$4),B279-1)*VLOOKUP(D279,ĐiệnNăng_Input!$A$1:$C$12,2,0),0)</f>
        <v>125551</v>
      </c>
      <c r="F279" s="6">
        <f t="shared" si="36"/>
        <v>244091232.16000003</v>
      </c>
      <c r="G279" s="65">
        <f t="shared" si="37"/>
        <v>12204561.608000003</v>
      </c>
      <c r="H279" s="65" t="e">
        <f>VLOOKUP(C279,VayMB!$C$16:$G$1374,5,0)</f>
        <v>#N/A</v>
      </c>
      <c r="I279" s="65">
        <f t="shared" si="38"/>
        <v>231886670.55200002</v>
      </c>
      <c r="J279" s="110">
        <f>SUMIF($B$15:$B$314,"=23",$I$15:$I$314)</f>
        <v>2386435597.4880004</v>
      </c>
      <c r="K279" s="104">
        <f t="shared" ref="K279:L279" si="40">IF(J279&lt;0,1,0)</f>
        <v>0</v>
      </c>
      <c r="L279" s="104">
        <f>IF(AND(K279=0,K267=1),A279,0)</f>
        <v>0</v>
      </c>
    </row>
    <row r="280" spans="1:12" ht="23">
      <c r="A280" s="107"/>
      <c r="B280" s="8">
        <f t="shared" si="39"/>
        <v>23</v>
      </c>
      <c r="C280" s="4">
        <v>266</v>
      </c>
      <c r="D280" s="80" t="s">
        <v>4</v>
      </c>
      <c r="E280" s="79">
        <f>ROUND(POWER((1-$E$4),B280-1)*VLOOKUP(D280,ĐiệnNăng_Input!$A$1:$C$12,2,0),0)</f>
        <v>124429</v>
      </c>
      <c r="F280" s="6">
        <f t="shared" si="36"/>
        <v>241909884.64000005</v>
      </c>
      <c r="G280" s="65">
        <f t="shared" si="37"/>
        <v>12095494.232000003</v>
      </c>
      <c r="H280" s="65" t="e">
        <f>VLOOKUP(C280,VayMB!$C$16:$G$1374,5,0)</f>
        <v>#N/A</v>
      </c>
      <c r="I280" s="65">
        <f t="shared" si="38"/>
        <v>229814390.40800005</v>
      </c>
      <c r="J280" s="110"/>
      <c r="K280" s="105"/>
      <c r="L280" s="105"/>
    </row>
    <row r="281" spans="1:12" ht="23">
      <c r="A281" s="107"/>
      <c r="B281" s="8">
        <f t="shared" si="39"/>
        <v>23</v>
      </c>
      <c r="C281" s="4">
        <v>267</v>
      </c>
      <c r="D281" s="5" t="s">
        <v>5</v>
      </c>
      <c r="E281" s="79">
        <f>ROUND(POWER((1-$E$4),B281-1)*VLOOKUP(D281,ĐiệnNăng_Input!$A$1:$C$12,2,0),0)</f>
        <v>137792</v>
      </c>
      <c r="F281" s="6">
        <f t="shared" si="36"/>
        <v>267889694.72000003</v>
      </c>
      <c r="G281" s="65">
        <f t="shared" si="37"/>
        <v>13394484.736000001</v>
      </c>
      <c r="H281" s="65" t="e">
        <f>VLOOKUP(C281,VayMB!$C$16:$G$1374,5,0)</f>
        <v>#N/A</v>
      </c>
      <c r="I281" s="65">
        <f t="shared" si="38"/>
        <v>254495209.98400003</v>
      </c>
      <c r="J281" s="110"/>
      <c r="K281" s="105"/>
      <c r="L281" s="105"/>
    </row>
    <row r="282" spans="1:12" ht="23">
      <c r="A282" s="107"/>
      <c r="B282" s="8">
        <f t="shared" si="39"/>
        <v>23</v>
      </c>
      <c r="C282" s="4">
        <v>268</v>
      </c>
      <c r="D282" s="80" t="s">
        <v>6</v>
      </c>
      <c r="E282" s="79">
        <f>ROUND(POWER((1-$E$4),B282-1)*VLOOKUP(D282,ĐiệnNăng_Input!$A$1:$C$12,2,0),0)</f>
        <v>121336</v>
      </c>
      <c r="F282" s="6">
        <f t="shared" si="36"/>
        <v>235896597.76000005</v>
      </c>
      <c r="G282" s="65">
        <f t="shared" si="37"/>
        <v>11794829.888000004</v>
      </c>
      <c r="H282" s="65" t="e">
        <f>VLOOKUP(C282,VayMB!$C$16:$G$1374,5,0)</f>
        <v>#N/A</v>
      </c>
      <c r="I282" s="65">
        <f t="shared" si="38"/>
        <v>224101767.87200004</v>
      </c>
      <c r="J282" s="110"/>
      <c r="K282" s="105"/>
      <c r="L282" s="105"/>
    </row>
    <row r="283" spans="1:12" ht="23">
      <c r="A283" s="107"/>
      <c r="B283" s="8">
        <f t="shared" si="39"/>
        <v>23</v>
      </c>
      <c r="C283" s="4">
        <v>269</v>
      </c>
      <c r="D283" s="5" t="s">
        <v>7</v>
      </c>
      <c r="E283" s="79">
        <f>ROUND(POWER((1-$E$4),B283-1)*VLOOKUP(D283,ĐiệnNăng_Input!$A$1:$C$12,2,0),0)</f>
        <v>102007</v>
      </c>
      <c r="F283" s="6">
        <f t="shared" si="36"/>
        <v>198317929.12000003</v>
      </c>
      <c r="G283" s="65">
        <f t="shared" si="37"/>
        <v>9915896.4560000021</v>
      </c>
      <c r="H283" s="65" t="e">
        <f>VLOOKUP(C283,VayMB!$C$16:$G$1374,5,0)</f>
        <v>#N/A</v>
      </c>
      <c r="I283" s="65">
        <f t="shared" si="38"/>
        <v>188402032.66400003</v>
      </c>
      <c r="J283" s="110"/>
      <c r="K283" s="105"/>
      <c r="L283" s="105"/>
    </row>
    <row r="284" spans="1:12" ht="23">
      <c r="A284" s="107"/>
      <c r="B284" s="8">
        <f t="shared" si="39"/>
        <v>23</v>
      </c>
      <c r="C284" s="4">
        <v>270</v>
      </c>
      <c r="D284" s="80" t="s">
        <v>8</v>
      </c>
      <c r="E284" s="79">
        <f>ROUND(POWER((1-$E$4),B284-1)*VLOOKUP(D284,ĐiệnNăng_Input!$A$1:$C$12,2,0),0)</f>
        <v>93599</v>
      </c>
      <c r="F284" s="6">
        <f t="shared" si="36"/>
        <v>181971431.84000003</v>
      </c>
      <c r="G284" s="65">
        <f t="shared" si="37"/>
        <v>9098571.592000002</v>
      </c>
      <c r="H284" s="65" t="e">
        <f>VLOOKUP(C284,VayMB!$C$16:$G$1374,5,0)</f>
        <v>#N/A</v>
      </c>
      <c r="I284" s="65">
        <f t="shared" si="38"/>
        <v>172872860.24800003</v>
      </c>
      <c r="J284" s="110"/>
      <c r="K284" s="105"/>
      <c r="L284" s="105"/>
    </row>
    <row r="285" spans="1:12" ht="23">
      <c r="A285" s="107"/>
      <c r="B285" s="8">
        <f t="shared" si="39"/>
        <v>23</v>
      </c>
      <c r="C285" s="4">
        <v>271</v>
      </c>
      <c r="D285" s="5" t="s">
        <v>9</v>
      </c>
      <c r="E285" s="79">
        <f>ROUND(POWER((1-$E$4),B285-1)*VLOOKUP(D285,ĐiệnNăng_Input!$A$1:$C$12,2,0),0)</f>
        <v>92854</v>
      </c>
      <c r="F285" s="6">
        <f t="shared" si="36"/>
        <v>180523032.64000002</v>
      </c>
      <c r="G285" s="65">
        <f t="shared" si="37"/>
        <v>9026151.6320000011</v>
      </c>
      <c r="H285" s="65" t="e">
        <f>VLOOKUP(C285,VayMB!$C$16:$G$1374,5,0)</f>
        <v>#N/A</v>
      </c>
      <c r="I285" s="65">
        <f t="shared" si="38"/>
        <v>171496881.00800002</v>
      </c>
      <c r="J285" s="110"/>
      <c r="K285" s="105"/>
      <c r="L285" s="105"/>
    </row>
    <row r="286" spans="1:12" ht="23">
      <c r="A286" s="107"/>
      <c r="B286" s="8">
        <f t="shared" si="39"/>
        <v>23</v>
      </c>
      <c r="C286" s="4">
        <v>272</v>
      </c>
      <c r="D286" s="80" t="s">
        <v>10</v>
      </c>
      <c r="E286" s="79">
        <f>ROUND(POWER((1-$E$4),B286-1)*VLOOKUP(D286,ĐiệnNăng_Input!$A$1:$C$12,2,0),0)</f>
        <v>94943</v>
      </c>
      <c r="F286" s="6">
        <f t="shared" si="36"/>
        <v>184584382.88000003</v>
      </c>
      <c r="G286" s="65">
        <f t="shared" si="37"/>
        <v>9229219.1440000013</v>
      </c>
      <c r="H286" s="65" t="e">
        <f>VLOOKUP(C286,VayMB!$C$16:$G$1374,5,0)</f>
        <v>#N/A</v>
      </c>
      <c r="I286" s="65">
        <f t="shared" si="38"/>
        <v>175355163.73600003</v>
      </c>
      <c r="J286" s="110"/>
      <c r="K286" s="105"/>
      <c r="L286" s="105"/>
    </row>
    <row r="287" spans="1:12" ht="23">
      <c r="A287" s="107"/>
      <c r="B287" s="8">
        <f t="shared" si="39"/>
        <v>23</v>
      </c>
      <c r="C287" s="4">
        <v>273</v>
      </c>
      <c r="D287" s="5" t="s">
        <v>11</v>
      </c>
      <c r="E287" s="79">
        <f>ROUND(POWER((1-$E$4),B287-1)*VLOOKUP(D287,ĐiệnNăng_Input!$A$1:$C$12,2,0),0)</f>
        <v>98864</v>
      </c>
      <c r="F287" s="6">
        <f t="shared" si="36"/>
        <v>192207434.24000004</v>
      </c>
      <c r="G287" s="65">
        <f t="shared" si="37"/>
        <v>9610371.7120000031</v>
      </c>
      <c r="H287" s="65" t="e">
        <f>VLOOKUP(C287,VayMB!$C$16:$G$1374,5,0)</f>
        <v>#N/A</v>
      </c>
      <c r="I287" s="65">
        <f t="shared" si="38"/>
        <v>182597062.52800003</v>
      </c>
      <c r="J287" s="110"/>
      <c r="K287" s="105"/>
      <c r="L287" s="105"/>
    </row>
    <row r="288" spans="1:12" ht="23">
      <c r="A288" s="107"/>
      <c r="B288" s="8">
        <f t="shared" si="39"/>
        <v>23</v>
      </c>
      <c r="C288" s="4">
        <v>274</v>
      </c>
      <c r="D288" s="80" t="s">
        <v>12</v>
      </c>
      <c r="E288" s="79">
        <f>ROUND(POWER((1-$E$4),B288-1)*VLOOKUP(D288,ĐiệnNăng_Input!$A$1:$C$12,2,0),0)</f>
        <v>88178</v>
      </c>
      <c r="F288" s="6">
        <f t="shared" si="36"/>
        <v>171432140.48000002</v>
      </c>
      <c r="G288" s="65">
        <f t="shared" si="37"/>
        <v>8571607.0240000021</v>
      </c>
      <c r="H288" s="65" t="e">
        <f>VLOOKUP(C288,VayMB!$C$16:$G$1374,5,0)</f>
        <v>#N/A</v>
      </c>
      <c r="I288" s="65">
        <f t="shared" si="38"/>
        <v>162860533.45600003</v>
      </c>
      <c r="J288" s="110"/>
      <c r="K288" s="105"/>
      <c r="L288" s="105"/>
    </row>
    <row r="289" spans="1:12" ht="23">
      <c r="A289" s="107"/>
      <c r="B289" s="8">
        <f t="shared" si="39"/>
        <v>23</v>
      </c>
      <c r="C289" s="4">
        <v>275</v>
      </c>
      <c r="D289" s="5" t="s">
        <v>13</v>
      </c>
      <c r="E289" s="79">
        <f>ROUND(POWER((1-$E$4),B289-1)*VLOOKUP(D289,ĐiệnNăng_Input!$A$1:$C$12,2,0),0)</f>
        <v>107260</v>
      </c>
      <c r="F289" s="6">
        <f t="shared" si="36"/>
        <v>208530601.60000002</v>
      </c>
      <c r="G289" s="65">
        <f t="shared" si="37"/>
        <v>10426530.080000002</v>
      </c>
      <c r="H289" s="65" t="e">
        <f>VLOOKUP(C289,VayMB!$C$16:$G$1374,5,0)</f>
        <v>#N/A</v>
      </c>
      <c r="I289" s="65">
        <f t="shared" si="38"/>
        <v>198104071.52000001</v>
      </c>
      <c r="J289" s="110"/>
      <c r="K289" s="105"/>
      <c r="L289" s="105"/>
    </row>
    <row r="290" spans="1:12" ht="24" thickBot="1">
      <c r="A290" s="107"/>
      <c r="B290" s="8">
        <f t="shared" si="39"/>
        <v>23</v>
      </c>
      <c r="C290" s="4">
        <v>276</v>
      </c>
      <c r="D290" s="80" t="s">
        <v>14</v>
      </c>
      <c r="E290" s="79">
        <f>ROUND(POWER((1-$E$4),B290-1)*VLOOKUP(D290,ĐiệnNăng_Input!$A$1:$C$12,2,0),0)</f>
        <v>105281</v>
      </c>
      <c r="F290" s="6">
        <f t="shared" si="36"/>
        <v>204683108.96000004</v>
      </c>
      <c r="G290" s="65">
        <f t="shared" si="37"/>
        <v>10234155.448000003</v>
      </c>
      <c r="H290" s="65" t="e">
        <f>VLOOKUP(C290,VayMB!$C$16:$G$1374,5,0)</f>
        <v>#N/A</v>
      </c>
      <c r="I290" s="65">
        <f t="shared" si="38"/>
        <v>194448953.51200002</v>
      </c>
      <c r="J290" s="110"/>
      <c r="K290" s="106"/>
      <c r="L290" s="106"/>
    </row>
    <row r="291" spans="1:12" ht="23">
      <c r="A291" s="109">
        <v>24</v>
      </c>
      <c r="B291" s="8">
        <f t="shared" si="39"/>
        <v>24</v>
      </c>
      <c r="C291" s="4">
        <v>277</v>
      </c>
      <c r="D291" s="5" t="s">
        <v>3</v>
      </c>
      <c r="E291" s="79">
        <f>ROUND(POWER((1-$E$4),B291-1)*VLOOKUP(D291,ĐiệnNăng_Input!$A$1:$C$12,2,0),0)</f>
        <v>124923</v>
      </c>
      <c r="F291" s="6">
        <f t="shared" si="36"/>
        <v>242870299.68000004</v>
      </c>
      <c r="G291" s="65">
        <f t="shared" si="37"/>
        <v>12143514.984000003</v>
      </c>
      <c r="H291" s="65" t="e">
        <f>VLOOKUP(C291,VayMB!$C$16:$G$1374,5,0)</f>
        <v>#N/A</v>
      </c>
      <c r="I291" s="65">
        <f t="shared" si="38"/>
        <v>230726784.69600004</v>
      </c>
      <c r="J291" s="110">
        <f>SUMIF($B$15:$B$314,"=24",$I$15:$I$314)</f>
        <v>2374507981.4720006</v>
      </c>
      <c r="K291" s="104">
        <f t="shared" ref="K291:L291" si="41">IF(J291&lt;0,1,0)</f>
        <v>0</v>
      </c>
      <c r="L291" s="104">
        <f>IF(AND(K291=0,K279=1),A291,0)</f>
        <v>0</v>
      </c>
    </row>
    <row r="292" spans="1:12" ht="23">
      <c r="A292" s="109"/>
      <c r="B292" s="8">
        <f t="shared" si="39"/>
        <v>24</v>
      </c>
      <c r="C292" s="4">
        <v>278</v>
      </c>
      <c r="D292" s="80" t="s">
        <v>4</v>
      </c>
      <c r="E292" s="79">
        <f>ROUND(POWER((1-$E$4),B292-1)*VLOOKUP(D292,ĐiệnNăng_Input!$A$1:$C$12,2,0),0)</f>
        <v>123807</v>
      </c>
      <c r="F292" s="6">
        <f t="shared" si="36"/>
        <v>240700617.12000003</v>
      </c>
      <c r="G292" s="65">
        <f t="shared" si="37"/>
        <v>12035030.856000002</v>
      </c>
      <c r="H292" s="65" t="e">
        <f>VLOOKUP(C292,VayMB!$C$16:$G$1374,5,0)</f>
        <v>#N/A</v>
      </c>
      <c r="I292" s="65">
        <f t="shared" si="38"/>
        <v>228665586.26400003</v>
      </c>
      <c r="J292" s="110"/>
      <c r="K292" s="105"/>
      <c r="L292" s="105"/>
    </row>
    <row r="293" spans="1:12" ht="23">
      <c r="A293" s="109"/>
      <c r="B293" s="8">
        <f t="shared" si="39"/>
        <v>24</v>
      </c>
      <c r="C293" s="4">
        <v>279</v>
      </c>
      <c r="D293" s="5" t="s">
        <v>5</v>
      </c>
      <c r="E293" s="79">
        <f>ROUND(POWER((1-$E$4),B293-1)*VLOOKUP(D293,ĐiệnNăng_Input!$A$1:$C$12,2,0),0)</f>
        <v>137103</v>
      </c>
      <c r="F293" s="6">
        <f t="shared" si="36"/>
        <v>266550168.48000005</v>
      </c>
      <c r="G293" s="65">
        <f t="shared" si="37"/>
        <v>13327508.424000002</v>
      </c>
      <c r="H293" s="65" t="e">
        <f>VLOOKUP(C293,VayMB!$C$16:$G$1374,5,0)</f>
        <v>#N/A</v>
      </c>
      <c r="I293" s="65">
        <f t="shared" si="38"/>
        <v>253222660.05600005</v>
      </c>
      <c r="J293" s="110"/>
      <c r="K293" s="105"/>
      <c r="L293" s="105"/>
    </row>
    <row r="294" spans="1:12" ht="23">
      <c r="A294" s="109"/>
      <c r="B294" s="8">
        <f t="shared" si="39"/>
        <v>24</v>
      </c>
      <c r="C294" s="4">
        <v>280</v>
      </c>
      <c r="D294" s="80" t="s">
        <v>6</v>
      </c>
      <c r="E294" s="79">
        <f>ROUND(POWER((1-$E$4),B294-1)*VLOOKUP(D294,ĐiệnNăng_Input!$A$1:$C$12,2,0),0)</f>
        <v>120730</v>
      </c>
      <c r="F294" s="6">
        <f t="shared" si="36"/>
        <v>234718436.80000004</v>
      </c>
      <c r="G294" s="65">
        <f t="shared" si="37"/>
        <v>11735921.840000004</v>
      </c>
      <c r="H294" s="65" t="e">
        <f>VLOOKUP(C294,VayMB!$C$16:$G$1374,5,0)</f>
        <v>#N/A</v>
      </c>
      <c r="I294" s="65">
        <f t="shared" si="38"/>
        <v>222982514.96000004</v>
      </c>
      <c r="J294" s="110"/>
      <c r="K294" s="105"/>
      <c r="L294" s="105"/>
    </row>
    <row r="295" spans="1:12" ht="23">
      <c r="A295" s="109"/>
      <c r="B295" s="8">
        <f t="shared" si="39"/>
        <v>24</v>
      </c>
      <c r="C295" s="4">
        <v>281</v>
      </c>
      <c r="D295" s="5" t="s">
        <v>7</v>
      </c>
      <c r="E295" s="79">
        <f>ROUND(POWER((1-$E$4),B295-1)*VLOOKUP(D295,ĐiệnNăng_Input!$A$1:$C$12,2,0),0)</f>
        <v>101497</v>
      </c>
      <c r="F295" s="6">
        <f t="shared" si="36"/>
        <v>197326407.52000004</v>
      </c>
      <c r="G295" s="65">
        <f t="shared" si="37"/>
        <v>9866320.376000002</v>
      </c>
      <c r="H295" s="65" t="e">
        <f>VLOOKUP(C295,VayMB!$C$16:$G$1374,5,0)</f>
        <v>#N/A</v>
      </c>
      <c r="I295" s="65">
        <f t="shared" si="38"/>
        <v>187460087.14400005</v>
      </c>
      <c r="J295" s="110"/>
      <c r="K295" s="105"/>
      <c r="L295" s="105"/>
    </row>
    <row r="296" spans="1:12" ht="23">
      <c r="A296" s="109"/>
      <c r="B296" s="8">
        <f t="shared" si="39"/>
        <v>24</v>
      </c>
      <c r="C296" s="4">
        <v>282</v>
      </c>
      <c r="D296" s="80" t="s">
        <v>8</v>
      </c>
      <c r="E296" s="79">
        <f>ROUND(POWER((1-$E$4),B296-1)*VLOOKUP(D296,ĐiệnNăng_Input!$A$1:$C$12,2,0),0)</f>
        <v>93131</v>
      </c>
      <c r="F296" s="6">
        <f t="shared" si="36"/>
        <v>181061564.96000004</v>
      </c>
      <c r="G296" s="65">
        <f t="shared" si="37"/>
        <v>9053078.2480000015</v>
      </c>
      <c r="H296" s="65" t="e">
        <f>VLOOKUP(C296,VayMB!$C$16:$G$1374,5,0)</f>
        <v>#N/A</v>
      </c>
      <c r="I296" s="65">
        <f t="shared" si="38"/>
        <v>172008486.71200004</v>
      </c>
      <c r="J296" s="110"/>
      <c r="K296" s="105"/>
      <c r="L296" s="105"/>
    </row>
    <row r="297" spans="1:12" ht="23">
      <c r="A297" s="109"/>
      <c r="B297" s="8">
        <f t="shared" si="39"/>
        <v>24</v>
      </c>
      <c r="C297" s="4">
        <v>283</v>
      </c>
      <c r="D297" s="5" t="s">
        <v>9</v>
      </c>
      <c r="E297" s="79">
        <f>ROUND(POWER((1-$E$4),B297-1)*VLOOKUP(D297,ĐiệnNăng_Input!$A$1:$C$12,2,0),0)</f>
        <v>92390</v>
      </c>
      <c r="F297" s="6">
        <f t="shared" si="36"/>
        <v>179620942.40000004</v>
      </c>
      <c r="G297" s="65">
        <f t="shared" si="37"/>
        <v>8981047.1200000029</v>
      </c>
      <c r="H297" s="65" t="e">
        <f>VLOOKUP(C297,VayMB!$C$16:$G$1374,5,0)</f>
        <v>#N/A</v>
      </c>
      <c r="I297" s="65">
        <f t="shared" si="38"/>
        <v>170639895.28000003</v>
      </c>
      <c r="J297" s="110"/>
      <c r="K297" s="105"/>
      <c r="L297" s="105"/>
    </row>
    <row r="298" spans="1:12" ht="23">
      <c r="A298" s="109"/>
      <c r="B298" s="8">
        <f t="shared" si="39"/>
        <v>24</v>
      </c>
      <c r="C298" s="4">
        <v>284</v>
      </c>
      <c r="D298" s="80" t="s">
        <v>10</v>
      </c>
      <c r="E298" s="79">
        <f>ROUND(POWER((1-$E$4),B298-1)*VLOOKUP(D298,ĐiệnNăng_Input!$A$1:$C$12,2,0),0)</f>
        <v>94468</v>
      </c>
      <c r="F298" s="6">
        <f t="shared" si="36"/>
        <v>183660906.88000003</v>
      </c>
      <c r="G298" s="65">
        <f t="shared" si="37"/>
        <v>9183045.3440000024</v>
      </c>
      <c r="H298" s="65" t="e">
        <f>VLOOKUP(C298,VayMB!$C$16:$G$1374,5,0)</f>
        <v>#N/A</v>
      </c>
      <c r="I298" s="65">
        <f t="shared" si="38"/>
        <v>174477861.53600001</v>
      </c>
      <c r="J298" s="110"/>
      <c r="K298" s="105"/>
      <c r="L298" s="105"/>
    </row>
    <row r="299" spans="1:12" ht="23">
      <c r="A299" s="109"/>
      <c r="B299" s="8">
        <f t="shared" si="39"/>
        <v>24</v>
      </c>
      <c r="C299" s="4">
        <v>285</v>
      </c>
      <c r="D299" s="5" t="s">
        <v>11</v>
      </c>
      <c r="E299" s="79">
        <f>ROUND(POWER((1-$E$4),B299-1)*VLOOKUP(D299,ĐiệnNăng_Input!$A$1:$C$12,2,0),0)</f>
        <v>98370</v>
      </c>
      <c r="F299" s="6">
        <f t="shared" si="36"/>
        <v>191247019.20000002</v>
      </c>
      <c r="G299" s="65">
        <f t="shared" si="37"/>
        <v>9562350.9600000009</v>
      </c>
      <c r="H299" s="65" t="e">
        <f>VLOOKUP(C299,VayMB!$C$16:$G$1374,5,0)</f>
        <v>#N/A</v>
      </c>
      <c r="I299" s="65">
        <f t="shared" si="38"/>
        <v>181684668.24000001</v>
      </c>
      <c r="J299" s="110"/>
      <c r="K299" s="105"/>
      <c r="L299" s="105"/>
    </row>
    <row r="300" spans="1:12" ht="23">
      <c r="A300" s="109"/>
      <c r="B300" s="8">
        <f t="shared" si="39"/>
        <v>24</v>
      </c>
      <c r="C300" s="4">
        <v>286</v>
      </c>
      <c r="D300" s="80" t="s">
        <v>12</v>
      </c>
      <c r="E300" s="79">
        <f>ROUND(POWER((1-$E$4),B300-1)*VLOOKUP(D300,ĐiệnNăng_Input!$A$1:$C$12,2,0),0)</f>
        <v>87738</v>
      </c>
      <c r="F300" s="6">
        <f t="shared" si="36"/>
        <v>170576710.08000001</v>
      </c>
      <c r="G300" s="65">
        <f t="shared" si="37"/>
        <v>8528835.5040000007</v>
      </c>
      <c r="H300" s="65" t="e">
        <f>VLOOKUP(C300,VayMB!$C$16:$G$1374,5,0)</f>
        <v>#N/A</v>
      </c>
      <c r="I300" s="65">
        <f t="shared" si="38"/>
        <v>162047874.57600001</v>
      </c>
      <c r="J300" s="110"/>
      <c r="K300" s="105"/>
      <c r="L300" s="105"/>
    </row>
    <row r="301" spans="1:12" ht="23">
      <c r="A301" s="109"/>
      <c r="B301" s="8">
        <f t="shared" si="39"/>
        <v>24</v>
      </c>
      <c r="C301" s="4">
        <v>287</v>
      </c>
      <c r="D301" s="5" t="s">
        <v>13</v>
      </c>
      <c r="E301" s="79">
        <f>ROUND(POWER((1-$E$4),B301-1)*VLOOKUP(D301,ĐiệnNăng_Input!$A$1:$C$12,2,0),0)</f>
        <v>106724</v>
      </c>
      <c r="F301" s="6">
        <f t="shared" si="36"/>
        <v>207488531.84000003</v>
      </c>
      <c r="G301" s="65">
        <f t="shared" si="37"/>
        <v>10374426.592000002</v>
      </c>
      <c r="H301" s="65" t="e">
        <f>VLOOKUP(C301,VayMB!$C$16:$G$1374,5,0)</f>
        <v>#N/A</v>
      </c>
      <c r="I301" s="65">
        <f t="shared" si="38"/>
        <v>197114105.24800003</v>
      </c>
      <c r="J301" s="110"/>
      <c r="K301" s="105"/>
      <c r="L301" s="105"/>
    </row>
    <row r="302" spans="1:12" ht="24" thickBot="1">
      <c r="A302" s="109"/>
      <c r="B302" s="8">
        <f t="shared" si="39"/>
        <v>24</v>
      </c>
      <c r="C302" s="4">
        <v>288</v>
      </c>
      <c r="D302" s="80" t="s">
        <v>14</v>
      </c>
      <c r="E302" s="79">
        <f>ROUND(POWER((1-$E$4),B302-1)*VLOOKUP(D302,ĐiệnNăng_Input!$A$1:$C$12,2,0),0)</f>
        <v>104755</v>
      </c>
      <c r="F302" s="6">
        <f t="shared" si="36"/>
        <v>203660480.80000004</v>
      </c>
      <c r="G302" s="65">
        <f t="shared" si="37"/>
        <v>10183024.040000003</v>
      </c>
      <c r="H302" s="65" t="e">
        <f>VLOOKUP(C302,VayMB!$C$16:$G$1374,5,0)</f>
        <v>#N/A</v>
      </c>
      <c r="I302" s="65">
        <f t="shared" si="38"/>
        <v>193477456.76000005</v>
      </c>
      <c r="J302" s="110"/>
      <c r="K302" s="106"/>
      <c r="L302" s="106"/>
    </row>
    <row r="303" spans="1:12" ht="23">
      <c r="A303" s="107">
        <v>25</v>
      </c>
      <c r="B303" s="8">
        <f t="shared" si="39"/>
        <v>25</v>
      </c>
      <c r="C303" s="4">
        <v>289</v>
      </c>
      <c r="D303" s="5" t="s">
        <v>3</v>
      </c>
      <c r="E303" s="79">
        <f>ROUND(POWER((1-$E$4),B303-1)*VLOOKUP(D303,ĐiệnNăng_Input!$A$1:$C$12,2,0),0)</f>
        <v>124298</v>
      </c>
      <c r="F303" s="6">
        <f t="shared" si="36"/>
        <v>241655199.68000004</v>
      </c>
      <c r="G303" s="65">
        <f t="shared" si="37"/>
        <v>12082759.984000003</v>
      </c>
      <c r="H303" s="65" t="e">
        <f>VLOOKUP(C303,VayMB!$C$16:$G$1374,5,0)</f>
        <v>#N/A</v>
      </c>
      <c r="I303" s="65">
        <f t="shared" si="38"/>
        <v>229572439.69600004</v>
      </c>
      <c r="J303" s="110">
        <f>SUMIF($B$15:$B$314,"=25",$I$15:$I$314)</f>
        <v>2362633927.0640001</v>
      </c>
      <c r="K303" s="104">
        <f t="shared" ref="K303:L303" si="42">IF(J303&lt;0,1,0)</f>
        <v>0</v>
      </c>
      <c r="L303" s="104">
        <f>IF(AND(K303=0,K291=1),A303,0)</f>
        <v>0</v>
      </c>
    </row>
    <row r="304" spans="1:12" ht="23">
      <c r="A304" s="107"/>
      <c r="B304" s="8">
        <f t="shared" si="39"/>
        <v>25</v>
      </c>
      <c r="C304" s="4">
        <v>290</v>
      </c>
      <c r="D304" s="80" t="s">
        <v>4</v>
      </c>
      <c r="E304" s="79">
        <f>ROUND(POWER((1-$E$4),B304-1)*VLOOKUP(D304,ĐiệnNăng_Input!$A$1:$C$12,2,0),0)</f>
        <v>123188</v>
      </c>
      <c r="F304" s="6">
        <f t="shared" si="36"/>
        <v>239497182.08000004</v>
      </c>
      <c r="G304" s="65">
        <f t="shared" si="37"/>
        <v>11974859.104000002</v>
      </c>
      <c r="H304" s="65" t="e">
        <f>VLOOKUP(C304,VayMB!$C$16:$G$1374,5,0)</f>
        <v>#N/A</v>
      </c>
      <c r="I304" s="65">
        <f t="shared" si="38"/>
        <v>227522322.97600004</v>
      </c>
      <c r="J304" s="110"/>
      <c r="K304" s="105"/>
      <c r="L304" s="105"/>
    </row>
    <row r="305" spans="1:12" ht="23">
      <c r="A305" s="107"/>
      <c r="B305" s="8">
        <f t="shared" si="39"/>
        <v>25</v>
      </c>
      <c r="C305" s="4">
        <v>291</v>
      </c>
      <c r="D305" s="5" t="s">
        <v>5</v>
      </c>
      <c r="E305" s="79">
        <f>ROUND(POWER((1-$E$4),B305-1)*VLOOKUP(D305,ĐiệnNăng_Input!$A$1:$C$12,2,0),0)</f>
        <v>136418</v>
      </c>
      <c r="F305" s="6">
        <f t="shared" si="36"/>
        <v>265218418.88000005</v>
      </c>
      <c r="G305" s="65">
        <f t="shared" si="37"/>
        <v>13260920.944000004</v>
      </c>
      <c r="H305" s="65" t="e">
        <f>VLOOKUP(C305,VayMB!$C$16:$G$1374,5,0)</f>
        <v>#N/A</v>
      </c>
      <c r="I305" s="65">
        <f t="shared" si="38"/>
        <v>251957497.93600005</v>
      </c>
      <c r="J305" s="110"/>
      <c r="K305" s="105"/>
      <c r="L305" s="105"/>
    </row>
    <row r="306" spans="1:12" ht="23">
      <c r="A306" s="107"/>
      <c r="B306" s="8">
        <f t="shared" si="39"/>
        <v>25</v>
      </c>
      <c r="C306" s="4">
        <v>292</v>
      </c>
      <c r="D306" s="80" t="s">
        <v>6</v>
      </c>
      <c r="E306" s="79">
        <f>ROUND(POWER((1-$E$4),B306-1)*VLOOKUP(D306,ĐiệnNăng_Input!$A$1:$C$12,2,0),0)</f>
        <v>120126</v>
      </c>
      <c r="F306" s="6">
        <f t="shared" si="36"/>
        <v>233544164.16000003</v>
      </c>
      <c r="G306" s="65">
        <f t="shared" si="37"/>
        <v>11677208.208000002</v>
      </c>
      <c r="H306" s="65" t="e">
        <f>VLOOKUP(C306,VayMB!$C$16:$G$1374,5,0)</f>
        <v>#N/A</v>
      </c>
      <c r="I306" s="65">
        <f t="shared" si="38"/>
        <v>221866955.95200002</v>
      </c>
      <c r="J306" s="110"/>
      <c r="K306" s="105"/>
      <c r="L306" s="105"/>
    </row>
    <row r="307" spans="1:12" ht="23">
      <c r="A307" s="107"/>
      <c r="B307" s="8">
        <f t="shared" si="39"/>
        <v>25</v>
      </c>
      <c r="C307" s="4">
        <v>293</v>
      </c>
      <c r="D307" s="5" t="s">
        <v>7</v>
      </c>
      <c r="E307" s="79">
        <f>ROUND(POWER((1-$E$4),B307-1)*VLOOKUP(D307,ĐiệnNăng_Input!$A$1:$C$12,2,0),0)</f>
        <v>100989</v>
      </c>
      <c r="F307" s="6">
        <f t="shared" si="36"/>
        <v>196338774.24000004</v>
      </c>
      <c r="G307" s="65">
        <f t="shared" si="37"/>
        <v>9816938.7120000031</v>
      </c>
      <c r="H307" s="65" t="e">
        <f>VLOOKUP(C307,VayMB!$C$16:$G$1374,5,0)</f>
        <v>#N/A</v>
      </c>
      <c r="I307" s="65">
        <f t="shared" si="38"/>
        <v>186521835.52800003</v>
      </c>
      <c r="J307" s="110"/>
      <c r="K307" s="105"/>
      <c r="L307" s="105"/>
    </row>
    <row r="308" spans="1:12" ht="23">
      <c r="A308" s="107"/>
      <c r="B308" s="8">
        <f t="shared" si="39"/>
        <v>25</v>
      </c>
      <c r="C308" s="4">
        <v>294</v>
      </c>
      <c r="D308" s="80" t="s">
        <v>8</v>
      </c>
      <c r="E308" s="79">
        <f>ROUND(POWER((1-$E$4),B308-1)*VLOOKUP(D308,ĐiệnNăng_Input!$A$1:$C$12,2,0),0)</f>
        <v>92666</v>
      </c>
      <c r="F308" s="6">
        <f t="shared" si="36"/>
        <v>180157530.56000003</v>
      </c>
      <c r="G308" s="65">
        <f t="shared" si="37"/>
        <v>9007876.5280000027</v>
      </c>
      <c r="H308" s="65" t="e">
        <f>VLOOKUP(C308,VayMB!$C$16:$G$1374,5,0)</f>
        <v>#N/A</v>
      </c>
      <c r="I308" s="65">
        <f t="shared" si="38"/>
        <v>171149654.03200004</v>
      </c>
      <c r="J308" s="110"/>
      <c r="K308" s="105"/>
      <c r="L308" s="105"/>
    </row>
    <row r="309" spans="1:12" ht="23">
      <c r="A309" s="107"/>
      <c r="B309" s="8">
        <f t="shared" si="39"/>
        <v>25</v>
      </c>
      <c r="C309" s="4">
        <v>295</v>
      </c>
      <c r="D309" s="5" t="s">
        <v>9</v>
      </c>
      <c r="E309" s="79">
        <f>ROUND(POWER((1-$E$4),B309-1)*VLOOKUP(D309,ĐiệnNăng_Input!$A$1:$C$12,2,0),0)</f>
        <v>91928</v>
      </c>
      <c r="F309" s="6">
        <f t="shared" si="36"/>
        <v>178722740.48000002</v>
      </c>
      <c r="G309" s="65">
        <f t="shared" si="37"/>
        <v>8936137.0240000021</v>
      </c>
      <c r="H309" s="65" t="e">
        <f>VLOOKUP(C309,VayMB!$C$16:$G$1374,5,0)</f>
        <v>#N/A</v>
      </c>
      <c r="I309" s="65">
        <f t="shared" si="38"/>
        <v>169786603.45600003</v>
      </c>
      <c r="J309" s="110"/>
      <c r="K309" s="105"/>
      <c r="L309" s="105"/>
    </row>
    <row r="310" spans="1:12" ht="23">
      <c r="A310" s="107"/>
      <c r="B310" s="8">
        <f t="shared" si="39"/>
        <v>25</v>
      </c>
      <c r="C310" s="4">
        <v>296</v>
      </c>
      <c r="D310" s="80" t="s">
        <v>10</v>
      </c>
      <c r="E310" s="79">
        <f>ROUND(POWER((1-$E$4),B310-1)*VLOOKUP(D310,ĐiệnNăng_Input!$A$1:$C$12,2,0),0)</f>
        <v>93996</v>
      </c>
      <c r="F310" s="6">
        <f t="shared" si="36"/>
        <v>182743263.36000001</v>
      </c>
      <c r="G310" s="65">
        <f t="shared" si="37"/>
        <v>9137163.1680000015</v>
      </c>
      <c r="H310" s="65" t="e">
        <f>VLOOKUP(C310,VayMB!$C$16:$G$1374,5,0)</f>
        <v>#N/A</v>
      </c>
      <c r="I310" s="65">
        <f t="shared" si="38"/>
        <v>173606100.192</v>
      </c>
      <c r="J310" s="110"/>
      <c r="K310" s="105"/>
      <c r="L310" s="105"/>
    </row>
    <row r="311" spans="1:12" ht="23">
      <c r="A311" s="107"/>
      <c r="B311" s="8">
        <f t="shared" si="39"/>
        <v>25</v>
      </c>
      <c r="C311" s="4">
        <v>297</v>
      </c>
      <c r="D311" s="5" t="s">
        <v>11</v>
      </c>
      <c r="E311" s="79">
        <f>ROUND(POWER((1-$E$4),B311-1)*VLOOKUP(D311,ĐiệnNăng_Input!$A$1:$C$12,2,0),0)</f>
        <v>97878</v>
      </c>
      <c r="F311" s="6">
        <f t="shared" si="36"/>
        <v>190290492.48000002</v>
      </c>
      <c r="G311" s="65">
        <f t="shared" si="37"/>
        <v>9514524.6240000017</v>
      </c>
      <c r="H311" s="65" t="e">
        <f>VLOOKUP(C311,VayMB!$C$16:$G$1374,5,0)</f>
        <v>#N/A</v>
      </c>
      <c r="I311" s="65">
        <f t="shared" si="38"/>
        <v>180775967.85600001</v>
      </c>
      <c r="J311" s="110"/>
      <c r="K311" s="105"/>
      <c r="L311" s="105"/>
    </row>
    <row r="312" spans="1:12" ht="23">
      <c r="A312" s="107"/>
      <c r="B312" s="8">
        <f t="shared" si="39"/>
        <v>25</v>
      </c>
      <c r="C312" s="4">
        <v>298</v>
      </c>
      <c r="D312" s="80" t="s">
        <v>12</v>
      </c>
      <c r="E312" s="79">
        <f>ROUND(POWER((1-$E$4),B312-1)*VLOOKUP(D312,ĐiệnNăng_Input!$A$1:$C$12,2,0),0)</f>
        <v>87299</v>
      </c>
      <c r="F312" s="6">
        <f t="shared" si="36"/>
        <v>169723223.84000003</v>
      </c>
      <c r="G312" s="65">
        <f t="shared" si="37"/>
        <v>8486161.1920000017</v>
      </c>
      <c r="H312" s="65" t="e">
        <f>VLOOKUP(C312,VayMB!$C$16:$G$1374,5,0)</f>
        <v>#N/A</v>
      </c>
      <c r="I312" s="65">
        <f t="shared" si="38"/>
        <v>161237062.64800003</v>
      </c>
      <c r="J312" s="110"/>
      <c r="K312" s="105"/>
      <c r="L312" s="105"/>
    </row>
    <row r="313" spans="1:12" ht="23">
      <c r="A313" s="107"/>
      <c r="B313" s="8">
        <f t="shared" si="39"/>
        <v>25</v>
      </c>
      <c r="C313" s="4">
        <v>299</v>
      </c>
      <c r="D313" s="5" t="s">
        <v>13</v>
      </c>
      <c r="E313" s="79">
        <f>ROUND(POWER((1-$E$4),B313-1)*VLOOKUP(D313,ĐiệnNăng_Input!$A$1:$C$12,2,0),0)</f>
        <v>106190</v>
      </c>
      <c r="F313" s="6">
        <f t="shared" si="36"/>
        <v>206450350.40000004</v>
      </c>
      <c r="G313" s="65">
        <f t="shared" si="37"/>
        <v>10322517.520000003</v>
      </c>
      <c r="H313" s="65" t="e">
        <f>VLOOKUP(C313,VayMB!$C$16:$G$1374,5,0)</f>
        <v>#N/A</v>
      </c>
      <c r="I313" s="65">
        <f t="shared" si="38"/>
        <v>196127832.88000003</v>
      </c>
      <c r="J313" s="110"/>
      <c r="K313" s="105"/>
      <c r="L313" s="105"/>
    </row>
    <row r="314" spans="1:12" ht="24" thickBot="1">
      <c r="A314" s="107"/>
      <c r="B314" s="8">
        <f t="shared" si="39"/>
        <v>25</v>
      </c>
      <c r="C314" s="4">
        <v>300</v>
      </c>
      <c r="D314" s="80" t="s">
        <v>14</v>
      </c>
      <c r="E314" s="79">
        <f>ROUND(POWER((1-$E$4),B314-1)*VLOOKUP(D314,ĐiệnNăng_Input!$A$1:$C$12,2,0),0)</f>
        <v>104231</v>
      </c>
      <c r="F314" s="6">
        <f t="shared" si="36"/>
        <v>202641740.96000004</v>
      </c>
      <c r="G314" s="65">
        <f t="shared" si="37"/>
        <v>10132087.048000002</v>
      </c>
      <c r="H314" s="65" t="e">
        <f>VLOOKUP(C314,VayMB!$C$16:$G$1374,5,0)</f>
        <v>#N/A</v>
      </c>
      <c r="I314" s="65">
        <f t="shared" si="38"/>
        <v>192509653.91200003</v>
      </c>
      <c r="J314" s="110"/>
      <c r="K314" s="106"/>
      <c r="L314" s="106"/>
    </row>
    <row r="315" spans="1:12">
      <c r="J315" s="94"/>
    </row>
    <row r="316" spans="1:12">
      <c r="J316" s="94"/>
    </row>
    <row r="317" spans="1:12">
      <c r="J317" s="94"/>
    </row>
    <row r="318" spans="1:12">
      <c r="J318" s="94"/>
    </row>
    <row r="319" spans="1:12">
      <c r="J319" s="94"/>
    </row>
    <row r="320" spans="1:12">
      <c r="J320" s="94"/>
    </row>
    <row r="321" spans="10:10">
      <c r="J321" s="94"/>
    </row>
    <row r="322" spans="10:10">
      <c r="J322" s="94"/>
    </row>
    <row r="323" spans="10:10">
      <c r="J323" s="94"/>
    </row>
    <row r="324" spans="10:10">
      <c r="J324" s="94"/>
    </row>
    <row r="325" spans="10:10">
      <c r="J325" s="94"/>
    </row>
    <row r="326" spans="10:10">
      <c r="J326" s="94"/>
    </row>
  </sheetData>
  <mergeCells count="109">
    <mergeCell ref="L255:L266"/>
    <mergeCell ref="L267:L278"/>
    <mergeCell ref="L279:L290"/>
    <mergeCell ref="L291:L302"/>
    <mergeCell ref="L303:L314"/>
    <mergeCell ref="L195:L206"/>
    <mergeCell ref="L207:L218"/>
    <mergeCell ref="L219:L230"/>
    <mergeCell ref="L231:L242"/>
    <mergeCell ref="L243:L254"/>
    <mergeCell ref="L135:L146"/>
    <mergeCell ref="L147:L158"/>
    <mergeCell ref="L159:L170"/>
    <mergeCell ref="L171:L182"/>
    <mergeCell ref="L183:L194"/>
    <mergeCell ref="L75:L86"/>
    <mergeCell ref="L87:L98"/>
    <mergeCell ref="L99:L110"/>
    <mergeCell ref="L111:L122"/>
    <mergeCell ref="L123:L134"/>
    <mergeCell ref="L15:L26"/>
    <mergeCell ref="L27:L38"/>
    <mergeCell ref="L39:L50"/>
    <mergeCell ref="L51:L62"/>
    <mergeCell ref="L63:L74"/>
    <mergeCell ref="A3:D3"/>
    <mergeCell ref="A123:A134"/>
    <mergeCell ref="D13:D14"/>
    <mergeCell ref="A13:A14"/>
    <mergeCell ref="A15:A26"/>
    <mergeCell ref="A27:A38"/>
    <mergeCell ref="A39:A50"/>
    <mergeCell ref="A51:A62"/>
    <mergeCell ref="A63:A74"/>
    <mergeCell ref="A75:A86"/>
    <mergeCell ref="A87:A98"/>
    <mergeCell ref="A99:A110"/>
    <mergeCell ref="A111:A122"/>
    <mergeCell ref="C13:C14"/>
    <mergeCell ref="A12:D12"/>
    <mergeCell ref="A9:D9"/>
    <mergeCell ref="A279:A290"/>
    <mergeCell ref="A291:A302"/>
    <mergeCell ref="A303:A314"/>
    <mergeCell ref="A207:A218"/>
    <mergeCell ref="A219:A230"/>
    <mergeCell ref="A231:A242"/>
    <mergeCell ref="A243:A254"/>
    <mergeCell ref="A255:A266"/>
    <mergeCell ref="A267:A278"/>
    <mergeCell ref="J159:J170"/>
    <mergeCell ref="J171:J182"/>
    <mergeCell ref="J183:J194"/>
    <mergeCell ref="A135:A146"/>
    <mergeCell ref="A147:A158"/>
    <mergeCell ref="A159:A170"/>
    <mergeCell ref="A171:A182"/>
    <mergeCell ref="A183:A194"/>
    <mergeCell ref="J99:J110"/>
    <mergeCell ref="J111:J122"/>
    <mergeCell ref="J123:J134"/>
    <mergeCell ref="J135:J146"/>
    <mergeCell ref="J147:J158"/>
    <mergeCell ref="J291:J302"/>
    <mergeCell ref="J303:J314"/>
    <mergeCell ref="J195:J206"/>
    <mergeCell ref="J207:J218"/>
    <mergeCell ref="J219:J230"/>
    <mergeCell ref="J231:J242"/>
    <mergeCell ref="J243:J254"/>
    <mergeCell ref="J315:J326"/>
    <mergeCell ref="K15:K26"/>
    <mergeCell ref="K27:K38"/>
    <mergeCell ref="K39:K50"/>
    <mergeCell ref="K51:K62"/>
    <mergeCell ref="K63:K74"/>
    <mergeCell ref="K75:K86"/>
    <mergeCell ref="K87:K98"/>
    <mergeCell ref="K99:K110"/>
    <mergeCell ref="K111:K122"/>
    <mergeCell ref="K123:K134"/>
    <mergeCell ref="K135:K146"/>
    <mergeCell ref="K147:K158"/>
    <mergeCell ref="K159:K170"/>
    <mergeCell ref="K171:K182"/>
    <mergeCell ref="K183:K194"/>
    <mergeCell ref="K291:K302"/>
    <mergeCell ref="K303:K314"/>
    <mergeCell ref="K195:K206"/>
    <mergeCell ref="K207:K218"/>
    <mergeCell ref="K219:K230"/>
    <mergeCell ref="K231:K242"/>
    <mergeCell ref="K243:K254"/>
    <mergeCell ref="A10:D10"/>
    <mergeCell ref="A11:D11"/>
    <mergeCell ref="K255:K266"/>
    <mergeCell ref="K267:K278"/>
    <mergeCell ref="K279:K290"/>
    <mergeCell ref="J255:J266"/>
    <mergeCell ref="J267:J278"/>
    <mergeCell ref="J279:J290"/>
    <mergeCell ref="A195:A206"/>
    <mergeCell ref="J15:J26"/>
    <mergeCell ref="J27:J38"/>
    <mergeCell ref="J39:J50"/>
    <mergeCell ref="J51:J62"/>
    <mergeCell ref="J63:J74"/>
    <mergeCell ref="J75:J86"/>
    <mergeCell ref="J87:J98"/>
  </mergeCells>
  <pageMargins left="0.7" right="0.7" top="0.75" bottom="0.75" header="0.3" footer="0.3"/>
  <pageSetup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40DD3B0-953D-A144-801E-36597EC98FF3}">
          <x14:formula1>
            <xm:f>PARAMETER!$A$2:$A$4</xm:f>
          </x14:formula1>
          <xm:sqref>E5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9DC283-DB00-4E8F-BA7F-75C256FA4DB0}">
  <dimension ref="A1:F13"/>
  <sheetViews>
    <sheetView workbookViewId="0">
      <selection activeCell="G18" sqref="G18"/>
    </sheetView>
  </sheetViews>
  <sheetFormatPr baseColWidth="10" defaultColWidth="8.83203125" defaultRowHeight="15"/>
  <cols>
    <col min="2" max="2" width="10.33203125" customWidth="1"/>
    <col min="3" max="3" width="10" customWidth="1"/>
  </cols>
  <sheetData>
    <row r="1" spans="1:6" ht="17">
      <c r="A1" s="1" t="s">
        <v>3</v>
      </c>
      <c r="B1" s="10">
        <f>(CALCULATION!$E$2*PARAMETER!$B$2)*CALCULATION!$E$3*C1*D1/(365*24)</f>
        <v>140188.04512419103</v>
      </c>
      <c r="C1">
        <v>31</v>
      </c>
      <c r="D1">
        <v>4.2020633999502586</v>
      </c>
      <c r="E1">
        <f>D1*1.2</f>
        <v>5.0424760799403101</v>
      </c>
      <c r="F1" s="10"/>
    </row>
    <row r="2" spans="1:6" ht="17">
      <c r="A2" s="2" t="s">
        <v>4</v>
      </c>
      <c r="B2" s="10">
        <f>(CALCULATION!$E$2*PARAMETER!$B$2)*CALCULATION!$E$3*C2*D2/(365*24)</f>
        <v>138935.77261016952</v>
      </c>
      <c r="C2">
        <v>28</v>
      </c>
      <c r="D2">
        <v>4.6107265270184676</v>
      </c>
      <c r="E2">
        <f t="shared" ref="E2:E12" si="0">D2*1.2</f>
        <v>5.5328718324221606</v>
      </c>
      <c r="F2" s="10"/>
    </row>
    <row r="3" spans="1:6" ht="17">
      <c r="A3" s="1" t="s">
        <v>5</v>
      </c>
      <c r="B3" s="10">
        <f>(CALCULATION!$E$2*PARAMETER!$B$2)*CALCULATION!$E$3*C3*D3/(365*24)</f>
        <v>153857.03979661016</v>
      </c>
      <c r="C3">
        <v>31</v>
      </c>
      <c r="D3">
        <v>4.6117843727778896</v>
      </c>
      <c r="E3">
        <f t="shared" si="0"/>
        <v>5.5341412473334675</v>
      </c>
      <c r="F3" s="10"/>
    </row>
    <row r="4" spans="1:6" ht="17">
      <c r="A4" s="2" t="s">
        <v>6</v>
      </c>
      <c r="B4" s="10">
        <f>(CALCULATION!$E$2*PARAMETER!$B$2)*CALCULATION!$E$3*C4*D4/(365*24)</f>
        <v>135482.59072788907</v>
      </c>
      <c r="C4">
        <v>30</v>
      </c>
      <c r="D4">
        <v>4.1963871919407909</v>
      </c>
      <c r="E4">
        <f t="shared" si="0"/>
        <v>5.0356646303289487</v>
      </c>
      <c r="F4" s="10"/>
    </row>
    <row r="5" spans="1:6" ht="17">
      <c r="A5" s="1" t="s">
        <v>7</v>
      </c>
      <c r="B5" s="10">
        <f>(CALCULATION!$E$2*PARAMETER!$B$2)*CALCULATION!$E$3*C5*D5/(365*24)</f>
        <v>113899.30563328198</v>
      </c>
      <c r="C5">
        <v>31</v>
      </c>
      <c r="D5">
        <v>3.4140721704005879</v>
      </c>
      <c r="E5">
        <f t="shared" si="0"/>
        <v>4.0968866044807051</v>
      </c>
      <c r="F5" s="10"/>
    </row>
    <row r="6" spans="1:6" ht="17">
      <c r="A6" s="2" t="s">
        <v>8</v>
      </c>
      <c r="B6" s="10">
        <f>(CALCULATION!$E$2*PARAMETER!$B$2)*CALCULATION!$E$3*C6*D6/(365*24)</f>
        <v>104511.75342989215</v>
      </c>
      <c r="C6">
        <v>30</v>
      </c>
      <c r="D6">
        <v>3.237108038340704</v>
      </c>
      <c r="E6">
        <f t="shared" si="0"/>
        <v>3.8845296460088448</v>
      </c>
      <c r="F6" s="10"/>
    </row>
    <row r="7" spans="1:6" ht="17">
      <c r="A7" s="1" t="s">
        <v>9</v>
      </c>
      <c r="B7" s="10">
        <f>(CALCULATION!$E$2*PARAMETER!$B$2)*CALCULATION!$E$3*C7*D7/(365*24)</f>
        <v>103679.89952172575</v>
      </c>
      <c r="C7">
        <v>31</v>
      </c>
      <c r="D7">
        <v>3.1077508121666808</v>
      </c>
      <c r="E7">
        <f t="shared" si="0"/>
        <v>3.729300974600017</v>
      </c>
      <c r="F7" s="10"/>
    </row>
    <row r="8" spans="1:6" ht="17">
      <c r="A8" s="2" t="s">
        <v>10</v>
      </c>
      <c r="B8" s="10">
        <f>(CALCULATION!$E$2*PARAMETER!$B$2)*CALCULATION!$E$3*C8*D8/(365*24)</f>
        <v>106011.96512172573</v>
      </c>
      <c r="C8">
        <v>31</v>
      </c>
      <c r="D8">
        <v>3.1776532599493126</v>
      </c>
      <c r="E8">
        <f t="shared" si="0"/>
        <v>3.8131839119391748</v>
      </c>
      <c r="F8" s="10"/>
    </row>
    <row r="9" spans="1:6" ht="17">
      <c r="A9" s="1" t="s">
        <v>11</v>
      </c>
      <c r="B9" s="10">
        <f>(CALCULATION!$E$2*PARAMETER!$B$2)*CALCULATION!$E$3*C9*D9/(365*24)</f>
        <v>110390.4272690293</v>
      </c>
      <c r="C9">
        <v>30</v>
      </c>
      <c r="D9">
        <v>3.4191918874287355</v>
      </c>
      <c r="E9">
        <f t="shared" si="0"/>
        <v>4.1030302649144827</v>
      </c>
      <c r="F9" s="10"/>
    </row>
    <row r="10" spans="1:6" ht="34">
      <c r="A10" s="2" t="s">
        <v>12</v>
      </c>
      <c r="B10" s="10">
        <f>(CALCULATION!$E$2*PARAMETER!$B$2)*CALCULATION!$E$3*C10*D10/(365*24)</f>
        <v>98458.803502003095</v>
      </c>
      <c r="C10">
        <v>31</v>
      </c>
      <c r="D10">
        <v>2.9512511871618048</v>
      </c>
      <c r="E10">
        <f t="shared" si="0"/>
        <v>3.5415014245941658</v>
      </c>
      <c r="F10" s="10"/>
    </row>
    <row r="11" spans="1:6" ht="34">
      <c r="A11" s="1" t="s">
        <v>13</v>
      </c>
      <c r="B11" s="10">
        <f>(CALCULATION!$E$2*PARAMETER!$B$2)*CALCULATION!$E$3*C11*D11/(365*24)</f>
        <v>119765.40284745763</v>
      </c>
      <c r="C11">
        <v>30</v>
      </c>
      <c r="D11">
        <v>3.7095688814817143</v>
      </c>
      <c r="E11">
        <f t="shared" si="0"/>
        <v>4.4514826577780573</v>
      </c>
      <c r="F11" s="10"/>
    </row>
    <row r="12" spans="1:6" ht="34">
      <c r="A12" s="2" t="s">
        <v>14</v>
      </c>
      <c r="B12" s="10">
        <f>(CALCULATION!$E$2*PARAMETER!$B$2)*CALCULATION!$E$3*C12*D12/(365*24)</f>
        <v>117555.51017565487</v>
      </c>
      <c r="C12">
        <v>31</v>
      </c>
      <c r="D12">
        <v>3.5236649910767484</v>
      </c>
      <c r="E12">
        <f t="shared" si="0"/>
        <v>4.2283979892920982</v>
      </c>
      <c r="F12" s="10"/>
    </row>
    <row r="13" spans="1:6">
      <c r="E13">
        <f>AVERAGE(E1:E12)</f>
        <v>4.4161222719693694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653CE-39C1-4549-9B55-576F68A5DC3B}">
  <dimension ref="A1:P156"/>
  <sheetViews>
    <sheetView topLeftCell="A16" workbookViewId="0">
      <selection activeCell="D9" sqref="D9"/>
    </sheetView>
  </sheetViews>
  <sheetFormatPr baseColWidth="10" defaultColWidth="8.83203125" defaultRowHeight="13"/>
  <cols>
    <col min="1" max="1" width="1.5" style="13" customWidth="1"/>
    <col min="2" max="2" width="13.6640625" style="12" customWidth="1"/>
    <col min="3" max="3" width="11.5" style="13" customWidth="1"/>
    <col min="4" max="4" width="18.6640625" style="13" bestFit="1" customWidth="1"/>
    <col min="5" max="5" width="16.33203125" style="13" customWidth="1"/>
    <col min="6" max="6" width="14.5" style="14" customWidth="1"/>
    <col min="7" max="7" width="14.1640625" style="13" customWidth="1"/>
    <col min="8" max="8" width="5.5" style="13" hidden="1" customWidth="1"/>
    <col min="9" max="9" width="19" style="13" hidden="1" customWidth="1"/>
    <col min="10" max="10" width="16.1640625" style="13" bestFit="1" customWidth="1"/>
    <col min="11" max="11" width="16.83203125" style="13" customWidth="1"/>
    <col min="12" max="12" width="17" style="13" customWidth="1"/>
    <col min="13" max="13" width="9.1640625" style="13"/>
    <col min="14" max="14" width="15.6640625" style="13" hidden="1" customWidth="1"/>
    <col min="15" max="15" width="13.1640625" style="13" hidden="1" customWidth="1"/>
    <col min="16" max="256" width="9.1640625" style="13"/>
    <col min="257" max="257" width="1.5" style="13" customWidth="1"/>
    <col min="258" max="258" width="13.6640625" style="13" customWidth="1"/>
    <col min="259" max="259" width="11.5" style="13" customWidth="1"/>
    <col min="260" max="260" width="18.6640625" style="13" bestFit="1" customWidth="1"/>
    <col min="261" max="261" width="16.33203125" style="13" customWidth="1"/>
    <col min="262" max="262" width="14.5" style="13" customWidth="1"/>
    <col min="263" max="263" width="14.1640625" style="13" customWidth="1"/>
    <col min="264" max="265" width="0" style="13" hidden="1" customWidth="1"/>
    <col min="266" max="266" width="16.1640625" style="13" bestFit="1" customWidth="1"/>
    <col min="267" max="267" width="16.83203125" style="13" customWidth="1"/>
    <col min="268" max="268" width="17" style="13" customWidth="1"/>
    <col min="269" max="269" width="9.1640625" style="13"/>
    <col min="270" max="271" width="0" style="13" hidden="1" customWidth="1"/>
    <col min="272" max="512" width="9.1640625" style="13"/>
    <col min="513" max="513" width="1.5" style="13" customWidth="1"/>
    <col min="514" max="514" width="13.6640625" style="13" customWidth="1"/>
    <col min="515" max="515" width="11.5" style="13" customWidth="1"/>
    <col min="516" max="516" width="18.6640625" style="13" bestFit="1" customWidth="1"/>
    <col min="517" max="517" width="16.33203125" style="13" customWidth="1"/>
    <col min="518" max="518" width="14.5" style="13" customWidth="1"/>
    <col min="519" max="519" width="14.1640625" style="13" customWidth="1"/>
    <col min="520" max="521" width="0" style="13" hidden="1" customWidth="1"/>
    <col min="522" max="522" width="16.1640625" style="13" bestFit="1" customWidth="1"/>
    <col min="523" max="523" width="16.83203125" style="13" customWidth="1"/>
    <col min="524" max="524" width="17" style="13" customWidth="1"/>
    <col min="525" max="525" width="9.1640625" style="13"/>
    <col min="526" max="527" width="0" style="13" hidden="1" customWidth="1"/>
    <col min="528" max="768" width="9.1640625" style="13"/>
    <col min="769" max="769" width="1.5" style="13" customWidth="1"/>
    <col min="770" max="770" width="13.6640625" style="13" customWidth="1"/>
    <col min="771" max="771" width="11.5" style="13" customWidth="1"/>
    <col min="772" max="772" width="18.6640625" style="13" bestFit="1" customWidth="1"/>
    <col min="773" max="773" width="16.33203125" style="13" customWidth="1"/>
    <col min="774" max="774" width="14.5" style="13" customWidth="1"/>
    <col min="775" max="775" width="14.1640625" style="13" customWidth="1"/>
    <col min="776" max="777" width="0" style="13" hidden="1" customWidth="1"/>
    <col min="778" max="778" width="16.1640625" style="13" bestFit="1" customWidth="1"/>
    <col min="779" max="779" width="16.83203125" style="13" customWidth="1"/>
    <col min="780" max="780" width="17" style="13" customWidth="1"/>
    <col min="781" max="781" width="9.1640625" style="13"/>
    <col min="782" max="783" width="0" style="13" hidden="1" customWidth="1"/>
    <col min="784" max="1024" width="9.1640625" style="13"/>
    <col min="1025" max="1025" width="1.5" style="13" customWidth="1"/>
    <col min="1026" max="1026" width="13.6640625" style="13" customWidth="1"/>
    <col min="1027" max="1027" width="11.5" style="13" customWidth="1"/>
    <col min="1028" max="1028" width="18.6640625" style="13" bestFit="1" customWidth="1"/>
    <col min="1029" max="1029" width="16.33203125" style="13" customWidth="1"/>
    <col min="1030" max="1030" width="14.5" style="13" customWidth="1"/>
    <col min="1031" max="1031" width="14.1640625" style="13" customWidth="1"/>
    <col min="1032" max="1033" width="0" style="13" hidden="1" customWidth="1"/>
    <col min="1034" max="1034" width="16.1640625" style="13" bestFit="1" customWidth="1"/>
    <col min="1035" max="1035" width="16.83203125" style="13" customWidth="1"/>
    <col min="1036" max="1036" width="17" style="13" customWidth="1"/>
    <col min="1037" max="1037" width="9.1640625" style="13"/>
    <col min="1038" max="1039" width="0" style="13" hidden="1" customWidth="1"/>
    <col min="1040" max="1280" width="9.1640625" style="13"/>
    <col min="1281" max="1281" width="1.5" style="13" customWidth="1"/>
    <col min="1282" max="1282" width="13.6640625" style="13" customWidth="1"/>
    <col min="1283" max="1283" width="11.5" style="13" customWidth="1"/>
    <col min="1284" max="1284" width="18.6640625" style="13" bestFit="1" customWidth="1"/>
    <col min="1285" max="1285" width="16.33203125" style="13" customWidth="1"/>
    <col min="1286" max="1286" width="14.5" style="13" customWidth="1"/>
    <col min="1287" max="1287" width="14.1640625" style="13" customWidth="1"/>
    <col min="1288" max="1289" width="0" style="13" hidden="1" customWidth="1"/>
    <col min="1290" max="1290" width="16.1640625" style="13" bestFit="1" customWidth="1"/>
    <col min="1291" max="1291" width="16.83203125" style="13" customWidth="1"/>
    <col min="1292" max="1292" width="17" style="13" customWidth="1"/>
    <col min="1293" max="1293" width="9.1640625" style="13"/>
    <col min="1294" max="1295" width="0" style="13" hidden="1" customWidth="1"/>
    <col min="1296" max="1536" width="9.1640625" style="13"/>
    <col min="1537" max="1537" width="1.5" style="13" customWidth="1"/>
    <col min="1538" max="1538" width="13.6640625" style="13" customWidth="1"/>
    <col min="1539" max="1539" width="11.5" style="13" customWidth="1"/>
    <col min="1540" max="1540" width="18.6640625" style="13" bestFit="1" customWidth="1"/>
    <col min="1541" max="1541" width="16.33203125" style="13" customWidth="1"/>
    <col min="1542" max="1542" width="14.5" style="13" customWidth="1"/>
    <col min="1543" max="1543" width="14.1640625" style="13" customWidth="1"/>
    <col min="1544" max="1545" width="0" style="13" hidden="1" customWidth="1"/>
    <col min="1546" max="1546" width="16.1640625" style="13" bestFit="1" customWidth="1"/>
    <col min="1547" max="1547" width="16.83203125" style="13" customWidth="1"/>
    <col min="1548" max="1548" width="17" style="13" customWidth="1"/>
    <col min="1549" max="1549" width="9.1640625" style="13"/>
    <col min="1550" max="1551" width="0" style="13" hidden="1" customWidth="1"/>
    <col min="1552" max="1792" width="9.1640625" style="13"/>
    <col min="1793" max="1793" width="1.5" style="13" customWidth="1"/>
    <col min="1794" max="1794" width="13.6640625" style="13" customWidth="1"/>
    <col min="1795" max="1795" width="11.5" style="13" customWidth="1"/>
    <col min="1796" max="1796" width="18.6640625" style="13" bestFit="1" customWidth="1"/>
    <col min="1797" max="1797" width="16.33203125" style="13" customWidth="1"/>
    <col min="1798" max="1798" width="14.5" style="13" customWidth="1"/>
    <col min="1799" max="1799" width="14.1640625" style="13" customWidth="1"/>
    <col min="1800" max="1801" width="0" style="13" hidden="1" customWidth="1"/>
    <col min="1802" max="1802" width="16.1640625" style="13" bestFit="1" customWidth="1"/>
    <col min="1803" max="1803" width="16.83203125" style="13" customWidth="1"/>
    <col min="1804" max="1804" width="17" style="13" customWidth="1"/>
    <col min="1805" max="1805" width="9.1640625" style="13"/>
    <col min="1806" max="1807" width="0" style="13" hidden="1" customWidth="1"/>
    <col min="1808" max="2048" width="9.1640625" style="13"/>
    <col min="2049" max="2049" width="1.5" style="13" customWidth="1"/>
    <col min="2050" max="2050" width="13.6640625" style="13" customWidth="1"/>
    <col min="2051" max="2051" width="11.5" style="13" customWidth="1"/>
    <col min="2052" max="2052" width="18.6640625" style="13" bestFit="1" customWidth="1"/>
    <col min="2053" max="2053" width="16.33203125" style="13" customWidth="1"/>
    <col min="2054" max="2054" width="14.5" style="13" customWidth="1"/>
    <col min="2055" max="2055" width="14.1640625" style="13" customWidth="1"/>
    <col min="2056" max="2057" width="0" style="13" hidden="1" customWidth="1"/>
    <col min="2058" max="2058" width="16.1640625" style="13" bestFit="1" customWidth="1"/>
    <col min="2059" max="2059" width="16.83203125" style="13" customWidth="1"/>
    <col min="2060" max="2060" width="17" style="13" customWidth="1"/>
    <col min="2061" max="2061" width="9.1640625" style="13"/>
    <col min="2062" max="2063" width="0" style="13" hidden="1" customWidth="1"/>
    <col min="2064" max="2304" width="9.1640625" style="13"/>
    <col min="2305" max="2305" width="1.5" style="13" customWidth="1"/>
    <col min="2306" max="2306" width="13.6640625" style="13" customWidth="1"/>
    <col min="2307" max="2307" width="11.5" style="13" customWidth="1"/>
    <col min="2308" max="2308" width="18.6640625" style="13" bestFit="1" customWidth="1"/>
    <col min="2309" max="2309" width="16.33203125" style="13" customWidth="1"/>
    <col min="2310" max="2310" width="14.5" style="13" customWidth="1"/>
    <col min="2311" max="2311" width="14.1640625" style="13" customWidth="1"/>
    <col min="2312" max="2313" width="0" style="13" hidden="1" customWidth="1"/>
    <col min="2314" max="2314" width="16.1640625" style="13" bestFit="1" customWidth="1"/>
    <col min="2315" max="2315" width="16.83203125" style="13" customWidth="1"/>
    <col min="2316" max="2316" width="17" style="13" customWidth="1"/>
    <col min="2317" max="2317" width="9.1640625" style="13"/>
    <col min="2318" max="2319" width="0" style="13" hidden="1" customWidth="1"/>
    <col min="2320" max="2560" width="9.1640625" style="13"/>
    <col min="2561" max="2561" width="1.5" style="13" customWidth="1"/>
    <col min="2562" max="2562" width="13.6640625" style="13" customWidth="1"/>
    <col min="2563" max="2563" width="11.5" style="13" customWidth="1"/>
    <col min="2564" max="2564" width="18.6640625" style="13" bestFit="1" customWidth="1"/>
    <col min="2565" max="2565" width="16.33203125" style="13" customWidth="1"/>
    <col min="2566" max="2566" width="14.5" style="13" customWidth="1"/>
    <col min="2567" max="2567" width="14.1640625" style="13" customWidth="1"/>
    <col min="2568" max="2569" width="0" style="13" hidden="1" customWidth="1"/>
    <col min="2570" max="2570" width="16.1640625" style="13" bestFit="1" customWidth="1"/>
    <col min="2571" max="2571" width="16.83203125" style="13" customWidth="1"/>
    <col min="2572" max="2572" width="17" style="13" customWidth="1"/>
    <col min="2573" max="2573" width="9.1640625" style="13"/>
    <col min="2574" max="2575" width="0" style="13" hidden="1" customWidth="1"/>
    <col min="2576" max="2816" width="9.1640625" style="13"/>
    <col min="2817" max="2817" width="1.5" style="13" customWidth="1"/>
    <col min="2818" max="2818" width="13.6640625" style="13" customWidth="1"/>
    <col min="2819" max="2819" width="11.5" style="13" customWidth="1"/>
    <col min="2820" max="2820" width="18.6640625" style="13" bestFit="1" customWidth="1"/>
    <col min="2821" max="2821" width="16.33203125" style="13" customWidth="1"/>
    <col min="2822" max="2822" width="14.5" style="13" customWidth="1"/>
    <col min="2823" max="2823" width="14.1640625" style="13" customWidth="1"/>
    <col min="2824" max="2825" width="0" style="13" hidden="1" customWidth="1"/>
    <col min="2826" max="2826" width="16.1640625" style="13" bestFit="1" customWidth="1"/>
    <col min="2827" max="2827" width="16.83203125" style="13" customWidth="1"/>
    <col min="2828" max="2828" width="17" style="13" customWidth="1"/>
    <col min="2829" max="2829" width="9.1640625" style="13"/>
    <col min="2830" max="2831" width="0" style="13" hidden="1" customWidth="1"/>
    <col min="2832" max="3072" width="9.1640625" style="13"/>
    <col min="3073" max="3073" width="1.5" style="13" customWidth="1"/>
    <col min="3074" max="3074" width="13.6640625" style="13" customWidth="1"/>
    <col min="3075" max="3075" width="11.5" style="13" customWidth="1"/>
    <col min="3076" max="3076" width="18.6640625" style="13" bestFit="1" customWidth="1"/>
    <col min="3077" max="3077" width="16.33203125" style="13" customWidth="1"/>
    <col min="3078" max="3078" width="14.5" style="13" customWidth="1"/>
    <col min="3079" max="3079" width="14.1640625" style="13" customWidth="1"/>
    <col min="3080" max="3081" width="0" style="13" hidden="1" customWidth="1"/>
    <col min="3082" max="3082" width="16.1640625" style="13" bestFit="1" customWidth="1"/>
    <col min="3083" max="3083" width="16.83203125" style="13" customWidth="1"/>
    <col min="3084" max="3084" width="17" style="13" customWidth="1"/>
    <col min="3085" max="3085" width="9.1640625" style="13"/>
    <col min="3086" max="3087" width="0" style="13" hidden="1" customWidth="1"/>
    <col min="3088" max="3328" width="9.1640625" style="13"/>
    <col min="3329" max="3329" width="1.5" style="13" customWidth="1"/>
    <col min="3330" max="3330" width="13.6640625" style="13" customWidth="1"/>
    <col min="3331" max="3331" width="11.5" style="13" customWidth="1"/>
    <col min="3332" max="3332" width="18.6640625" style="13" bestFit="1" customWidth="1"/>
    <col min="3333" max="3333" width="16.33203125" style="13" customWidth="1"/>
    <col min="3334" max="3334" width="14.5" style="13" customWidth="1"/>
    <col min="3335" max="3335" width="14.1640625" style="13" customWidth="1"/>
    <col min="3336" max="3337" width="0" style="13" hidden="1" customWidth="1"/>
    <col min="3338" max="3338" width="16.1640625" style="13" bestFit="1" customWidth="1"/>
    <col min="3339" max="3339" width="16.83203125" style="13" customWidth="1"/>
    <col min="3340" max="3340" width="17" style="13" customWidth="1"/>
    <col min="3341" max="3341" width="9.1640625" style="13"/>
    <col min="3342" max="3343" width="0" style="13" hidden="1" customWidth="1"/>
    <col min="3344" max="3584" width="9.1640625" style="13"/>
    <col min="3585" max="3585" width="1.5" style="13" customWidth="1"/>
    <col min="3586" max="3586" width="13.6640625" style="13" customWidth="1"/>
    <col min="3587" max="3587" width="11.5" style="13" customWidth="1"/>
    <col min="3588" max="3588" width="18.6640625" style="13" bestFit="1" customWidth="1"/>
    <col min="3589" max="3589" width="16.33203125" style="13" customWidth="1"/>
    <col min="3590" max="3590" width="14.5" style="13" customWidth="1"/>
    <col min="3591" max="3591" width="14.1640625" style="13" customWidth="1"/>
    <col min="3592" max="3593" width="0" style="13" hidden="1" customWidth="1"/>
    <col min="3594" max="3594" width="16.1640625" style="13" bestFit="1" customWidth="1"/>
    <col min="3595" max="3595" width="16.83203125" style="13" customWidth="1"/>
    <col min="3596" max="3596" width="17" style="13" customWidth="1"/>
    <col min="3597" max="3597" width="9.1640625" style="13"/>
    <col min="3598" max="3599" width="0" style="13" hidden="1" customWidth="1"/>
    <col min="3600" max="3840" width="9.1640625" style="13"/>
    <col min="3841" max="3841" width="1.5" style="13" customWidth="1"/>
    <col min="3842" max="3842" width="13.6640625" style="13" customWidth="1"/>
    <col min="3843" max="3843" width="11.5" style="13" customWidth="1"/>
    <col min="3844" max="3844" width="18.6640625" style="13" bestFit="1" customWidth="1"/>
    <col min="3845" max="3845" width="16.33203125" style="13" customWidth="1"/>
    <col min="3846" max="3846" width="14.5" style="13" customWidth="1"/>
    <col min="3847" max="3847" width="14.1640625" style="13" customWidth="1"/>
    <col min="3848" max="3849" width="0" style="13" hidden="1" customWidth="1"/>
    <col min="3850" max="3850" width="16.1640625" style="13" bestFit="1" customWidth="1"/>
    <col min="3851" max="3851" width="16.83203125" style="13" customWidth="1"/>
    <col min="3852" max="3852" width="17" style="13" customWidth="1"/>
    <col min="3853" max="3853" width="9.1640625" style="13"/>
    <col min="3854" max="3855" width="0" style="13" hidden="1" customWidth="1"/>
    <col min="3856" max="4096" width="9.1640625" style="13"/>
    <col min="4097" max="4097" width="1.5" style="13" customWidth="1"/>
    <col min="4098" max="4098" width="13.6640625" style="13" customWidth="1"/>
    <col min="4099" max="4099" width="11.5" style="13" customWidth="1"/>
    <col min="4100" max="4100" width="18.6640625" style="13" bestFit="1" customWidth="1"/>
    <col min="4101" max="4101" width="16.33203125" style="13" customWidth="1"/>
    <col min="4102" max="4102" width="14.5" style="13" customWidth="1"/>
    <col min="4103" max="4103" width="14.1640625" style="13" customWidth="1"/>
    <col min="4104" max="4105" width="0" style="13" hidden="1" customWidth="1"/>
    <col min="4106" max="4106" width="16.1640625" style="13" bestFit="1" customWidth="1"/>
    <col min="4107" max="4107" width="16.83203125" style="13" customWidth="1"/>
    <col min="4108" max="4108" width="17" style="13" customWidth="1"/>
    <col min="4109" max="4109" width="9.1640625" style="13"/>
    <col min="4110" max="4111" width="0" style="13" hidden="1" customWidth="1"/>
    <col min="4112" max="4352" width="9.1640625" style="13"/>
    <col min="4353" max="4353" width="1.5" style="13" customWidth="1"/>
    <col min="4354" max="4354" width="13.6640625" style="13" customWidth="1"/>
    <col min="4355" max="4355" width="11.5" style="13" customWidth="1"/>
    <col min="4356" max="4356" width="18.6640625" style="13" bestFit="1" customWidth="1"/>
    <col min="4357" max="4357" width="16.33203125" style="13" customWidth="1"/>
    <col min="4358" max="4358" width="14.5" style="13" customWidth="1"/>
    <col min="4359" max="4359" width="14.1640625" style="13" customWidth="1"/>
    <col min="4360" max="4361" width="0" style="13" hidden="1" customWidth="1"/>
    <col min="4362" max="4362" width="16.1640625" style="13" bestFit="1" customWidth="1"/>
    <col min="4363" max="4363" width="16.83203125" style="13" customWidth="1"/>
    <col min="4364" max="4364" width="17" style="13" customWidth="1"/>
    <col min="4365" max="4365" width="9.1640625" style="13"/>
    <col min="4366" max="4367" width="0" style="13" hidden="1" customWidth="1"/>
    <col min="4368" max="4608" width="9.1640625" style="13"/>
    <col min="4609" max="4609" width="1.5" style="13" customWidth="1"/>
    <col min="4610" max="4610" width="13.6640625" style="13" customWidth="1"/>
    <col min="4611" max="4611" width="11.5" style="13" customWidth="1"/>
    <col min="4612" max="4612" width="18.6640625" style="13" bestFit="1" customWidth="1"/>
    <col min="4613" max="4613" width="16.33203125" style="13" customWidth="1"/>
    <col min="4614" max="4614" width="14.5" style="13" customWidth="1"/>
    <col min="4615" max="4615" width="14.1640625" style="13" customWidth="1"/>
    <col min="4616" max="4617" width="0" style="13" hidden="1" customWidth="1"/>
    <col min="4618" max="4618" width="16.1640625" style="13" bestFit="1" customWidth="1"/>
    <col min="4619" max="4619" width="16.83203125" style="13" customWidth="1"/>
    <col min="4620" max="4620" width="17" style="13" customWidth="1"/>
    <col min="4621" max="4621" width="9.1640625" style="13"/>
    <col min="4622" max="4623" width="0" style="13" hidden="1" customWidth="1"/>
    <col min="4624" max="4864" width="9.1640625" style="13"/>
    <col min="4865" max="4865" width="1.5" style="13" customWidth="1"/>
    <col min="4866" max="4866" width="13.6640625" style="13" customWidth="1"/>
    <col min="4867" max="4867" width="11.5" style="13" customWidth="1"/>
    <col min="4868" max="4868" width="18.6640625" style="13" bestFit="1" customWidth="1"/>
    <col min="4869" max="4869" width="16.33203125" style="13" customWidth="1"/>
    <col min="4870" max="4870" width="14.5" style="13" customWidth="1"/>
    <col min="4871" max="4871" width="14.1640625" style="13" customWidth="1"/>
    <col min="4872" max="4873" width="0" style="13" hidden="1" customWidth="1"/>
    <col min="4874" max="4874" width="16.1640625" style="13" bestFit="1" customWidth="1"/>
    <col min="4875" max="4875" width="16.83203125" style="13" customWidth="1"/>
    <col min="4876" max="4876" width="17" style="13" customWidth="1"/>
    <col min="4877" max="4877" width="9.1640625" style="13"/>
    <col min="4878" max="4879" width="0" style="13" hidden="1" customWidth="1"/>
    <col min="4880" max="5120" width="9.1640625" style="13"/>
    <col min="5121" max="5121" width="1.5" style="13" customWidth="1"/>
    <col min="5122" max="5122" width="13.6640625" style="13" customWidth="1"/>
    <col min="5123" max="5123" width="11.5" style="13" customWidth="1"/>
    <col min="5124" max="5124" width="18.6640625" style="13" bestFit="1" customWidth="1"/>
    <col min="5125" max="5125" width="16.33203125" style="13" customWidth="1"/>
    <col min="5126" max="5126" width="14.5" style="13" customWidth="1"/>
    <col min="5127" max="5127" width="14.1640625" style="13" customWidth="1"/>
    <col min="5128" max="5129" width="0" style="13" hidden="1" customWidth="1"/>
    <col min="5130" max="5130" width="16.1640625" style="13" bestFit="1" customWidth="1"/>
    <col min="5131" max="5131" width="16.83203125" style="13" customWidth="1"/>
    <col min="5132" max="5132" width="17" style="13" customWidth="1"/>
    <col min="5133" max="5133" width="9.1640625" style="13"/>
    <col min="5134" max="5135" width="0" style="13" hidden="1" customWidth="1"/>
    <col min="5136" max="5376" width="9.1640625" style="13"/>
    <col min="5377" max="5377" width="1.5" style="13" customWidth="1"/>
    <col min="5378" max="5378" width="13.6640625" style="13" customWidth="1"/>
    <col min="5379" max="5379" width="11.5" style="13" customWidth="1"/>
    <col min="5380" max="5380" width="18.6640625" style="13" bestFit="1" customWidth="1"/>
    <col min="5381" max="5381" width="16.33203125" style="13" customWidth="1"/>
    <col min="5382" max="5382" width="14.5" style="13" customWidth="1"/>
    <col min="5383" max="5383" width="14.1640625" style="13" customWidth="1"/>
    <col min="5384" max="5385" width="0" style="13" hidden="1" customWidth="1"/>
    <col min="5386" max="5386" width="16.1640625" style="13" bestFit="1" customWidth="1"/>
    <col min="5387" max="5387" width="16.83203125" style="13" customWidth="1"/>
    <col min="5388" max="5388" width="17" style="13" customWidth="1"/>
    <col min="5389" max="5389" width="9.1640625" style="13"/>
    <col min="5390" max="5391" width="0" style="13" hidden="1" customWidth="1"/>
    <col min="5392" max="5632" width="9.1640625" style="13"/>
    <col min="5633" max="5633" width="1.5" style="13" customWidth="1"/>
    <col min="5634" max="5634" width="13.6640625" style="13" customWidth="1"/>
    <col min="5635" max="5635" width="11.5" style="13" customWidth="1"/>
    <col min="5636" max="5636" width="18.6640625" style="13" bestFit="1" customWidth="1"/>
    <col min="5637" max="5637" width="16.33203125" style="13" customWidth="1"/>
    <col min="5638" max="5638" width="14.5" style="13" customWidth="1"/>
    <col min="5639" max="5639" width="14.1640625" style="13" customWidth="1"/>
    <col min="5640" max="5641" width="0" style="13" hidden="1" customWidth="1"/>
    <col min="5642" max="5642" width="16.1640625" style="13" bestFit="1" customWidth="1"/>
    <col min="5643" max="5643" width="16.83203125" style="13" customWidth="1"/>
    <col min="5644" max="5644" width="17" style="13" customWidth="1"/>
    <col min="5645" max="5645" width="9.1640625" style="13"/>
    <col min="5646" max="5647" width="0" style="13" hidden="1" customWidth="1"/>
    <col min="5648" max="5888" width="9.1640625" style="13"/>
    <col min="5889" max="5889" width="1.5" style="13" customWidth="1"/>
    <col min="5890" max="5890" width="13.6640625" style="13" customWidth="1"/>
    <col min="5891" max="5891" width="11.5" style="13" customWidth="1"/>
    <col min="5892" max="5892" width="18.6640625" style="13" bestFit="1" customWidth="1"/>
    <col min="5893" max="5893" width="16.33203125" style="13" customWidth="1"/>
    <col min="5894" max="5894" width="14.5" style="13" customWidth="1"/>
    <col min="5895" max="5895" width="14.1640625" style="13" customWidth="1"/>
    <col min="5896" max="5897" width="0" style="13" hidden="1" customWidth="1"/>
    <col min="5898" max="5898" width="16.1640625" style="13" bestFit="1" customWidth="1"/>
    <col min="5899" max="5899" width="16.83203125" style="13" customWidth="1"/>
    <col min="5900" max="5900" width="17" style="13" customWidth="1"/>
    <col min="5901" max="5901" width="9.1640625" style="13"/>
    <col min="5902" max="5903" width="0" style="13" hidden="1" customWidth="1"/>
    <col min="5904" max="6144" width="9.1640625" style="13"/>
    <col min="6145" max="6145" width="1.5" style="13" customWidth="1"/>
    <col min="6146" max="6146" width="13.6640625" style="13" customWidth="1"/>
    <col min="6147" max="6147" width="11.5" style="13" customWidth="1"/>
    <col min="6148" max="6148" width="18.6640625" style="13" bestFit="1" customWidth="1"/>
    <col min="6149" max="6149" width="16.33203125" style="13" customWidth="1"/>
    <col min="6150" max="6150" width="14.5" style="13" customWidth="1"/>
    <col min="6151" max="6151" width="14.1640625" style="13" customWidth="1"/>
    <col min="6152" max="6153" width="0" style="13" hidden="1" customWidth="1"/>
    <col min="6154" max="6154" width="16.1640625" style="13" bestFit="1" customWidth="1"/>
    <col min="6155" max="6155" width="16.83203125" style="13" customWidth="1"/>
    <col min="6156" max="6156" width="17" style="13" customWidth="1"/>
    <col min="6157" max="6157" width="9.1640625" style="13"/>
    <col min="6158" max="6159" width="0" style="13" hidden="1" customWidth="1"/>
    <col min="6160" max="6400" width="9.1640625" style="13"/>
    <col min="6401" max="6401" width="1.5" style="13" customWidth="1"/>
    <col min="6402" max="6402" width="13.6640625" style="13" customWidth="1"/>
    <col min="6403" max="6403" width="11.5" style="13" customWidth="1"/>
    <col min="6404" max="6404" width="18.6640625" style="13" bestFit="1" customWidth="1"/>
    <col min="6405" max="6405" width="16.33203125" style="13" customWidth="1"/>
    <col min="6406" max="6406" width="14.5" style="13" customWidth="1"/>
    <col min="6407" max="6407" width="14.1640625" style="13" customWidth="1"/>
    <col min="6408" max="6409" width="0" style="13" hidden="1" customWidth="1"/>
    <col min="6410" max="6410" width="16.1640625" style="13" bestFit="1" customWidth="1"/>
    <col min="6411" max="6411" width="16.83203125" style="13" customWidth="1"/>
    <col min="6412" max="6412" width="17" style="13" customWidth="1"/>
    <col min="6413" max="6413" width="9.1640625" style="13"/>
    <col min="6414" max="6415" width="0" style="13" hidden="1" customWidth="1"/>
    <col min="6416" max="6656" width="9.1640625" style="13"/>
    <col min="6657" max="6657" width="1.5" style="13" customWidth="1"/>
    <col min="6658" max="6658" width="13.6640625" style="13" customWidth="1"/>
    <col min="6659" max="6659" width="11.5" style="13" customWidth="1"/>
    <col min="6660" max="6660" width="18.6640625" style="13" bestFit="1" customWidth="1"/>
    <col min="6661" max="6661" width="16.33203125" style="13" customWidth="1"/>
    <col min="6662" max="6662" width="14.5" style="13" customWidth="1"/>
    <col min="6663" max="6663" width="14.1640625" style="13" customWidth="1"/>
    <col min="6664" max="6665" width="0" style="13" hidden="1" customWidth="1"/>
    <col min="6666" max="6666" width="16.1640625" style="13" bestFit="1" customWidth="1"/>
    <col min="6667" max="6667" width="16.83203125" style="13" customWidth="1"/>
    <col min="6668" max="6668" width="17" style="13" customWidth="1"/>
    <col min="6669" max="6669" width="9.1640625" style="13"/>
    <col min="6670" max="6671" width="0" style="13" hidden="1" customWidth="1"/>
    <col min="6672" max="6912" width="9.1640625" style="13"/>
    <col min="6913" max="6913" width="1.5" style="13" customWidth="1"/>
    <col min="6914" max="6914" width="13.6640625" style="13" customWidth="1"/>
    <col min="6915" max="6915" width="11.5" style="13" customWidth="1"/>
    <col min="6916" max="6916" width="18.6640625" style="13" bestFit="1" customWidth="1"/>
    <col min="6917" max="6917" width="16.33203125" style="13" customWidth="1"/>
    <col min="6918" max="6918" width="14.5" style="13" customWidth="1"/>
    <col min="6919" max="6919" width="14.1640625" style="13" customWidth="1"/>
    <col min="6920" max="6921" width="0" style="13" hidden="1" customWidth="1"/>
    <col min="6922" max="6922" width="16.1640625" style="13" bestFit="1" customWidth="1"/>
    <col min="6923" max="6923" width="16.83203125" style="13" customWidth="1"/>
    <col min="6924" max="6924" width="17" style="13" customWidth="1"/>
    <col min="6925" max="6925" width="9.1640625" style="13"/>
    <col min="6926" max="6927" width="0" style="13" hidden="1" customWidth="1"/>
    <col min="6928" max="7168" width="9.1640625" style="13"/>
    <col min="7169" max="7169" width="1.5" style="13" customWidth="1"/>
    <col min="7170" max="7170" width="13.6640625" style="13" customWidth="1"/>
    <col min="7171" max="7171" width="11.5" style="13" customWidth="1"/>
    <col min="7172" max="7172" width="18.6640625" style="13" bestFit="1" customWidth="1"/>
    <col min="7173" max="7173" width="16.33203125" style="13" customWidth="1"/>
    <col min="7174" max="7174" width="14.5" style="13" customWidth="1"/>
    <col min="7175" max="7175" width="14.1640625" style="13" customWidth="1"/>
    <col min="7176" max="7177" width="0" style="13" hidden="1" customWidth="1"/>
    <col min="7178" max="7178" width="16.1640625" style="13" bestFit="1" customWidth="1"/>
    <col min="7179" max="7179" width="16.83203125" style="13" customWidth="1"/>
    <col min="7180" max="7180" width="17" style="13" customWidth="1"/>
    <col min="7181" max="7181" width="9.1640625" style="13"/>
    <col min="7182" max="7183" width="0" style="13" hidden="1" customWidth="1"/>
    <col min="7184" max="7424" width="9.1640625" style="13"/>
    <col min="7425" max="7425" width="1.5" style="13" customWidth="1"/>
    <col min="7426" max="7426" width="13.6640625" style="13" customWidth="1"/>
    <col min="7427" max="7427" width="11.5" style="13" customWidth="1"/>
    <col min="7428" max="7428" width="18.6640625" style="13" bestFit="1" customWidth="1"/>
    <col min="7429" max="7429" width="16.33203125" style="13" customWidth="1"/>
    <col min="7430" max="7430" width="14.5" style="13" customWidth="1"/>
    <col min="7431" max="7431" width="14.1640625" style="13" customWidth="1"/>
    <col min="7432" max="7433" width="0" style="13" hidden="1" customWidth="1"/>
    <col min="7434" max="7434" width="16.1640625" style="13" bestFit="1" customWidth="1"/>
    <col min="7435" max="7435" width="16.83203125" style="13" customWidth="1"/>
    <col min="7436" max="7436" width="17" style="13" customWidth="1"/>
    <col min="7437" max="7437" width="9.1640625" style="13"/>
    <col min="7438" max="7439" width="0" style="13" hidden="1" customWidth="1"/>
    <col min="7440" max="7680" width="9.1640625" style="13"/>
    <col min="7681" max="7681" width="1.5" style="13" customWidth="1"/>
    <col min="7682" max="7682" width="13.6640625" style="13" customWidth="1"/>
    <col min="7683" max="7683" width="11.5" style="13" customWidth="1"/>
    <col min="7684" max="7684" width="18.6640625" style="13" bestFit="1" customWidth="1"/>
    <col min="7685" max="7685" width="16.33203125" style="13" customWidth="1"/>
    <col min="7686" max="7686" width="14.5" style="13" customWidth="1"/>
    <col min="7687" max="7687" width="14.1640625" style="13" customWidth="1"/>
    <col min="7688" max="7689" width="0" style="13" hidden="1" customWidth="1"/>
    <col min="7690" max="7690" width="16.1640625" style="13" bestFit="1" customWidth="1"/>
    <col min="7691" max="7691" width="16.83203125" style="13" customWidth="1"/>
    <col min="7692" max="7692" width="17" style="13" customWidth="1"/>
    <col min="7693" max="7693" width="9.1640625" style="13"/>
    <col min="7694" max="7695" width="0" style="13" hidden="1" customWidth="1"/>
    <col min="7696" max="7936" width="9.1640625" style="13"/>
    <col min="7937" max="7937" width="1.5" style="13" customWidth="1"/>
    <col min="7938" max="7938" width="13.6640625" style="13" customWidth="1"/>
    <col min="7939" max="7939" width="11.5" style="13" customWidth="1"/>
    <col min="7940" max="7940" width="18.6640625" style="13" bestFit="1" customWidth="1"/>
    <col min="7941" max="7941" width="16.33203125" style="13" customWidth="1"/>
    <col min="7942" max="7942" width="14.5" style="13" customWidth="1"/>
    <col min="7943" max="7943" width="14.1640625" style="13" customWidth="1"/>
    <col min="7944" max="7945" width="0" style="13" hidden="1" customWidth="1"/>
    <col min="7946" max="7946" width="16.1640625" style="13" bestFit="1" customWidth="1"/>
    <col min="7947" max="7947" width="16.83203125" style="13" customWidth="1"/>
    <col min="7948" max="7948" width="17" style="13" customWidth="1"/>
    <col min="7949" max="7949" width="9.1640625" style="13"/>
    <col min="7950" max="7951" width="0" style="13" hidden="1" customWidth="1"/>
    <col min="7952" max="8192" width="9.1640625" style="13"/>
    <col min="8193" max="8193" width="1.5" style="13" customWidth="1"/>
    <col min="8194" max="8194" width="13.6640625" style="13" customWidth="1"/>
    <col min="8195" max="8195" width="11.5" style="13" customWidth="1"/>
    <col min="8196" max="8196" width="18.6640625" style="13" bestFit="1" customWidth="1"/>
    <col min="8197" max="8197" width="16.33203125" style="13" customWidth="1"/>
    <col min="8198" max="8198" width="14.5" style="13" customWidth="1"/>
    <col min="8199" max="8199" width="14.1640625" style="13" customWidth="1"/>
    <col min="8200" max="8201" width="0" style="13" hidden="1" customWidth="1"/>
    <col min="8202" max="8202" width="16.1640625" style="13" bestFit="1" customWidth="1"/>
    <col min="8203" max="8203" width="16.83203125" style="13" customWidth="1"/>
    <col min="8204" max="8204" width="17" style="13" customWidth="1"/>
    <col min="8205" max="8205" width="9.1640625" style="13"/>
    <col min="8206" max="8207" width="0" style="13" hidden="1" customWidth="1"/>
    <col min="8208" max="8448" width="9.1640625" style="13"/>
    <col min="8449" max="8449" width="1.5" style="13" customWidth="1"/>
    <col min="8450" max="8450" width="13.6640625" style="13" customWidth="1"/>
    <col min="8451" max="8451" width="11.5" style="13" customWidth="1"/>
    <col min="8452" max="8452" width="18.6640625" style="13" bestFit="1" customWidth="1"/>
    <col min="8453" max="8453" width="16.33203125" style="13" customWidth="1"/>
    <col min="8454" max="8454" width="14.5" style="13" customWidth="1"/>
    <col min="8455" max="8455" width="14.1640625" style="13" customWidth="1"/>
    <col min="8456" max="8457" width="0" style="13" hidden="1" customWidth="1"/>
    <col min="8458" max="8458" width="16.1640625" style="13" bestFit="1" customWidth="1"/>
    <col min="8459" max="8459" width="16.83203125" style="13" customWidth="1"/>
    <col min="8460" max="8460" width="17" style="13" customWidth="1"/>
    <col min="8461" max="8461" width="9.1640625" style="13"/>
    <col min="8462" max="8463" width="0" style="13" hidden="1" customWidth="1"/>
    <col min="8464" max="8704" width="9.1640625" style="13"/>
    <col min="8705" max="8705" width="1.5" style="13" customWidth="1"/>
    <col min="8706" max="8706" width="13.6640625" style="13" customWidth="1"/>
    <col min="8707" max="8707" width="11.5" style="13" customWidth="1"/>
    <col min="8708" max="8708" width="18.6640625" style="13" bestFit="1" customWidth="1"/>
    <col min="8709" max="8709" width="16.33203125" style="13" customWidth="1"/>
    <col min="8710" max="8710" width="14.5" style="13" customWidth="1"/>
    <col min="8711" max="8711" width="14.1640625" style="13" customWidth="1"/>
    <col min="8712" max="8713" width="0" style="13" hidden="1" customWidth="1"/>
    <col min="8714" max="8714" width="16.1640625" style="13" bestFit="1" customWidth="1"/>
    <col min="8715" max="8715" width="16.83203125" style="13" customWidth="1"/>
    <col min="8716" max="8716" width="17" style="13" customWidth="1"/>
    <col min="8717" max="8717" width="9.1640625" style="13"/>
    <col min="8718" max="8719" width="0" style="13" hidden="1" customWidth="1"/>
    <col min="8720" max="8960" width="9.1640625" style="13"/>
    <col min="8961" max="8961" width="1.5" style="13" customWidth="1"/>
    <col min="8962" max="8962" width="13.6640625" style="13" customWidth="1"/>
    <col min="8963" max="8963" width="11.5" style="13" customWidth="1"/>
    <col min="8964" max="8964" width="18.6640625" style="13" bestFit="1" customWidth="1"/>
    <col min="8965" max="8965" width="16.33203125" style="13" customWidth="1"/>
    <col min="8966" max="8966" width="14.5" style="13" customWidth="1"/>
    <col min="8967" max="8967" width="14.1640625" style="13" customWidth="1"/>
    <col min="8968" max="8969" width="0" style="13" hidden="1" customWidth="1"/>
    <col min="8970" max="8970" width="16.1640625" style="13" bestFit="1" customWidth="1"/>
    <col min="8971" max="8971" width="16.83203125" style="13" customWidth="1"/>
    <col min="8972" max="8972" width="17" style="13" customWidth="1"/>
    <col min="8973" max="8973" width="9.1640625" style="13"/>
    <col min="8974" max="8975" width="0" style="13" hidden="1" customWidth="1"/>
    <col min="8976" max="9216" width="9.1640625" style="13"/>
    <col min="9217" max="9217" width="1.5" style="13" customWidth="1"/>
    <col min="9218" max="9218" width="13.6640625" style="13" customWidth="1"/>
    <col min="9219" max="9219" width="11.5" style="13" customWidth="1"/>
    <col min="9220" max="9220" width="18.6640625" style="13" bestFit="1" customWidth="1"/>
    <col min="9221" max="9221" width="16.33203125" style="13" customWidth="1"/>
    <col min="9222" max="9222" width="14.5" style="13" customWidth="1"/>
    <col min="9223" max="9223" width="14.1640625" style="13" customWidth="1"/>
    <col min="9224" max="9225" width="0" style="13" hidden="1" customWidth="1"/>
    <col min="9226" max="9226" width="16.1640625" style="13" bestFit="1" customWidth="1"/>
    <col min="9227" max="9227" width="16.83203125" style="13" customWidth="1"/>
    <col min="9228" max="9228" width="17" style="13" customWidth="1"/>
    <col min="9229" max="9229" width="9.1640625" style="13"/>
    <col min="9230" max="9231" width="0" style="13" hidden="1" customWidth="1"/>
    <col min="9232" max="9472" width="9.1640625" style="13"/>
    <col min="9473" max="9473" width="1.5" style="13" customWidth="1"/>
    <col min="9474" max="9474" width="13.6640625" style="13" customWidth="1"/>
    <col min="9475" max="9475" width="11.5" style="13" customWidth="1"/>
    <col min="9476" max="9476" width="18.6640625" style="13" bestFit="1" customWidth="1"/>
    <col min="9477" max="9477" width="16.33203125" style="13" customWidth="1"/>
    <col min="9478" max="9478" width="14.5" style="13" customWidth="1"/>
    <col min="9479" max="9479" width="14.1640625" style="13" customWidth="1"/>
    <col min="9480" max="9481" width="0" style="13" hidden="1" customWidth="1"/>
    <col min="9482" max="9482" width="16.1640625" style="13" bestFit="1" customWidth="1"/>
    <col min="9483" max="9483" width="16.83203125" style="13" customWidth="1"/>
    <col min="9484" max="9484" width="17" style="13" customWidth="1"/>
    <col min="9485" max="9485" width="9.1640625" style="13"/>
    <col min="9486" max="9487" width="0" style="13" hidden="1" customWidth="1"/>
    <col min="9488" max="9728" width="9.1640625" style="13"/>
    <col min="9729" max="9729" width="1.5" style="13" customWidth="1"/>
    <col min="9730" max="9730" width="13.6640625" style="13" customWidth="1"/>
    <col min="9731" max="9731" width="11.5" style="13" customWidth="1"/>
    <col min="9732" max="9732" width="18.6640625" style="13" bestFit="1" customWidth="1"/>
    <col min="9733" max="9733" width="16.33203125" style="13" customWidth="1"/>
    <col min="9734" max="9734" width="14.5" style="13" customWidth="1"/>
    <col min="9735" max="9735" width="14.1640625" style="13" customWidth="1"/>
    <col min="9736" max="9737" width="0" style="13" hidden="1" customWidth="1"/>
    <col min="9738" max="9738" width="16.1640625" style="13" bestFit="1" customWidth="1"/>
    <col min="9739" max="9739" width="16.83203125" style="13" customWidth="1"/>
    <col min="9740" max="9740" width="17" style="13" customWidth="1"/>
    <col min="9741" max="9741" width="9.1640625" style="13"/>
    <col min="9742" max="9743" width="0" style="13" hidden="1" customWidth="1"/>
    <col min="9744" max="9984" width="9.1640625" style="13"/>
    <col min="9985" max="9985" width="1.5" style="13" customWidth="1"/>
    <col min="9986" max="9986" width="13.6640625" style="13" customWidth="1"/>
    <col min="9987" max="9987" width="11.5" style="13" customWidth="1"/>
    <col min="9988" max="9988" width="18.6640625" style="13" bestFit="1" customWidth="1"/>
    <col min="9989" max="9989" width="16.33203125" style="13" customWidth="1"/>
    <col min="9990" max="9990" width="14.5" style="13" customWidth="1"/>
    <col min="9991" max="9991" width="14.1640625" style="13" customWidth="1"/>
    <col min="9992" max="9993" width="0" style="13" hidden="1" customWidth="1"/>
    <col min="9994" max="9994" width="16.1640625" style="13" bestFit="1" customWidth="1"/>
    <col min="9995" max="9995" width="16.83203125" style="13" customWidth="1"/>
    <col min="9996" max="9996" width="17" style="13" customWidth="1"/>
    <col min="9997" max="9997" width="9.1640625" style="13"/>
    <col min="9998" max="9999" width="0" style="13" hidden="1" customWidth="1"/>
    <col min="10000" max="10240" width="9.1640625" style="13"/>
    <col min="10241" max="10241" width="1.5" style="13" customWidth="1"/>
    <col min="10242" max="10242" width="13.6640625" style="13" customWidth="1"/>
    <col min="10243" max="10243" width="11.5" style="13" customWidth="1"/>
    <col min="10244" max="10244" width="18.6640625" style="13" bestFit="1" customWidth="1"/>
    <col min="10245" max="10245" width="16.33203125" style="13" customWidth="1"/>
    <col min="10246" max="10246" width="14.5" style="13" customWidth="1"/>
    <col min="10247" max="10247" width="14.1640625" style="13" customWidth="1"/>
    <col min="10248" max="10249" width="0" style="13" hidden="1" customWidth="1"/>
    <col min="10250" max="10250" width="16.1640625" style="13" bestFit="1" customWidth="1"/>
    <col min="10251" max="10251" width="16.83203125" style="13" customWidth="1"/>
    <col min="10252" max="10252" width="17" style="13" customWidth="1"/>
    <col min="10253" max="10253" width="9.1640625" style="13"/>
    <col min="10254" max="10255" width="0" style="13" hidden="1" customWidth="1"/>
    <col min="10256" max="10496" width="9.1640625" style="13"/>
    <col min="10497" max="10497" width="1.5" style="13" customWidth="1"/>
    <col min="10498" max="10498" width="13.6640625" style="13" customWidth="1"/>
    <col min="10499" max="10499" width="11.5" style="13" customWidth="1"/>
    <col min="10500" max="10500" width="18.6640625" style="13" bestFit="1" customWidth="1"/>
    <col min="10501" max="10501" width="16.33203125" style="13" customWidth="1"/>
    <col min="10502" max="10502" width="14.5" style="13" customWidth="1"/>
    <col min="10503" max="10503" width="14.1640625" style="13" customWidth="1"/>
    <col min="10504" max="10505" width="0" style="13" hidden="1" customWidth="1"/>
    <col min="10506" max="10506" width="16.1640625" style="13" bestFit="1" customWidth="1"/>
    <col min="10507" max="10507" width="16.83203125" style="13" customWidth="1"/>
    <col min="10508" max="10508" width="17" style="13" customWidth="1"/>
    <col min="10509" max="10509" width="9.1640625" style="13"/>
    <col min="10510" max="10511" width="0" style="13" hidden="1" customWidth="1"/>
    <col min="10512" max="10752" width="9.1640625" style="13"/>
    <col min="10753" max="10753" width="1.5" style="13" customWidth="1"/>
    <col min="10754" max="10754" width="13.6640625" style="13" customWidth="1"/>
    <col min="10755" max="10755" width="11.5" style="13" customWidth="1"/>
    <col min="10756" max="10756" width="18.6640625" style="13" bestFit="1" customWidth="1"/>
    <col min="10757" max="10757" width="16.33203125" style="13" customWidth="1"/>
    <col min="10758" max="10758" width="14.5" style="13" customWidth="1"/>
    <col min="10759" max="10759" width="14.1640625" style="13" customWidth="1"/>
    <col min="10760" max="10761" width="0" style="13" hidden="1" customWidth="1"/>
    <col min="10762" max="10762" width="16.1640625" style="13" bestFit="1" customWidth="1"/>
    <col min="10763" max="10763" width="16.83203125" style="13" customWidth="1"/>
    <col min="10764" max="10764" width="17" style="13" customWidth="1"/>
    <col min="10765" max="10765" width="9.1640625" style="13"/>
    <col min="10766" max="10767" width="0" style="13" hidden="1" customWidth="1"/>
    <col min="10768" max="11008" width="9.1640625" style="13"/>
    <col min="11009" max="11009" width="1.5" style="13" customWidth="1"/>
    <col min="11010" max="11010" width="13.6640625" style="13" customWidth="1"/>
    <col min="11011" max="11011" width="11.5" style="13" customWidth="1"/>
    <col min="11012" max="11012" width="18.6640625" style="13" bestFit="1" customWidth="1"/>
    <col min="11013" max="11013" width="16.33203125" style="13" customWidth="1"/>
    <col min="11014" max="11014" width="14.5" style="13" customWidth="1"/>
    <col min="11015" max="11015" width="14.1640625" style="13" customWidth="1"/>
    <col min="11016" max="11017" width="0" style="13" hidden="1" customWidth="1"/>
    <col min="11018" max="11018" width="16.1640625" style="13" bestFit="1" customWidth="1"/>
    <col min="11019" max="11019" width="16.83203125" style="13" customWidth="1"/>
    <col min="11020" max="11020" width="17" style="13" customWidth="1"/>
    <col min="11021" max="11021" width="9.1640625" style="13"/>
    <col min="11022" max="11023" width="0" style="13" hidden="1" customWidth="1"/>
    <col min="11024" max="11264" width="9.1640625" style="13"/>
    <col min="11265" max="11265" width="1.5" style="13" customWidth="1"/>
    <col min="11266" max="11266" width="13.6640625" style="13" customWidth="1"/>
    <col min="11267" max="11267" width="11.5" style="13" customWidth="1"/>
    <col min="11268" max="11268" width="18.6640625" style="13" bestFit="1" customWidth="1"/>
    <col min="11269" max="11269" width="16.33203125" style="13" customWidth="1"/>
    <col min="11270" max="11270" width="14.5" style="13" customWidth="1"/>
    <col min="11271" max="11271" width="14.1640625" style="13" customWidth="1"/>
    <col min="11272" max="11273" width="0" style="13" hidden="1" customWidth="1"/>
    <col min="11274" max="11274" width="16.1640625" style="13" bestFit="1" customWidth="1"/>
    <col min="11275" max="11275" width="16.83203125" style="13" customWidth="1"/>
    <col min="11276" max="11276" width="17" style="13" customWidth="1"/>
    <col min="11277" max="11277" width="9.1640625" style="13"/>
    <col min="11278" max="11279" width="0" style="13" hidden="1" customWidth="1"/>
    <col min="11280" max="11520" width="9.1640625" style="13"/>
    <col min="11521" max="11521" width="1.5" style="13" customWidth="1"/>
    <col min="11522" max="11522" width="13.6640625" style="13" customWidth="1"/>
    <col min="11523" max="11523" width="11.5" style="13" customWidth="1"/>
    <col min="11524" max="11524" width="18.6640625" style="13" bestFit="1" customWidth="1"/>
    <col min="11525" max="11525" width="16.33203125" style="13" customWidth="1"/>
    <col min="11526" max="11526" width="14.5" style="13" customWidth="1"/>
    <col min="11527" max="11527" width="14.1640625" style="13" customWidth="1"/>
    <col min="11528" max="11529" width="0" style="13" hidden="1" customWidth="1"/>
    <col min="11530" max="11530" width="16.1640625" style="13" bestFit="1" customWidth="1"/>
    <col min="11531" max="11531" width="16.83203125" style="13" customWidth="1"/>
    <col min="11532" max="11532" width="17" style="13" customWidth="1"/>
    <col min="11533" max="11533" width="9.1640625" style="13"/>
    <col min="11534" max="11535" width="0" style="13" hidden="1" customWidth="1"/>
    <col min="11536" max="11776" width="9.1640625" style="13"/>
    <col min="11777" max="11777" width="1.5" style="13" customWidth="1"/>
    <col min="11778" max="11778" width="13.6640625" style="13" customWidth="1"/>
    <col min="11779" max="11779" width="11.5" style="13" customWidth="1"/>
    <col min="11780" max="11780" width="18.6640625" style="13" bestFit="1" customWidth="1"/>
    <col min="11781" max="11781" width="16.33203125" style="13" customWidth="1"/>
    <col min="11782" max="11782" width="14.5" style="13" customWidth="1"/>
    <col min="11783" max="11783" width="14.1640625" style="13" customWidth="1"/>
    <col min="11784" max="11785" width="0" style="13" hidden="1" customWidth="1"/>
    <col min="11786" max="11786" width="16.1640625" style="13" bestFit="1" customWidth="1"/>
    <col min="11787" max="11787" width="16.83203125" style="13" customWidth="1"/>
    <col min="11788" max="11788" width="17" style="13" customWidth="1"/>
    <col min="11789" max="11789" width="9.1640625" style="13"/>
    <col min="11790" max="11791" width="0" style="13" hidden="1" customWidth="1"/>
    <col min="11792" max="12032" width="9.1640625" style="13"/>
    <col min="12033" max="12033" width="1.5" style="13" customWidth="1"/>
    <col min="12034" max="12034" width="13.6640625" style="13" customWidth="1"/>
    <col min="12035" max="12035" width="11.5" style="13" customWidth="1"/>
    <col min="12036" max="12036" width="18.6640625" style="13" bestFit="1" customWidth="1"/>
    <col min="12037" max="12037" width="16.33203125" style="13" customWidth="1"/>
    <col min="12038" max="12038" width="14.5" style="13" customWidth="1"/>
    <col min="12039" max="12039" width="14.1640625" style="13" customWidth="1"/>
    <col min="12040" max="12041" width="0" style="13" hidden="1" customWidth="1"/>
    <col min="12042" max="12042" width="16.1640625" style="13" bestFit="1" customWidth="1"/>
    <col min="12043" max="12043" width="16.83203125" style="13" customWidth="1"/>
    <col min="12044" max="12044" width="17" style="13" customWidth="1"/>
    <col min="12045" max="12045" width="9.1640625" style="13"/>
    <col min="12046" max="12047" width="0" style="13" hidden="1" customWidth="1"/>
    <col min="12048" max="12288" width="9.1640625" style="13"/>
    <col min="12289" max="12289" width="1.5" style="13" customWidth="1"/>
    <col min="12290" max="12290" width="13.6640625" style="13" customWidth="1"/>
    <col min="12291" max="12291" width="11.5" style="13" customWidth="1"/>
    <col min="12292" max="12292" width="18.6640625" style="13" bestFit="1" customWidth="1"/>
    <col min="12293" max="12293" width="16.33203125" style="13" customWidth="1"/>
    <col min="12294" max="12294" width="14.5" style="13" customWidth="1"/>
    <col min="12295" max="12295" width="14.1640625" style="13" customWidth="1"/>
    <col min="12296" max="12297" width="0" style="13" hidden="1" customWidth="1"/>
    <col min="12298" max="12298" width="16.1640625" style="13" bestFit="1" customWidth="1"/>
    <col min="12299" max="12299" width="16.83203125" style="13" customWidth="1"/>
    <col min="12300" max="12300" width="17" style="13" customWidth="1"/>
    <col min="12301" max="12301" width="9.1640625" style="13"/>
    <col min="12302" max="12303" width="0" style="13" hidden="1" customWidth="1"/>
    <col min="12304" max="12544" width="9.1640625" style="13"/>
    <col min="12545" max="12545" width="1.5" style="13" customWidth="1"/>
    <col min="12546" max="12546" width="13.6640625" style="13" customWidth="1"/>
    <col min="12547" max="12547" width="11.5" style="13" customWidth="1"/>
    <col min="12548" max="12548" width="18.6640625" style="13" bestFit="1" customWidth="1"/>
    <col min="12549" max="12549" width="16.33203125" style="13" customWidth="1"/>
    <col min="12550" max="12550" width="14.5" style="13" customWidth="1"/>
    <col min="12551" max="12551" width="14.1640625" style="13" customWidth="1"/>
    <col min="12552" max="12553" width="0" style="13" hidden="1" customWidth="1"/>
    <col min="12554" max="12554" width="16.1640625" style="13" bestFit="1" customWidth="1"/>
    <col min="12555" max="12555" width="16.83203125" style="13" customWidth="1"/>
    <col min="12556" max="12556" width="17" style="13" customWidth="1"/>
    <col min="12557" max="12557" width="9.1640625" style="13"/>
    <col min="12558" max="12559" width="0" style="13" hidden="1" customWidth="1"/>
    <col min="12560" max="12800" width="9.1640625" style="13"/>
    <col min="12801" max="12801" width="1.5" style="13" customWidth="1"/>
    <col min="12802" max="12802" width="13.6640625" style="13" customWidth="1"/>
    <col min="12803" max="12803" width="11.5" style="13" customWidth="1"/>
    <col min="12804" max="12804" width="18.6640625" style="13" bestFit="1" customWidth="1"/>
    <col min="12805" max="12805" width="16.33203125" style="13" customWidth="1"/>
    <col min="12806" max="12806" width="14.5" style="13" customWidth="1"/>
    <col min="12807" max="12807" width="14.1640625" style="13" customWidth="1"/>
    <col min="12808" max="12809" width="0" style="13" hidden="1" customWidth="1"/>
    <col min="12810" max="12810" width="16.1640625" style="13" bestFit="1" customWidth="1"/>
    <col min="12811" max="12811" width="16.83203125" style="13" customWidth="1"/>
    <col min="12812" max="12812" width="17" style="13" customWidth="1"/>
    <col min="12813" max="12813" width="9.1640625" style="13"/>
    <col min="12814" max="12815" width="0" style="13" hidden="1" customWidth="1"/>
    <col min="12816" max="13056" width="9.1640625" style="13"/>
    <col min="13057" max="13057" width="1.5" style="13" customWidth="1"/>
    <col min="13058" max="13058" width="13.6640625" style="13" customWidth="1"/>
    <col min="13059" max="13059" width="11.5" style="13" customWidth="1"/>
    <col min="13060" max="13060" width="18.6640625" style="13" bestFit="1" customWidth="1"/>
    <col min="13061" max="13061" width="16.33203125" style="13" customWidth="1"/>
    <col min="13062" max="13062" width="14.5" style="13" customWidth="1"/>
    <col min="13063" max="13063" width="14.1640625" style="13" customWidth="1"/>
    <col min="13064" max="13065" width="0" style="13" hidden="1" customWidth="1"/>
    <col min="13066" max="13066" width="16.1640625" style="13" bestFit="1" customWidth="1"/>
    <col min="13067" max="13067" width="16.83203125" style="13" customWidth="1"/>
    <col min="13068" max="13068" width="17" style="13" customWidth="1"/>
    <col min="13069" max="13069" width="9.1640625" style="13"/>
    <col min="13070" max="13071" width="0" style="13" hidden="1" customWidth="1"/>
    <col min="13072" max="13312" width="9.1640625" style="13"/>
    <col min="13313" max="13313" width="1.5" style="13" customWidth="1"/>
    <col min="13314" max="13314" width="13.6640625" style="13" customWidth="1"/>
    <col min="13315" max="13315" width="11.5" style="13" customWidth="1"/>
    <col min="13316" max="13316" width="18.6640625" style="13" bestFit="1" customWidth="1"/>
    <col min="13317" max="13317" width="16.33203125" style="13" customWidth="1"/>
    <col min="13318" max="13318" width="14.5" style="13" customWidth="1"/>
    <col min="13319" max="13319" width="14.1640625" style="13" customWidth="1"/>
    <col min="13320" max="13321" width="0" style="13" hidden="1" customWidth="1"/>
    <col min="13322" max="13322" width="16.1640625" style="13" bestFit="1" customWidth="1"/>
    <col min="13323" max="13323" width="16.83203125" style="13" customWidth="1"/>
    <col min="13324" max="13324" width="17" style="13" customWidth="1"/>
    <col min="13325" max="13325" width="9.1640625" style="13"/>
    <col min="13326" max="13327" width="0" style="13" hidden="1" customWidth="1"/>
    <col min="13328" max="13568" width="9.1640625" style="13"/>
    <col min="13569" max="13569" width="1.5" style="13" customWidth="1"/>
    <col min="13570" max="13570" width="13.6640625" style="13" customWidth="1"/>
    <col min="13571" max="13571" width="11.5" style="13" customWidth="1"/>
    <col min="13572" max="13572" width="18.6640625" style="13" bestFit="1" customWidth="1"/>
    <col min="13573" max="13573" width="16.33203125" style="13" customWidth="1"/>
    <col min="13574" max="13574" width="14.5" style="13" customWidth="1"/>
    <col min="13575" max="13575" width="14.1640625" style="13" customWidth="1"/>
    <col min="13576" max="13577" width="0" style="13" hidden="1" customWidth="1"/>
    <col min="13578" max="13578" width="16.1640625" style="13" bestFit="1" customWidth="1"/>
    <col min="13579" max="13579" width="16.83203125" style="13" customWidth="1"/>
    <col min="13580" max="13580" width="17" style="13" customWidth="1"/>
    <col min="13581" max="13581" width="9.1640625" style="13"/>
    <col min="13582" max="13583" width="0" style="13" hidden="1" customWidth="1"/>
    <col min="13584" max="13824" width="9.1640625" style="13"/>
    <col min="13825" max="13825" width="1.5" style="13" customWidth="1"/>
    <col min="13826" max="13826" width="13.6640625" style="13" customWidth="1"/>
    <col min="13827" max="13827" width="11.5" style="13" customWidth="1"/>
    <col min="13828" max="13828" width="18.6640625" style="13" bestFit="1" customWidth="1"/>
    <col min="13829" max="13829" width="16.33203125" style="13" customWidth="1"/>
    <col min="13830" max="13830" width="14.5" style="13" customWidth="1"/>
    <col min="13831" max="13831" width="14.1640625" style="13" customWidth="1"/>
    <col min="13832" max="13833" width="0" style="13" hidden="1" customWidth="1"/>
    <col min="13834" max="13834" width="16.1640625" style="13" bestFit="1" customWidth="1"/>
    <col min="13835" max="13835" width="16.83203125" style="13" customWidth="1"/>
    <col min="13836" max="13836" width="17" style="13" customWidth="1"/>
    <col min="13837" max="13837" width="9.1640625" style="13"/>
    <col min="13838" max="13839" width="0" style="13" hidden="1" customWidth="1"/>
    <col min="13840" max="14080" width="9.1640625" style="13"/>
    <col min="14081" max="14081" width="1.5" style="13" customWidth="1"/>
    <col min="14082" max="14082" width="13.6640625" style="13" customWidth="1"/>
    <col min="14083" max="14083" width="11.5" style="13" customWidth="1"/>
    <col min="14084" max="14084" width="18.6640625" style="13" bestFit="1" customWidth="1"/>
    <col min="14085" max="14085" width="16.33203125" style="13" customWidth="1"/>
    <col min="14086" max="14086" width="14.5" style="13" customWidth="1"/>
    <col min="14087" max="14087" width="14.1640625" style="13" customWidth="1"/>
    <col min="14088" max="14089" width="0" style="13" hidden="1" customWidth="1"/>
    <col min="14090" max="14090" width="16.1640625" style="13" bestFit="1" customWidth="1"/>
    <col min="14091" max="14091" width="16.83203125" style="13" customWidth="1"/>
    <col min="14092" max="14092" width="17" style="13" customWidth="1"/>
    <col min="14093" max="14093" width="9.1640625" style="13"/>
    <col min="14094" max="14095" width="0" style="13" hidden="1" customWidth="1"/>
    <col min="14096" max="14336" width="9.1640625" style="13"/>
    <col min="14337" max="14337" width="1.5" style="13" customWidth="1"/>
    <col min="14338" max="14338" width="13.6640625" style="13" customWidth="1"/>
    <col min="14339" max="14339" width="11.5" style="13" customWidth="1"/>
    <col min="14340" max="14340" width="18.6640625" style="13" bestFit="1" customWidth="1"/>
    <col min="14341" max="14341" width="16.33203125" style="13" customWidth="1"/>
    <col min="14342" max="14342" width="14.5" style="13" customWidth="1"/>
    <col min="14343" max="14343" width="14.1640625" style="13" customWidth="1"/>
    <col min="14344" max="14345" width="0" style="13" hidden="1" customWidth="1"/>
    <col min="14346" max="14346" width="16.1640625" style="13" bestFit="1" customWidth="1"/>
    <col min="14347" max="14347" width="16.83203125" style="13" customWidth="1"/>
    <col min="14348" max="14348" width="17" style="13" customWidth="1"/>
    <col min="14349" max="14349" width="9.1640625" style="13"/>
    <col min="14350" max="14351" width="0" style="13" hidden="1" customWidth="1"/>
    <col min="14352" max="14592" width="9.1640625" style="13"/>
    <col min="14593" max="14593" width="1.5" style="13" customWidth="1"/>
    <col min="14594" max="14594" width="13.6640625" style="13" customWidth="1"/>
    <col min="14595" max="14595" width="11.5" style="13" customWidth="1"/>
    <col min="14596" max="14596" width="18.6640625" style="13" bestFit="1" customWidth="1"/>
    <col min="14597" max="14597" width="16.33203125" style="13" customWidth="1"/>
    <col min="14598" max="14598" width="14.5" style="13" customWidth="1"/>
    <col min="14599" max="14599" width="14.1640625" style="13" customWidth="1"/>
    <col min="14600" max="14601" width="0" style="13" hidden="1" customWidth="1"/>
    <col min="14602" max="14602" width="16.1640625" style="13" bestFit="1" customWidth="1"/>
    <col min="14603" max="14603" width="16.83203125" style="13" customWidth="1"/>
    <col min="14604" max="14604" width="17" style="13" customWidth="1"/>
    <col min="14605" max="14605" width="9.1640625" style="13"/>
    <col min="14606" max="14607" width="0" style="13" hidden="1" customWidth="1"/>
    <col min="14608" max="14848" width="9.1640625" style="13"/>
    <col min="14849" max="14849" width="1.5" style="13" customWidth="1"/>
    <col min="14850" max="14850" width="13.6640625" style="13" customWidth="1"/>
    <col min="14851" max="14851" width="11.5" style="13" customWidth="1"/>
    <col min="14852" max="14852" width="18.6640625" style="13" bestFit="1" customWidth="1"/>
    <col min="14853" max="14853" width="16.33203125" style="13" customWidth="1"/>
    <col min="14854" max="14854" width="14.5" style="13" customWidth="1"/>
    <col min="14855" max="14855" width="14.1640625" style="13" customWidth="1"/>
    <col min="14856" max="14857" width="0" style="13" hidden="1" customWidth="1"/>
    <col min="14858" max="14858" width="16.1640625" style="13" bestFit="1" customWidth="1"/>
    <col min="14859" max="14859" width="16.83203125" style="13" customWidth="1"/>
    <col min="14860" max="14860" width="17" style="13" customWidth="1"/>
    <col min="14861" max="14861" width="9.1640625" style="13"/>
    <col min="14862" max="14863" width="0" style="13" hidden="1" customWidth="1"/>
    <col min="14864" max="15104" width="9.1640625" style="13"/>
    <col min="15105" max="15105" width="1.5" style="13" customWidth="1"/>
    <col min="15106" max="15106" width="13.6640625" style="13" customWidth="1"/>
    <col min="15107" max="15107" width="11.5" style="13" customWidth="1"/>
    <col min="15108" max="15108" width="18.6640625" style="13" bestFit="1" customWidth="1"/>
    <col min="15109" max="15109" width="16.33203125" style="13" customWidth="1"/>
    <col min="15110" max="15110" width="14.5" style="13" customWidth="1"/>
    <col min="15111" max="15111" width="14.1640625" style="13" customWidth="1"/>
    <col min="15112" max="15113" width="0" style="13" hidden="1" customWidth="1"/>
    <col min="15114" max="15114" width="16.1640625" style="13" bestFit="1" customWidth="1"/>
    <col min="15115" max="15115" width="16.83203125" style="13" customWidth="1"/>
    <col min="15116" max="15116" width="17" style="13" customWidth="1"/>
    <col min="15117" max="15117" width="9.1640625" style="13"/>
    <col min="15118" max="15119" width="0" style="13" hidden="1" customWidth="1"/>
    <col min="15120" max="15360" width="9.1640625" style="13"/>
    <col min="15361" max="15361" width="1.5" style="13" customWidth="1"/>
    <col min="15362" max="15362" width="13.6640625" style="13" customWidth="1"/>
    <col min="15363" max="15363" width="11.5" style="13" customWidth="1"/>
    <col min="15364" max="15364" width="18.6640625" style="13" bestFit="1" customWidth="1"/>
    <col min="15365" max="15365" width="16.33203125" style="13" customWidth="1"/>
    <col min="15366" max="15366" width="14.5" style="13" customWidth="1"/>
    <col min="15367" max="15367" width="14.1640625" style="13" customWidth="1"/>
    <col min="15368" max="15369" width="0" style="13" hidden="1" customWidth="1"/>
    <col min="15370" max="15370" width="16.1640625" style="13" bestFit="1" customWidth="1"/>
    <col min="15371" max="15371" width="16.83203125" style="13" customWidth="1"/>
    <col min="15372" max="15372" width="17" style="13" customWidth="1"/>
    <col min="15373" max="15373" width="9.1640625" style="13"/>
    <col min="15374" max="15375" width="0" style="13" hidden="1" customWidth="1"/>
    <col min="15376" max="15616" width="9.1640625" style="13"/>
    <col min="15617" max="15617" width="1.5" style="13" customWidth="1"/>
    <col min="15618" max="15618" width="13.6640625" style="13" customWidth="1"/>
    <col min="15619" max="15619" width="11.5" style="13" customWidth="1"/>
    <col min="15620" max="15620" width="18.6640625" style="13" bestFit="1" customWidth="1"/>
    <col min="15621" max="15621" width="16.33203125" style="13" customWidth="1"/>
    <col min="15622" max="15622" width="14.5" style="13" customWidth="1"/>
    <col min="15623" max="15623" width="14.1640625" style="13" customWidth="1"/>
    <col min="15624" max="15625" width="0" style="13" hidden="1" customWidth="1"/>
    <col min="15626" max="15626" width="16.1640625" style="13" bestFit="1" customWidth="1"/>
    <col min="15627" max="15627" width="16.83203125" style="13" customWidth="1"/>
    <col min="15628" max="15628" width="17" style="13" customWidth="1"/>
    <col min="15629" max="15629" width="9.1640625" style="13"/>
    <col min="15630" max="15631" width="0" style="13" hidden="1" customWidth="1"/>
    <col min="15632" max="15872" width="9.1640625" style="13"/>
    <col min="15873" max="15873" width="1.5" style="13" customWidth="1"/>
    <col min="15874" max="15874" width="13.6640625" style="13" customWidth="1"/>
    <col min="15875" max="15875" width="11.5" style="13" customWidth="1"/>
    <col min="15876" max="15876" width="18.6640625" style="13" bestFit="1" customWidth="1"/>
    <col min="15877" max="15877" width="16.33203125" style="13" customWidth="1"/>
    <col min="15878" max="15878" width="14.5" style="13" customWidth="1"/>
    <col min="15879" max="15879" width="14.1640625" style="13" customWidth="1"/>
    <col min="15880" max="15881" width="0" style="13" hidden="1" customWidth="1"/>
    <col min="15882" max="15882" width="16.1640625" style="13" bestFit="1" customWidth="1"/>
    <col min="15883" max="15883" width="16.83203125" style="13" customWidth="1"/>
    <col min="15884" max="15884" width="17" style="13" customWidth="1"/>
    <col min="15885" max="15885" width="9.1640625" style="13"/>
    <col min="15886" max="15887" width="0" style="13" hidden="1" customWidth="1"/>
    <col min="15888" max="16128" width="9.1640625" style="13"/>
    <col min="16129" max="16129" width="1.5" style="13" customWidth="1"/>
    <col min="16130" max="16130" width="13.6640625" style="13" customWidth="1"/>
    <col min="16131" max="16131" width="11.5" style="13" customWidth="1"/>
    <col min="16132" max="16132" width="18.6640625" style="13" bestFit="1" customWidth="1"/>
    <col min="16133" max="16133" width="16.33203125" style="13" customWidth="1"/>
    <col min="16134" max="16134" width="14.5" style="13" customWidth="1"/>
    <col min="16135" max="16135" width="14.1640625" style="13" customWidth="1"/>
    <col min="16136" max="16137" width="0" style="13" hidden="1" customWidth="1"/>
    <col min="16138" max="16138" width="16.1640625" style="13" bestFit="1" customWidth="1"/>
    <col min="16139" max="16139" width="16.83203125" style="13" customWidth="1"/>
    <col min="16140" max="16140" width="17" style="13" customWidth="1"/>
    <col min="16141" max="16141" width="9.1640625" style="13"/>
    <col min="16142" max="16143" width="0" style="13" hidden="1" customWidth="1"/>
    <col min="16144" max="16384" width="9.1640625" style="13"/>
  </cols>
  <sheetData>
    <row r="1" spans="2:16">
      <c r="I1" s="15"/>
      <c r="J1" s="15"/>
      <c r="K1" s="15"/>
      <c r="L1" s="15"/>
      <c r="M1" s="15"/>
      <c r="N1" s="15"/>
      <c r="O1" s="15"/>
      <c r="P1" s="15"/>
    </row>
    <row r="2" spans="2:16" ht="18">
      <c r="B2" s="102" t="s">
        <v>23</v>
      </c>
      <c r="C2" s="102"/>
      <c r="D2" s="102"/>
      <c r="E2" s="102"/>
      <c r="F2" s="102"/>
      <c r="G2" s="102"/>
      <c r="I2" s="16"/>
      <c r="J2" s="16"/>
      <c r="K2" s="15"/>
      <c r="L2" s="15"/>
      <c r="M2" s="15"/>
      <c r="N2" s="15"/>
      <c r="O2" s="15"/>
      <c r="P2" s="15"/>
    </row>
    <row r="3" spans="2:16">
      <c r="I3" s="15"/>
      <c r="J3" s="15"/>
      <c r="K3" s="17"/>
      <c r="L3" s="15"/>
      <c r="M3" s="15"/>
      <c r="N3" s="15"/>
      <c r="O3" s="15"/>
      <c r="P3" s="15"/>
    </row>
    <row r="4" spans="2:16">
      <c r="B4" s="103" t="s">
        <v>24</v>
      </c>
      <c r="C4" s="103"/>
      <c r="D4" s="18" t="s">
        <v>25</v>
      </c>
      <c r="E4" s="19"/>
      <c r="F4" s="19"/>
      <c r="I4" s="20"/>
      <c r="J4" s="15"/>
      <c r="K4" s="21"/>
      <c r="L4" s="15"/>
      <c r="M4" s="15"/>
      <c r="N4" s="15"/>
      <c r="O4" s="15"/>
      <c r="P4" s="15"/>
    </row>
    <row r="5" spans="2:16" ht="17.25" customHeight="1">
      <c r="B5" s="22" t="s">
        <v>26</v>
      </c>
      <c r="C5" s="23"/>
      <c r="D5" s="58">
        <f>CALCULATION!H4</f>
        <v>14000000000</v>
      </c>
      <c r="E5" s="14" t="s">
        <v>27</v>
      </c>
      <c r="F5" s="14">
        <f>D5/23300</f>
        <v>600858.36909871246</v>
      </c>
      <c r="I5" s="15"/>
      <c r="J5" s="17"/>
      <c r="K5" s="15"/>
      <c r="L5" s="15"/>
      <c r="M5" s="15"/>
      <c r="N5" s="15"/>
      <c r="O5" s="24"/>
      <c r="P5" s="15"/>
    </row>
    <row r="6" spans="2:16" hidden="1">
      <c r="B6" s="22"/>
      <c r="C6" s="23"/>
      <c r="D6" s="59"/>
      <c r="E6" s="14"/>
      <c r="I6" s="15"/>
      <c r="J6" s="15"/>
      <c r="K6" s="15"/>
      <c r="L6" s="15"/>
      <c r="M6" s="15"/>
      <c r="N6" s="15"/>
      <c r="O6" s="15"/>
      <c r="P6" s="15"/>
    </row>
    <row r="7" spans="2:16">
      <c r="B7" s="22" t="s">
        <v>28</v>
      </c>
      <c r="C7" s="23"/>
      <c r="D7" s="60">
        <f>12*CALCULATION!G6</f>
        <v>84</v>
      </c>
      <c r="E7" s="25" t="s">
        <v>29</v>
      </c>
      <c r="I7" s="15"/>
      <c r="J7" s="26"/>
      <c r="K7" s="15"/>
      <c r="L7" s="24"/>
      <c r="M7" s="15"/>
      <c r="N7" s="15"/>
      <c r="O7" s="15"/>
      <c r="P7" s="15"/>
    </row>
    <row r="8" spans="2:16" ht="15">
      <c r="B8" s="103" t="s">
        <v>30</v>
      </c>
      <c r="C8" s="103"/>
      <c r="D8" s="27">
        <f>CALCULATION!G5</f>
        <v>0.105</v>
      </c>
      <c r="E8" s="28" t="s">
        <v>31</v>
      </c>
      <c r="G8" s="29"/>
      <c r="H8" s="29"/>
      <c r="I8" s="17"/>
      <c r="J8" s="30"/>
      <c r="K8" s="31"/>
      <c r="L8" s="32"/>
      <c r="M8" s="15"/>
      <c r="N8" s="15"/>
      <c r="O8" s="15"/>
      <c r="P8" s="15"/>
    </row>
    <row r="9" spans="2:16">
      <c r="B9" s="103" t="s">
        <v>32</v>
      </c>
      <c r="C9" s="103"/>
      <c r="D9" s="33">
        <v>44033</v>
      </c>
      <c r="E9" s="14"/>
      <c r="I9" s="15"/>
      <c r="J9" s="15"/>
      <c r="K9" s="15"/>
      <c r="L9" s="15"/>
      <c r="M9" s="15"/>
      <c r="N9" s="15"/>
      <c r="O9" s="15"/>
      <c r="P9" s="15"/>
    </row>
    <row r="10" spans="2:16" ht="15">
      <c r="B10" s="103"/>
      <c r="C10" s="103"/>
      <c r="D10" s="34"/>
      <c r="E10" s="14"/>
      <c r="G10" s="14"/>
      <c r="I10" s="15"/>
      <c r="J10" s="17"/>
      <c r="K10" s="15"/>
      <c r="L10" s="15"/>
      <c r="M10" s="15"/>
      <c r="N10" s="15"/>
      <c r="O10" s="35"/>
      <c r="P10" s="15"/>
    </row>
    <row r="11" spans="2:16">
      <c r="B11" s="22"/>
      <c r="C11" s="22"/>
      <c r="D11" s="34"/>
      <c r="E11" s="14"/>
      <c r="G11" s="14"/>
      <c r="I11" s="15"/>
      <c r="J11" s="17"/>
      <c r="K11" s="36"/>
      <c r="L11" s="15"/>
      <c r="M11" s="15"/>
      <c r="N11" s="15"/>
      <c r="O11" s="15"/>
      <c r="P11" s="15"/>
    </row>
    <row r="12" spans="2:16">
      <c r="B12" s="22"/>
      <c r="C12" s="22"/>
      <c r="D12" s="34"/>
      <c r="E12" s="14"/>
      <c r="G12" s="14"/>
      <c r="I12" s="15"/>
      <c r="K12" s="15"/>
      <c r="L12" s="15"/>
      <c r="M12" s="15"/>
      <c r="N12" s="37"/>
      <c r="O12" s="15"/>
      <c r="P12" s="15"/>
    </row>
    <row r="13" spans="2:16">
      <c r="I13" s="15"/>
      <c r="J13" s="15"/>
      <c r="K13" s="15"/>
      <c r="L13" s="15"/>
      <c r="M13" s="15"/>
      <c r="N13" s="15"/>
      <c r="O13" s="15"/>
      <c r="P13" s="15"/>
    </row>
    <row r="14" spans="2:16">
      <c r="I14" s="15"/>
      <c r="J14" s="15"/>
      <c r="K14" s="15"/>
      <c r="L14" s="15"/>
      <c r="M14" s="15"/>
      <c r="N14" s="15"/>
      <c r="O14" s="15"/>
      <c r="P14" s="15"/>
    </row>
    <row r="15" spans="2:16" ht="31.5" customHeight="1">
      <c r="B15" s="101" t="s">
        <v>33</v>
      </c>
      <c r="C15" s="101"/>
      <c r="D15" s="38" t="s">
        <v>34</v>
      </c>
      <c r="E15" s="38" t="s">
        <v>35</v>
      </c>
      <c r="F15" s="39" t="s">
        <v>36</v>
      </c>
      <c r="G15" s="38" t="s">
        <v>37</v>
      </c>
      <c r="H15" s="40"/>
      <c r="I15" s="41"/>
      <c r="J15" s="41"/>
      <c r="K15" s="41"/>
      <c r="L15" s="41"/>
      <c r="M15" s="15"/>
      <c r="N15" s="15"/>
      <c r="O15" s="15"/>
      <c r="P15" s="15"/>
    </row>
    <row r="16" spans="2:16">
      <c r="B16" s="42">
        <f>$D$9</f>
        <v>44033</v>
      </c>
      <c r="C16" s="43">
        <v>0</v>
      </c>
      <c r="D16" s="43">
        <f>D5</f>
        <v>14000000000</v>
      </c>
      <c r="E16" s="43"/>
      <c r="F16" s="43"/>
      <c r="G16" s="43"/>
      <c r="H16" s="44"/>
      <c r="I16" s="17"/>
      <c r="J16" s="45"/>
      <c r="K16" s="46" t="s">
        <v>38</v>
      </c>
      <c r="L16" s="47">
        <f>SUM(G17:G28)</f>
        <v>3373750000</v>
      </c>
      <c r="M16" s="17">
        <f>L16/23300</f>
        <v>144796.1373390558</v>
      </c>
      <c r="N16" s="15"/>
      <c r="O16" s="17"/>
      <c r="P16" s="15"/>
    </row>
    <row r="17" spans="2:16">
      <c r="B17" s="42">
        <f>IF(C16&lt;$D$7,DATE(YEAR(B16),MONTH(B16)+1,DAY(B16)),IF(C16=$D$7,"Tổng",""))</f>
        <v>44064</v>
      </c>
      <c r="C17" s="43">
        <f>IF(C16&lt;$D$7,C16+1,"")</f>
        <v>1</v>
      </c>
      <c r="D17" s="43">
        <f>IF(C17&lt;=$D$7,D16-E17,"")</f>
        <v>13833333333.333334</v>
      </c>
      <c r="E17" s="43">
        <f>IF(C16&lt;$D$7,$D$16/$D$7, IF(C16=$D$7,SUM(E16:E$17),""))</f>
        <v>166666666.66666666</v>
      </c>
      <c r="F17" s="43">
        <f>IF(C16&lt;$D$7,D16*$D$8/360*30,IF(C16=$D$7,SUM(F16:F$17),""))</f>
        <v>122500000</v>
      </c>
      <c r="G17" s="43">
        <f>IF(C16&lt;$D$7,F17+E17,IF(C16=$D$7,SUM(E17:F17),""))</f>
        <v>289166666.66666663</v>
      </c>
      <c r="H17" s="42" t="e">
        <f>IF(#REF!&lt;#REF!,DATE(YEAR(H16),MONTH(H16)+3,DAY(H16)),IF(#REF!=#REF!,"Tổng",""))</f>
        <v>#REF!</v>
      </c>
      <c r="I17" s="17"/>
      <c r="J17" s="46"/>
      <c r="K17" s="46" t="s">
        <v>39</v>
      </c>
      <c r="L17" s="48">
        <f>SUM(G29:G40)</f>
        <v>3163750000.0000014</v>
      </c>
      <c r="M17" s="17">
        <f t="shared" ref="M17:M22" si="0">L17/23300</f>
        <v>135783.26180257517</v>
      </c>
      <c r="N17" s="15"/>
      <c r="O17" s="17"/>
      <c r="P17" s="15"/>
    </row>
    <row r="18" spans="2:16" ht="15">
      <c r="B18" s="42">
        <f t="shared" ref="B18:B69" si="1">IF(C17&lt;$D$7,DATE(YEAR(B17),MONTH(B17)+1,DAY(B17)),IF(C17=$D$7,"Tổng",""))</f>
        <v>44095</v>
      </c>
      <c r="C18" s="43">
        <f t="shared" ref="C18:C81" si="2">IF(C17&lt;$D$7,C17+1,"")</f>
        <v>2</v>
      </c>
      <c r="D18" s="43">
        <f>IF(C18&lt;=$D$7,D17-E18,"")</f>
        <v>13666666666.666668</v>
      </c>
      <c r="E18" s="43">
        <f>IF(C17&lt;$D$7,$D$16/$D$7, IF(C17=$D$7,SUM(E17:E$17),""))</f>
        <v>166666666.66666666</v>
      </c>
      <c r="F18" s="43">
        <f>IF(C17&lt;$D$7,D17*$D$8/360*30,IF(C17=$D$7,SUM(F$17:F17),""))</f>
        <v>121041666.66666666</v>
      </c>
      <c r="G18" s="43">
        <f t="shared" ref="G18:G69" si="3">IF(C17&lt;$D$7,F18+E18,IF(C17=$D$7,SUM(E18:F18),""))</f>
        <v>287708333.33333331</v>
      </c>
      <c r="H18" s="49"/>
      <c r="I18" s="17"/>
      <c r="J18" s="46"/>
      <c r="K18" s="46" t="s">
        <v>40</v>
      </c>
      <c r="L18" s="48">
        <f>SUM(G41:G52)</f>
        <v>2953750000.0000019</v>
      </c>
      <c r="M18" s="17">
        <f t="shared" si="0"/>
        <v>126770.3862660945</v>
      </c>
      <c r="N18" s="15"/>
      <c r="O18" s="17"/>
      <c r="P18" s="15"/>
    </row>
    <row r="19" spans="2:16" ht="15">
      <c r="B19" s="42">
        <f>IF(C18&lt;$D$7,DATE(YEAR(B18),MONTH(B18)+1,DAY(B18)),IF(C18=$D$7,"Tổng",""))</f>
        <v>44125</v>
      </c>
      <c r="C19" s="43">
        <f t="shared" si="2"/>
        <v>3</v>
      </c>
      <c r="D19" s="43">
        <f t="shared" ref="D19:D69" si="4">IF(C19&lt;=$D$7,D18-E19,"")</f>
        <v>13500000000.000002</v>
      </c>
      <c r="E19" s="43">
        <f>IF(C18&lt;$D$7,$D$16/$D$7, IF(C18=$D$7,SUM(E$17:E18),""))</f>
        <v>166666666.66666666</v>
      </c>
      <c r="F19" s="43">
        <f>IF(C18&lt;$D$7,D18*$D$8/360*30,IF(C18=$D$7,SUM(F$17:F18),""))</f>
        <v>119583333.33333333</v>
      </c>
      <c r="G19" s="43">
        <f t="shared" si="3"/>
        <v>286250000</v>
      </c>
      <c r="H19" s="50"/>
      <c r="I19" s="17"/>
      <c r="J19" s="46"/>
      <c r="K19" s="46" t="s">
        <v>41</v>
      </c>
      <c r="L19" s="48">
        <f>SUM(G53:G64)</f>
        <v>2743750000.0000019</v>
      </c>
      <c r="M19" s="17">
        <f t="shared" si="0"/>
        <v>117757.51072961382</v>
      </c>
      <c r="N19" s="15"/>
      <c r="O19" s="17"/>
      <c r="P19" s="15"/>
    </row>
    <row r="20" spans="2:16" ht="15">
      <c r="B20" s="42">
        <f t="shared" si="1"/>
        <v>44156</v>
      </c>
      <c r="C20" s="43">
        <f t="shared" si="2"/>
        <v>4</v>
      </c>
      <c r="D20" s="43">
        <f>IF(C20&lt;=$D$7,D19-E20,"")</f>
        <v>13333333333.333336</v>
      </c>
      <c r="E20" s="43">
        <f>IF(C19&lt;$D$7,$D$16/$D$7, IF(C19=$D$7,SUM(E$17:E19),""))</f>
        <v>166666666.66666666</v>
      </c>
      <c r="F20" s="43">
        <f>IF(C19&lt;$D$7,D19*$D$8/360*30,IF(C19=$D$7,SUM(F$17:F19),""))</f>
        <v>118125000.00000001</v>
      </c>
      <c r="G20" s="43">
        <f t="shared" si="3"/>
        <v>284791666.66666669</v>
      </c>
      <c r="H20" s="50"/>
      <c r="I20" s="17"/>
      <c r="J20" s="46"/>
      <c r="K20" s="46" t="s">
        <v>42</v>
      </c>
      <c r="L20" s="48">
        <f>SUM(G65:G76)</f>
        <v>2533750000.000001</v>
      </c>
      <c r="M20" s="17">
        <f t="shared" si="0"/>
        <v>108744.63519313309</v>
      </c>
      <c r="N20" s="15"/>
      <c r="O20" s="17"/>
      <c r="P20" s="15"/>
    </row>
    <row r="21" spans="2:16" ht="15">
      <c r="B21" s="42">
        <f t="shared" si="1"/>
        <v>44186</v>
      </c>
      <c r="C21" s="43">
        <f t="shared" si="2"/>
        <v>5</v>
      </c>
      <c r="D21" s="43">
        <f t="shared" si="4"/>
        <v>13166666666.66667</v>
      </c>
      <c r="E21" s="43">
        <f>IF(C20&lt;$D$7,$D$16/$D$7, IF(C20=$D$7,SUM(E$17:E20),""))</f>
        <v>166666666.66666666</v>
      </c>
      <c r="F21" s="43">
        <f>IF(C20&lt;$D$7,D20*$D$8/360*30,IF(C20=$D$7,SUM(F$17:F20),""))</f>
        <v>116666666.66666669</v>
      </c>
      <c r="G21" s="43">
        <f t="shared" si="3"/>
        <v>283333333.33333337</v>
      </c>
      <c r="H21" s="50"/>
      <c r="I21" s="17"/>
      <c r="J21" s="46"/>
      <c r="K21" s="46" t="s">
        <v>43</v>
      </c>
      <c r="L21" s="47">
        <f>SUM(G77:G88)</f>
        <v>2323750000.0000014</v>
      </c>
      <c r="M21" s="17">
        <f>L21/23300</f>
        <v>99731.759656652415</v>
      </c>
      <c r="N21" s="15"/>
      <c r="O21" s="17"/>
      <c r="P21" s="15"/>
    </row>
    <row r="22" spans="2:16" ht="15">
      <c r="B22" s="42">
        <f t="shared" si="1"/>
        <v>44217</v>
      </c>
      <c r="C22" s="43">
        <f t="shared" si="2"/>
        <v>6</v>
      </c>
      <c r="D22" s="43">
        <f t="shared" si="4"/>
        <v>13000000000.000004</v>
      </c>
      <c r="E22" s="43">
        <f>IF(C21&lt;$D$7,$D$16/$D$7, IF(C21=$D$7,SUM(E$17:E21),""))</f>
        <v>166666666.66666666</v>
      </c>
      <c r="F22" s="43">
        <f>IF(C21&lt;$D$7,D21*$D$8/360*30,IF(C21=$D$7,SUM(F$17:F21),""))</f>
        <v>115208333.33333336</v>
      </c>
      <c r="G22" s="43">
        <f t="shared" si="3"/>
        <v>281875000</v>
      </c>
      <c r="H22" s="50"/>
      <c r="I22" s="17"/>
      <c r="J22" s="46"/>
      <c r="K22" s="46" t="s">
        <v>44</v>
      </c>
      <c r="L22" s="48">
        <f>SUM(G89:G100)</f>
        <v>2113750000.0000014</v>
      </c>
      <c r="M22" s="17">
        <f t="shared" si="0"/>
        <v>90718.88412017173</v>
      </c>
      <c r="N22" s="15"/>
      <c r="O22" s="17"/>
      <c r="P22" s="15"/>
    </row>
    <row r="23" spans="2:16" ht="15">
      <c r="B23" s="42">
        <f t="shared" si="1"/>
        <v>44248</v>
      </c>
      <c r="C23" s="43">
        <f t="shared" si="2"/>
        <v>7</v>
      </c>
      <c r="D23" s="43">
        <f t="shared" si="4"/>
        <v>12833333333.333338</v>
      </c>
      <c r="E23" s="43">
        <f>IF(C22&lt;$D$7,$D$16/$D$7, IF(C22=$D$7,SUM(E$17:E22),""))</f>
        <v>166666666.66666666</v>
      </c>
      <c r="F23" s="43">
        <f>IF(C22&lt;$D$7,D22*$D$8/360*30,IF(C22=$D$7,SUM(F$17:F22),""))</f>
        <v>113750000.00000003</v>
      </c>
      <c r="G23" s="43">
        <f t="shared" si="3"/>
        <v>280416666.66666669</v>
      </c>
      <c r="H23" s="50"/>
      <c r="I23" s="17"/>
      <c r="J23" s="46"/>
      <c r="K23" s="35"/>
      <c r="L23" s="37"/>
      <c r="M23" s="15"/>
      <c r="N23" s="15"/>
      <c r="O23" s="17"/>
      <c r="P23" s="15"/>
    </row>
    <row r="24" spans="2:16" ht="15">
      <c r="B24" s="42">
        <f t="shared" si="1"/>
        <v>44276</v>
      </c>
      <c r="C24" s="43">
        <f t="shared" si="2"/>
        <v>8</v>
      </c>
      <c r="D24" s="43">
        <f t="shared" si="4"/>
        <v>12666666666.666672</v>
      </c>
      <c r="E24" s="43">
        <f>IF(C23&lt;$D$7,$D$16/$D$7, IF(C23=$D$7,SUM(E$17:E23),""))</f>
        <v>166666666.66666666</v>
      </c>
      <c r="F24" s="43">
        <f>IF(C23&lt;$D$7,D23*$D$8/360*30,IF(C23=$D$7,SUM(F$17:F23),""))</f>
        <v>112291666.6666667</v>
      </c>
      <c r="G24" s="43">
        <f t="shared" si="3"/>
        <v>278958333.33333337</v>
      </c>
      <c r="H24" s="50"/>
      <c r="I24" s="17"/>
      <c r="J24" s="46"/>
      <c r="K24" s="35"/>
      <c r="L24" s="37"/>
      <c r="M24" s="15"/>
      <c r="N24" s="15"/>
      <c r="O24" s="17"/>
      <c r="P24" s="15"/>
    </row>
    <row r="25" spans="2:16" ht="15">
      <c r="B25" s="42">
        <f t="shared" si="1"/>
        <v>44307</v>
      </c>
      <c r="C25" s="43">
        <f t="shared" si="2"/>
        <v>9</v>
      </c>
      <c r="D25" s="43">
        <f t="shared" si="4"/>
        <v>12500000000.000006</v>
      </c>
      <c r="E25" s="43">
        <f>IF(C24&lt;$D$7,$D$16/$D$7, IF(C24=$D$7,SUM(E$17:E24),""))</f>
        <v>166666666.66666666</v>
      </c>
      <c r="F25" s="43">
        <f>IF(C24&lt;$D$7,D24*$D$8/360*30,IF(C24=$D$7,SUM(F$17:F24),""))</f>
        <v>110833333.33333337</v>
      </c>
      <c r="G25" s="43">
        <f t="shared" si="3"/>
        <v>277500000</v>
      </c>
      <c r="H25" s="50"/>
      <c r="I25" s="51"/>
      <c r="J25" s="46"/>
      <c r="K25" s="35"/>
      <c r="L25" s="37"/>
      <c r="M25" s="15"/>
      <c r="N25" s="15"/>
      <c r="O25" s="17"/>
      <c r="P25" s="15"/>
    </row>
    <row r="26" spans="2:16" ht="15">
      <c r="B26" s="42">
        <f t="shared" si="1"/>
        <v>44337</v>
      </c>
      <c r="C26" s="43">
        <f t="shared" si="2"/>
        <v>10</v>
      </c>
      <c r="D26" s="43">
        <f t="shared" si="4"/>
        <v>12333333333.33334</v>
      </c>
      <c r="E26" s="43">
        <f>IF(C25&lt;$D$7,$D$16/$D$7, IF(C25=$D$7,SUM(E$17:E25),""))</f>
        <v>166666666.66666666</v>
      </c>
      <c r="F26" s="43">
        <f>IF(C25&lt;$D$7,D25*$D$8/360*30,IF(C25=$D$7,SUM(F$17:F25),""))</f>
        <v>109375000.00000004</v>
      </c>
      <c r="G26" s="43">
        <f t="shared" si="3"/>
        <v>276041666.66666669</v>
      </c>
      <c r="H26" s="50"/>
      <c r="I26" s="17"/>
      <c r="J26" s="46"/>
      <c r="K26" s="35"/>
      <c r="L26" s="37"/>
      <c r="M26" s="15"/>
      <c r="N26" s="15"/>
      <c r="O26" s="17"/>
      <c r="P26" s="15"/>
    </row>
    <row r="27" spans="2:16" ht="15">
      <c r="B27" s="42">
        <f t="shared" si="1"/>
        <v>44368</v>
      </c>
      <c r="C27" s="43">
        <f t="shared" si="2"/>
        <v>11</v>
      </c>
      <c r="D27" s="43">
        <f t="shared" si="4"/>
        <v>12166666666.666674</v>
      </c>
      <c r="E27" s="43">
        <f>IF(C26&lt;$D$7,$D$16/$D$7, IF(C26=$D$7,SUM(E$17:E26),""))</f>
        <v>166666666.66666666</v>
      </c>
      <c r="F27" s="43">
        <f>IF(C26&lt;$D$7,D26*$D$8/360*30,IF(C26=$D$7,SUM(F$17:F26),""))</f>
        <v>107916666.66666673</v>
      </c>
      <c r="G27" s="43">
        <f t="shared" si="3"/>
        <v>274583333.33333337</v>
      </c>
      <c r="H27" s="50"/>
      <c r="I27" s="17"/>
      <c r="J27" s="46"/>
      <c r="K27" s="35"/>
      <c r="L27" s="37"/>
      <c r="M27" s="15"/>
      <c r="N27" s="15"/>
      <c r="O27" s="17"/>
      <c r="P27" s="15"/>
    </row>
    <row r="28" spans="2:16" ht="15">
      <c r="B28" s="42">
        <f t="shared" si="1"/>
        <v>44398</v>
      </c>
      <c r="C28" s="43">
        <f t="shared" si="2"/>
        <v>12</v>
      </c>
      <c r="D28" s="43">
        <f t="shared" si="4"/>
        <v>12000000000.000008</v>
      </c>
      <c r="E28" s="43">
        <f>IF(C27&lt;$D$7,$D$16/$D$7, IF(C27=$D$7,SUM(E$17:E27),""))</f>
        <v>166666666.66666666</v>
      </c>
      <c r="F28" s="43">
        <f>IF(C27&lt;$D$7,D27*$D$8/360*30,IF(C27=$D$7,SUM(F$17:F27),""))</f>
        <v>106458333.33333339</v>
      </c>
      <c r="G28" s="43">
        <f t="shared" si="3"/>
        <v>273125000.00000006</v>
      </c>
      <c r="H28" s="50"/>
      <c r="I28" s="17"/>
      <c r="J28" s="46"/>
      <c r="K28" s="35"/>
      <c r="L28" s="37"/>
      <c r="M28" s="15"/>
      <c r="N28" s="15"/>
      <c r="O28" s="17"/>
      <c r="P28" s="15"/>
    </row>
    <row r="29" spans="2:16" ht="15">
      <c r="B29" s="42">
        <f t="shared" si="1"/>
        <v>44429</v>
      </c>
      <c r="C29" s="43">
        <f t="shared" si="2"/>
        <v>13</v>
      </c>
      <c r="D29" s="43">
        <f t="shared" si="4"/>
        <v>11833333333.333342</v>
      </c>
      <c r="E29" s="43">
        <f>IF(C28&lt;$D$7,$D$16/$D$7, IF(C28=$D$7,SUM(E$17:E28),""))</f>
        <v>166666666.66666666</v>
      </c>
      <c r="F29" s="43">
        <f>IF(C28&lt;$D$7,D28*$D$8/360*30,IF(C28=$D$7,SUM(F$17:F28),""))</f>
        <v>105000000.00000006</v>
      </c>
      <c r="G29" s="43">
        <f t="shared" si="3"/>
        <v>271666666.66666675</v>
      </c>
      <c r="H29" s="50"/>
      <c r="I29" s="17"/>
      <c r="J29" s="46"/>
      <c r="K29" s="35"/>
      <c r="L29" s="37"/>
      <c r="M29" s="15"/>
      <c r="N29" s="15"/>
      <c r="O29" s="17"/>
      <c r="P29" s="15"/>
    </row>
    <row r="30" spans="2:16" ht="15">
      <c r="B30" s="42">
        <f t="shared" si="1"/>
        <v>44460</v>
      </c>
      <c r="C30" s="43">
        <f t="shared" si="2"/>
        <v>14</v>
      </c>
      <c r="D30" s="43">
        <f t="shared" si="4"/>
        <v>11666666666.666676</v>
      </c>
      <c r="E30" s="43">
        <f>IF(C29&lt;$D$7,$D$16/$D$7, IF(C29=$D$7,SUM(E$17:E29),""))</f>
        <v>166666666.66666666</v>
      </c>
      <c r="F30" s="43">
        <f>IF(C29&lt;$D$7,D29*$D$8/360*30,IF(C29=$D$7,SUM(F$17:F29),""))</f>
        <v>103541666.66666673</v>
      </c>
      <c r="G30" s="43">
        <f t="shared" si="3"/>
        <v>270208333.33333337</v>
      </c>
      <c r="H30" s="50"/>
      <c r="I30" s="17"/>
      <c r="J30" s="46"/>
      <c r="K30" s="35"/>
      <c r="L30" s="37"/>
      <c r="M30" s="15"/>
      <c r="N30" s="15"/>
      <c r="O30" s="17"/>
      <c r="P30" s="15"/>
    </row>
    <row r="31" spans="2:16" ht="15">
      <c r="B31" s="42">
        <f t="shared" si="1"/>
        <v>44490</v>
      </c>
      <c r="C31" s="43">
        <f t="shared" si="2"/>
        <v>15</v>
      </c>
      <c r="D31" s="43">
        <f t="shared" si="4"/>
        <v>11500000000.00001</v>
      </c>
      <c r="E31" s="43">
        <f>IF(C30&lt;$D$7,$D$16/$D$7, IF(C30=$D$7,SUM(E$17:E30),""))</f>
        <v>166666666.66666666</v>
      </c>
      <c r="F31" s="43">
        <f>IF(C30&lt;$D$7,D30*$D$8/360*30,IF(C30=$D$7,SUM(F$17:F30),""))</f>
        <v>102083333.3333334</v>
      </c>
      <c r="G31" s="43">
        <f t="shared" si="3"/>
        <v>268750000.00000006</v>
      </c>
      <c r="H31" s="50"/>
      <c r="I31" s="17"/>
      <c r="J31" s="46"/>
      <c r="K31" s="35"/>
      <c r="L31" s="37"/>
      <c r="M31" s="15"/>
      <c r="N31" s="15"/>
      <c r="O31" s="17"/>
      <c r="P31" s="15"/>
    </row>
    <row r="32" spans="2:16" ht="15">
      <c r="B32" s="42">
        <f t="shared" si="1"/>
        <v>44521</v>
      </c>
      <c r="C32" s="43">
        <f t="shared" si="2"/>
        <v>16</v>
      </c>
      <c r="D32" s="43">
        <f t="shared" si="4"/>
        <v>11333333333.333344</v>
      </c>
      <c r="E32" s="43">
        <f>IF(C31&lt;$D$7,$D$16/$D$7, IF(C31=$D$7,SUM(E$17:E31),""))</f>
        <v>166666666.66666666</v>
      </c>
      <c r="F32" s="43">
        <f>IF(C31&lt;$D$7,D31*$D$8/360*30,IF(C31=$D$7,SUM(F$17:F31),""))</f>
        <v>100625000.00000007</v>
      </c>
      <c r="G32" s="43">
        <f t="shared" si="3"/>
        <v>267291666.66666675</v>
      </c>
      <c r="H32" s="50"/>
      <c r="I32" s="17"/>
      <c r="J32" s="46"/>
      <c r="K32" s="35"/>
      <c r="L32" s="37"/>
      <c r="M32" s="15"/>
      <c r="N32" s="15"/>
      <c r="O32" s="17"/>
      <c r="P32" s="15"/>
    </row>
    <row r="33" spans="2:16" ht="15">
      <c r="B33" s="42">
        <f t="shared" si="1"/>
        <v>44551</v>
      </c>
      <c r="C33" s="43">
        <f t="shared" si="2"/>
        <v>17</v>
      </c>
      <c r="D33" s="43">
        <f t="shared" si="4"/>
        <v>11166666666.666677</v>
      </c>
      <c r="E33" s="43">
        <f>IF(C32&lt;$D$7,$D$16/$D$7, IF(C32=$D$7,SUM(E$17:E32),""))</f>
        <v>166666666.66666666</v>
      </c>
      <c r="F33" s="43">
        <f>IF(C32&lt;$D$7,D32*$D$8/360*30,IF(C32=$D$7,SUM(F$17:F32),""))</f>
        <v>99166666.666666746</v>
      </c>
      <c r="G33" s="43">
        <f t="shared" si="3"/>
        <v>265833333.3333334</v>
      </c>
      <c r="H33" s="50"/>
      <c r="I33" s="17"/>
      <c r="J33" s="46"/>
      <c r="K33" s="35"/>
      <c r="L33" s="37"/>
      <c r="M33" s="15"/>
      <c r="N33" s="15"/>
      <c r="O33" s="17"/>
      <c r="P33" s="15"/>
    </row>
    <row r="34" spans="2:16" ht="15">
      <c r="B34" s="42">
        <f t="shared" si="1"/>
        <v>44582</v>
      </c>
      <c r="C34" s="43">
        <f t="shared" si="2"/>
        <v>18</v>
      </c>
      <c r="D34" s="43">
        <f t="shared" si="4"/>
        <v>11000000000.000011</v>
      </c>
      <c r="E34" s="43">
        <f>IF(C33&lt;$D$7,$D$16/$D$7, IF(C33=$D$7,SUM(E$17:E33),""))</f>
        <v>166666666.66666666</v>
      </c>
      <c r="F34" s="43">
        <f>IF(C33&lt;$D$7,D33*$D$8/360*30,IF(C33=$D$7,SUM(F$17:F33),""))</f>
        <v>97708333.333333433</v>
      </c>
      <c r="G34" s="43">
        <f t="shared" si="3"/>
        <v>264375000.00000009</v>
      </c>
      <c r="H34" s="50"/>
      <c r="I34" s="15"/>
      <c r="J34" s="15"/>
      <c r="K34" s="35"/>
      <c r="L34" s="15"/>
      <c r="M34" s="15"/>
      <c r="N34" s="15"/>
      <c r="O34" s="17"/>
      <c r="P34" s="15"/>
    </row>
    <row r="35" spans="2:16" ht="15">
      <c r="B35" s="42">
        <f t="shared" si="1"/>
        <v>44613</v>
      </c>
      <c r="C35" s="43">
        <f t="shared" si="2"/>
        <v>19</v>
      </c>
      <c r="D35" s="43">
        <f t="shared" si="4"/>
        <v>10833333333.333345</v>
      </c>
      <c r="E35" s="43">
        <f>IF(C34&lt;$D$7,$D$16/$D$7, IF(C34=$D$7,SUM(E$17:E34),""))</f>
        <v>166666666.66666666</v>
      </c>
      <c r="F35" s="43">
        <f>IF(C34&lt;$D$7,D34*$D$8/360*30,IF(C34=$D$7,SUM(F$17:F34),""))</f>
        <v>96250000.000000104</v>
      </c>
      <c r="G35" s="43">
        <f t="shared" si="3"/>
        <v>262916666.66666675</v>
      </c>
      <c r="H35" s="52"/>
      <c r="I35" s="15"/>
      <c r="J35" s="15"/>
      <c r="K35" s="35"/>
      <c r="L35" s="15"/>
      <c r="M35" s="15"/>
      <c r="N35" s="15"/>
      <c r="O35" s="17"/>
      <c r="P35" s="15"/>
    </row>
    <row r="36" spans="2:16">
      <c r="B36" s="42">
        <f t="shared" si="1"/>
        <v>44641</v>
      </c>
      <c r="C36" s="43">
        <f t="shared" si="2"/>
        <v>20</v>
      </c>
      <c r="D36" s="43">
        <f t="shared" si="4"/>
        <v>10666666666.666679</v>
      </c>
      <c r="E36" s="43">
        <f>IF(C35&lt;$D$7,$D$16/$D$7, IF(C35=$D$7,SUM(E$17:E35),""))</f>
        <v>166666666.66666666</v>
      </c>
      <c r="F36" s="43">
        <f>IF(C35&lt;$D$7,D35*$D$8/360*30,IF(C35=$D$7,SUM(F$17:F35),""))</f>
        <v>94791666.666666776</v>
      </c>
      <c r="G36" s="43">
        <f t="shared" si="3"/>
        <v>261458333.33333343</v>
      </c>
      <c r="I36" s="15"/>
      <c r="J36" s="15"/>
      <c r="K36" s="53"/>
      <c r="L36" s="15"/>
      <c r="M36" s="15"/>
      <c r="N36" s="15"/>
      <c r="O36" s="17"/>
      <c r="P36" s="15"/>
    </row>
    <row r="37" spans="2:16">
      <c r="B37" s="42">
        <f t="shared" si="1"/>
        <v>44672</v>
      </c>
      <c r="C37" s="43">
        <f t="shared" si="2"/>
        <v>21</v>
      </c>
      <c r="D37" s="43">
        <f t="shared" si="4"/>
        <v>10500000000.000013</v>
      </c>
      <c r="E37" s="43">
        <f>IF(C36&lt;$D$7,$D$16/$D$7, IF(C36=$D$7,SUM(E$17:E36),""))</f>
        <v>166666666.66666666</v>
      </c>
      <c r="F37" s="43">
        <f>IF(C36&lt;$D$7,D36*$D$8/360*30,IF(C36=$D$7,SUM(F$17:F36),""))</f>
        <v>93333333.333333433</v>
      </c>
      <c r="G37" s="43">
        <f t="shared" si="3"/>
        <v>260000000.00000009</v>
      </c>
      <c r="K37" s="18"/>
      <c r="L37" s="54"/>
      <c r="M37" s="54"/>
      <c r="O37" s="43">
        <f>IF(C36&lt;$D$7,D36*0.5%,IF(C36=$D$7,SUM(O$17:O36),0))</f>
        <v>53333333.333333395</v>
      </c>
    </row>
    <row r="38" spans="2:16">
      <c r="B38" s="42">
        <f t="shared" si="1"/>
        <v>44702</v>
      </c>
      <c r="C38" s="43">
        <f t="shared" si="2"/>
        <v>22</v>
      </c>
      <c r="D38" s="43">
        <f t="shared" si="4"/>
        <v>10333333333.333347</v>
      </c>
      <c r="E38" s="43">
        <f>IF(C37&lt;$D$7,$D$16/$D$7, IF(C37=$D$7,SUM(E$17:E37),""))</f>
        <v>166666666.66666666</v>
      </c>
      <c r="F38" s="43">
        <f>IF(C37&lt;$D$7,D37*$D$8/360*30,IF(C37=$D$7,SUM(F$17:F37),""))</f>
        <v>91875000.000000119</v>
      </c>
      <c r="G38" s="43">
        <f t="shared" si="3"/>
        <v>258541666.66666678</v>
      </c>
      <c r="K38" s="18"/>
      <c r="L38" s="54"/>
      <c r="M38" s="54"/>
      <c r="O38" s="43">
        <f>IF(C37&lt;$D$7,D37*0.5%,IF(C37=$D$7,SUM(O$17:O37),0))</f>
        <v>52500000.000000067</v>
      </c>
    </row>
    <row r="39" spans="2:16">
      <c r="B39" s="42">
        <f t="shared" si="1"/>
        <v>44733</v>
      </c>
      <c r="C39" s="43">
        <f t="shared" si="2"/>
        <v>23</v>
      </c>
      <c r="D39" s="43">
        <f t="shared" si="4"/>
        <v>10166666666.666681</v>
      </c>
      <c r="E39" s="43">
        <f>IF(C38&lt;$D$7,$D$16/$D$7, IF(C38=$D$7,SUM(E$17:E38),""))</f>
        <v>166666666.66666666</v>
      </c>
      <c r="F39" s="43">
        <f>IF(C38&lt;$D$7,D38*$D$8/360*30,IF(C38=$D$7,SUM(F$17:F38),""))</f>
        <v>90416666.666666776</v>
      </c>
      <c r="G39" s="43">
        <f t="shared" si="3"/>
        <v>257083333.33333343</v>
      </c>
      <c r="K39" s="18"/>
      <c r="L39" s="54"/>
      <c r="M39" s="54"/>
      <c r="O39" s="43">
        <f>IF(C38&lt;$D$7,D38*0.5%,IF(C38=$D$7,SUM(O$17:O38),0))</f>
        <v>51666666.666666739</v>
      </c>
    </row>
    <row r="40" spans="2:16">
      <c r="B40" s="42">
        <f t="shared" si="1"/>
        <v>44763</v>
      </c>
      <c r="C40" s="43">
        <f t="shared" si="2"/>
        <v>24</v>
      </c>
      <c r="D40" s="43">
        <f t="shared" si="4"/>
        <v>10000000000.000015</v>
      </c>
      <c r="E40" s="43">
        <f>IF(C39&lt;$D$7,$D$16/$D$7, IF(C39=$D$7,SUM(E$17:E39),""))</f>
        <v>166666666.66666666</v>
      </c>
      <c r="F40" s="43">
        <f>IF(C39&lt;$D$7,D39*$D$8/360*30,IF(C39=$D$7,SUM(F$17:F39),""))</f>
        <v>88958333.333333462</v>
      </c>
      <c r="G40" s="43">
        <f t="shared" si="3"/>
        <v>255625000.00000012</v>
      </c>
      <c r="H40" s="14"/>
      <c r="K40" s="18"/>
      <c r="L40" s="54"/>
      <c r="M40" s="54"/>
      <c r="O40" s="43">
        <f>IF(C39&lt;$D$7,D39*0.5%,IF(C39=$D$7,SUM(O$17:O39),0))</f>
        <v>50833333.33333341</v>
      </c>
    </row>
    <row r="41" spans="2:16" ht="15">
      <c r="B41" s="42">
        <f>IF(C40&lt;$D$7,DATE(YEAR(B40),MONTH(B40)+1,DAY(B40)),IF(C40=$D$7,"Tổng",""))</f>
        <v>44794</v>
      </c>
      <c r="C41" s="43">
        <f t="shared" si="2"/>
        <v>25</v>
      </c>
      <c r="D41" s="43">
        <f t="shared" si="4"/>
        <v>9833333333.3333492</v>
      </c>
      <c r="E41" s="43">
        <f>IF(C40&lt;$D$7,$D$16/$D$7, IF(C40=$D$7,SUM(E$17:E40),""))</f>
        <v>166666666.66666666</v>
      </c>
      <c r="F41" s="43">
        <f>IF(C40&lt;$D$7,D40*$D$8/360*30,IF(C40=$D$7,SUM(F$17:F40),""))</f>
        <v>87500000.000000134</v>
      </c>
      <c r="G41" s="43">
        <f t="shared" si="3"/>
        <v>254166666.66666681</v>
      </c>
      <c r="H41" s="14"/>
      <c r="K41" s="18"/>
      <c r="L41" s="55"/>
      <c r="M41" s="54"/>
      <c r="O41" s="43">
        <f>IF(C40&lt;$D$7,D40*0.5%,IF(C40=$D$7,SUM(O$17:O40),0))</f>
        <v>50000000.000000075</v>
      </c>
    </row>
    <row r="42" spans="2:16">
      <c r="B42" s="42">
        <f t="shared" si="1"/>
        <v>44825</v>
      </c>
      <c r="C42" s="43">
        <f t="shared" si="2"/>
        <v>26</v>
      </c>
      <c r="D42" s="43">
        <f t="shared" si="4"/>
        <v>9666666666.6666832</v>
      </c>
      <c r="E42" s="43">
        <f>IF(C41&lt;$D$7,$D$16/$D$7, IF(C41=$D$7,SUM(E$17:E41),""))</f>
        <v>166666666.66666666</v>
      </c>
      <c r="F42" s="43">
        <f>IF(C41&lt;$D$7,D41*$D$8/360*30,IF(C41=$D$7,SUM(F$17:F41),""))</f>
        <v>86041666.666666806</v>
      </c>
      <c r="G42" s="43">
        <f t="shared" si="3"/>
        <v>252708333.33333346</v>
      </c>
      <c r="H42" s="14"/>
      <c r="K42" s="18"/>
      <c r="L42" s="56"/>
      <c r="M42" s="54"/>
      <c r="O42" s="43">
        <f>IF(C41&lt;$D$7,D41*0.5%,IF(C41=$D$7,SUM(O$17:O41),0))</f>
        <v>49166666.666666746</v>
      </c>
    </row>
    <row r="43" spans="2:16">
      <c r="B43" s="42">
        <f t="shared" si="1"/>
        <v>44855</v>
      </c>
      <c r="C43" s="43">
        <f t="shared" si="2"/>
        <v>27</v>
      </c>
      <c r="D43" s="43">
        <f t="shared" si="4"/>
        <v>9500000000.0000172</v>
      </c>
      <c r="E43" s="43">
        <f>IF(C42&lt;$D$7,$D$16/$D$7, IF(C42=$D$7,SUM(E$17:E42),""))</f>
        <v>166666666.66666666</v>
      </c>
      <c r="F43" s="43">
        <f>IF(C42&lt;$D$7,D42*$D$8/360*30,IF(C42=$D$7,SUM(F$17:F42),""))</f>
        <v>84583333.333333477</v>
      </c>
      <c r="G43" s="43">
        <f t="shared" si="3"/>
        <v>251250000.00000012</v>
      </c>
      <c r="H43" s="14"/>
      <c r="K43" s="18"/>
      <c r="L43" s="54"/>
      <c r="M43" s="54"/>
      <c r="O43" s="43">
        <f>IF(C42&lt;$D$7,D42*0.5%,IF(C42=$D$7,SUM(O$17:O42),0))</f>
        <v>48333333.333333418</v>
      </c>
    </row>
    <row r="44" spans="2:16">
      <c r="B44" s="42">
        <f t="shared" si="1"/>
        <v>44886</v>
      </c>
      <c r="C44" s="43">
        <f t="shared" si="2"/>
        <v>28</v>
      </c>
      <c r="D44" s="43">
        <f t="shared" si="4"/>
        <v>9333333333.3333511</v>
      </c>
      <c r="E44" s="43">
        <f>IF(C43&lt;$D$7,$D$16/$D$7, IF(C43=$D$7,SUM(E$17:E43),""))</f>
        <v>166666666.66666666</v>
      </c>
      <c r="F44" s="43">
        <f>IF(C43&lt;$D$7,D43*$D$8/360*30,IF(C43=$D$7,SUM(F$17:F43),""))</f>
        <v>83125000.000000149</v>
      </c>
      <c r="G44" s="43">
        <f t="shared" si="3"/>
        <v>249791666.66666681</v>
      </c>
      <c r="H44" s="14"/>
      <c r="K44" s="54"/>
      <c r="L44" s="54"/>
      <c r="M44" s="54"/>
      <c r="O44" s="43">
        <f>IF(C43&lt;$D$7,D43*0.5%,IF(C43=$D$7,SUM(O$17:O43),0))</f>
        <v>47500000.000000089</v>
      </c>
    </row>
    <row r="45" spans="2:16">
      <c r="B45" s="42">
        <f t="shared" si="1"/>
        <v>44916</v>
      </c>
      <c r="C45" s="43">
        <f t="shared" si="2"/>
        <v>29</v>
      </c>
      <c r="D45" s="43">
        <f t="shared" si="4"/>
        <v>9166666666.6666851</v>
      </c>
      <c r="E45" s="43">
        <f>IF(C44&lt;$D$7,$D$16/$D$7, IF(C44=$D$7,SUM(E$17:E44),""))</f>
        <v>166666666.66666666</v>
      </c>
      <c r="F45" s="43">
        <f>IF(C44&lt;$D$7,D44*$D$8/360*30,IF(C44=$D$7,SUM(F$17:F44),""))</f>
        <v>81666666.666666821</v>
      </c>
      <c r="G45" s="43">
        <f t="shared" si="3"/>
        <v>248333333.33333349</v>
      </c>
      <c r="H45" s="14"/>
      <c r="K45" s="54"/>
      <c r="L45" s="54"/>
      <c r="M45" s="54"/>
      <c r="O45" s="43">
        <f>IF(C44&lt;$D$7,D44*0.5%,IF(C44=$D$7,SUM(O$17:O44),0))</f>
        <v>46666666.666666754</v>
      </c>
    </row>
    <row r="46" spans="2:16">
      <c r="B46" s="42">
        <f t="shared" si="1"/>
        <v>44947</v>
      </c>
      <c r="C46" s="43">
        <f t="shared" si="2"/>
        <v>30</v>
      </c>
      <c r="D46" s="43">
        <f t="shared" si="4"/>
        <v>9000000000.0000191</v>
      </c>
      <c r="E46" s="43">
        <f>IF(C45&lt;$D$7,$D$16/$D$7, IF(C45=$D$7,SUM(E$17:E45),""))</f>
        <v>166666666.66666666</v>
      </c>
      <c r="F46" s="43">
        <f>IF(C45&lt;$D$7,D45*$D$8/360*30,IF(C45=$D$7,SUM(F$17:F45),""))</f>
        <v>80208333.333333492</v>
      </c>
      <c r="G46" s="43">
        <f t="shared" si="3"/>
        <v>246875000.00000015</v>
      </c>
      <c r="H46" s="14"/>
      <c r="K46" s="54"/>
      <c r="L46" s="54"/>
      <c r="M46" s="54"/>
      <c r="O46" s="43">
        <f>IF(C45&lt;$D$7,D45*0.5%,IF(C45=$D$7,SUM(O$17:O45),0))</f>
        <v>45833333.333333425</v>
      </c>
    </row>
    <row r="47" spans="2:16">
      <c r="B47" s="42">
        <f t="shared" si="1"/>
        <v>44978</v>
      </c>
      <c r="C47" s="43">
        <f t="shared" si="2"/>
        <v>31</v>
      </c>
      <c r="D47" s="43">
        <f t="shared" si="4"/>
        <v>8833333333.333353</v>
      </c>
      <c r="E47" s="43">
        <f>IF(C46&lt;$D$7,$D$16/$D$7, IF(C46=$D$7,SUM(E$17:E46),""))</f>
        <v>166666666.66666666</v>
      </c>
      <c r="F47" s="43">
        <f>IF(C46&lt;$D$7,D46*$D$8/360*30,IF(C46=$D$7,SUM(F$17:F46),""))</f>
        <v>78750000.000000164</v>
      </c>
      <c r="G47" s="43">
        <f t="shared" si="3"/>
        <v>245416666.66666681</v>
      </c>
      <c r="H47" s="14"/>
      <c r="K47" s="54"/>
      <c r="L47" s="54"/>
      <c r="M47" s="54"/>
      <c r="O47" s="43">
        <f>IF(C46&lt;$D$7,D46*0.5%,IF(C46=$D$7,SUM(O$17:O46),0))</f>
        <v>45000000.000000097</v>
      </c>
    </row>
    <row r="48" spans="2:16">
      <c r="B48" s="42">
        <f t="shared" si="1"/>
        <v>45006</v>
      </c>
      <c r="C48" s="43">
        <f t="shared" si="2"/>
        <v>32</v>
      </c>
      <c r="D48" s="43">
        <f t="shared" si="4"/>
        <v>8666666666.666687</v>
      </c>
      <c r="E48" s="43">
        <f>IF(C47&lt;$D$7,$D$16/$D$7, IF(C47=$D$7,SUM(E$17:E47),""))</f>
        <v>166666666.66666666</v>
      </c>
      <c r="F48" s="43">
        <f>IF(C47&lt;$D$7,D47*$D$8/360*30,IF(C47=$D$7,SUM(F$17:F47),""))</f>
        <v>77291666.666666836</v>
      </c>
      <c r="G48" s="43">
        <f t="shared" si="3"/>
        <v>243958333.33333349</v>
      </c>
      <c r="H48" s="14"/>
      <c r="O48" s="43">
        <f>IF(C47&lt;$D$7,D47*0.5%,IF(C47=$D$7,SUM(O$17:O47),0))</f>
        <v>44166666.666666768</v>
      </c>
    </row>
    <row r="49" spans="2:15">
      <c r="B49" s="42">
        <f t="shared" si="1"/>
        <v>45037</v>
      </c>
      <c r="C49" s="43">
        <f t="shared" si="2"/>
        <v>33</v>
      </c>
      <c r="D49" s="43">
        <f t="shared" si="4"/>
        <v>8500000000.00002</v>
      </c>
      <c r="E49" s="43">
        <f>IF(C48&lt;$D$7,$D$16/$D$7, IF(C48=$D$7,SUM(E$17:E48),""))</f>
        <v>166666666.66666666</v>
      </c>
      <c r="F49" s="43">
        <f>IF(C48&lt;$D$7,D48*$D$8/360*30,IF(C48=$D$7,SUM(F$17:F48),""))</f>
        <v>75833333.333333507</v>
      </c>
      <c r="G49" s="43">
        <f t="shared" si="3"/>
        <v>242500000.00000018</v>
      </c>
      <c r="H49" s="14"/>
      <c r="O49" s="43">
        <f>IF(C48&lt;$D$7,D48*0.5%,IF(C48=$D$7,SUM(O$17:O48),0))</f>
        <v>43333333.333333433</v>
      </c>
    </row>
    <row r="50" spans="2:15">
      <c r="B50" s="42">
        <f t="shared" si="1"/>
        <v>45067</v>
      </c>
      <c r="C50" s="43">
        <f t="shared" si="2"/>
        <v>34</v>
      </c>
      <c r="D50" s="43">
        <f t="shared" si="4"/>
        <v>8333333333.333353</v>
      </c>
      <c r="E50" s="43">
        <f>IF(C49&lt;$D$7,$D$16/$D$7, IF(C49=$D$7,SUM(E$17:E49),""))</f>
        <v>166666666.66666666</v>
      </c>
      <c r="F50" s="43">
        <f>IF(C49&lt;$D$7,D49*$D$8/360*30,IF(C49=$D$7,SUM(F$17:F49),""))</f>
        <v>74375000.000000164</v>
      </c>
      <c r="G50" s="43">
        <f t="shared" si="3"/>
        <v>241041666.66666681</v>
      </c>
      <c r="H50" s="14"/>
      <c r="O50" s="43">
        <f>IF(C49&lt;$D$7,D49*0.5%,IF(C49=$D$7,SUM(O$17:O49),0))</f>
        <v>42500000.000000104</v>
      </c>
    </row>
    <row r="51" spans="2:15">
      <c r="B51" s="42">
        <f t="shared" si="1"/>
        <v>45098</v>
      </c>
      <c r="C51" s="43">
        <f t="shared" si="2"/>
        <v>35</v>
      </c>
      <c r="D51" s="43">
        <f t="shared" si="4"/>
        <v>8166666666.6666861</v>
      </c>
      <c r="E51" s="43">
        <f>IF(C50&lt;$D$7,$D$16/$D$7, IF(C50=$D$7,SUM(E$17:E50),""))</f>
        <v>166666666.66666666</v>
      </c>
      <c r="F51" s="43">
        <f>IF(C50&lt;$D$7,D50*$D$8/360*30,IF(C50=$D$7,SUM(F$17:F50),""))</f>
        <v>72916666.666666836</v>
      </c>
      <c r="G51" s="43">
        <f t="shared" si="3"/>
        <v>239583333.33333349</v>
      </c>
      <c r="H51" s="14"/>
      <c r="O51" s="43">
        <f>IF(C50&lt;$D$7,D50*0.5%,IF(C50=$D$7,SUM(O$17:O50),0))</f>
        <v>41666666.666666768</v>
      </c>
    </row>
    <row r="52" spans="2:15">
      <c r="B52" s="42">
        <f t="shared" si="1"/>
        <v>45128</v>
      </c>
      <c r="C52" s="43">
        <f t="shared" si="2"/>
        <v>36</v>
      </c>
      <c r="D52" s="43">
        <f t="shared" si="4"/>
        <v>8000000000.0000191</v>
      </c>
      <c r="E52" s="43">
        <f>IF(C51&lt;$D$7,$D$16/$D$7, IF(C51=$D$7,SUM(E$17:E51),""))</f>
        <v>166666666.66666666</v>
      </c>
      <c r="F52" s="43">
        <f>IF(C51&lt;$D$7,D51*$D$8/360*30,IF(C51=$D$7,SUM(F$17:F51),""))</f>
        <v>71458333.333333507</v>
      </c>
      <c r="G52" s="43">
        <f t="shared" si="3"/>
        <v>238125000.00000018</v>
      </c>
      <c r="H52" s="14"/>
      <c r="O52" s="43">
        <f>IF(C51&lt;$D$7,D51*0.5%,IF(C51=$D$7,SUM(O$17:O51),0))</f>
        <v>40833333.333333433</v>
      </c>
    </row>
    <row r="53" spans="2:15">
      <c r="B53" s="42">
        <f t="shared" si="1"/>
        <v>45159</v>
      </c>
      <c r="C53" s="43">
        <f t="shared" si="2"/>
        <v>37</v>
      </c>
      <c r="D53" s="43">
        <f t="shared" si="4"/>
        <v>7833333333.3333521</v>
      </c>
      <c r="E53" s="43">
        <f>IF(C52&lt;$D$7,$D$16/$D$7, IF(C52=$D$7,SUM(E$17:E52),""))</f>
        <v>166666666.66666666</v>
      </c>
      <c r="F53" s="43">
        <f>IF(C52&lt;$D$7,D52*$D$8/360*30,IF(C52=$D$7,SUM(F$17:F52),""))</f>
        <v>70000000.000000179</v>
      </c>
      <c r="G53" s="43">
        <f t="shared" si="3"/>
        <v>236666666.66666684</v>
      </c>
      <c r="O53" s="43">
        <f>IF(C52&lt;$D$7,D52*0.5%,IF(C52=$D$7,SUM(O$17:O52),0))</f>
        <v>40000000.000000097</v>
      </c>
    </row>
    <row r="54" spans="2:15">
      <c r="B54" s="42">
        <f t="shared" si="1"/>
        <v>45190</v>
      </c>
      <c r="C54" s="43">
        <f t="shared" si="2"/>
        <v>38</v>
      </c>
      <c r="D54" s="43">
        <f t="shared" si="4"/>
        <v>7666666666.6666851</v>
      </c>
      <c r="E54" s="43">
        <f>IF(C53&lt;$D$7,$D$16/$D$7, IF(C53=$D$7,SUM(E$17:E53),""))</f>
        <v>166666666.66666666</v>
      </c>
      <c r="F54" s="43">
        <f>IF(C53&lt;$D$7,D53*$D$8/360*30,IF(C53=$D$7,SUM(F$17:F53),""))</f>
        <v>68541666.666666836</v>
      </c>
      <c r="G54" s="43">
        <f t="shared" si="3"/>
        <v>235208333.33333349</v>
      </c>
      <c r="O54" s="43">
        <f>IF(C53&lt;$D$7,D53*0.5%,IF(C53=$D$7,SUM(O$17:O53),0))</f>
        <v>39166666.666666761</v>
      </c>
    </row>
    <row r="55" spans="2:15">
      <c r="B55" s="42">
        <f t="shared" si="1"/>
        <v>45220</v>
      </c>
      <c r="C55" s="43">
        <f t="shared" si="2"/>
        <v>39</v>
      </c>
      <c r="D55" s="43">
        <f t="shared" si="4"/>
        <v>7500000000.0000181</v>
      </c>
      <c r="E55" s="43">
        <f>IF(C54&lt;$D$7,$D$16/$D$7, IF(C54=$D$7,SUM(E$17:E54),""))</f>
        <v>166666666.66666666</v>
      </c>
      <c r="F55" s="43">
        <f>IF(C54&lt;$D$7,D54*$D$8/360*30,IF(C54=$D$7,SUM(F$17:F54),""))</f>
        <v>67083333.3333335</v>
      </c>
      <c r="G55" s="43">
        <f t="shared" si="3"/>
        <v>233750000.00000015</v>
      </c>
      <c r="O55" s="43">
        <f>IF(C54&lt;$D$7,D54*0.5%,IF(C54=$D$7,SUM(O$17:O54),0))</f>
        <v>38333333.333333425</v>
      </c>
    </row>
    <row r="56" spans="2:15">
      <c r="B56" s="42">
        <f t="shared" si="1"/>
        <v>45251</v>
      </c>
      <c r="C56" s="43">
        <f t="shared" si="2"/>
        <v>40</v>
      </c>
      <c r="D56" s="43">
        <f t="shared" si="4"/>
        <v>7333333333.3333511</v>
      </c>
      <c r="E56" s="43">
        <f>IF(C55&lt;$D$7,$D$16/$D$7, IF(C55=$D$7,SUM(E$17:E55),""))</f>
        <v>166666666.66666666</v>
      </c>
      <c r="F56" s="43">
        <f>IF(C55&lt;$D$7,D55*$D$8/360*30,IF(C55=$D$7,SUM(F$17:F55),""))</f>
        <v>65625000.000000156</v>
      </c>
      <c r="G56" s="43">
        <f t="shared" si="3"/>
        <v>232291666.66666681</v>
      </c>
      <c r="O56" s="43">
        <f>IF(C55&lt;$D$7,D55*0.5%,IF(C55=$D$7,SUM(O$17:O55),0))</f>
        <v>37500000.000000089</v>
      </c>
    </row>
    <row r="57" spans="2:15">
      <c r="B57" s="42">
        <f t="shared" si="1"/>
        <v>45281</v>
      </c>
      <c r="C57" s="43">
        <f t="shared" si="2"/>
        <v>41</v>
      </c>
      <c r="D57" s="43">
        <f t="shared" si="4"/>
        <v>7166666666.6666842</v>
      </c>
      <c r="E57" s="43">
        <f>IF(C56&lt;$D$7,$D$16/$D$7, IF(C56=$D$7,SUM(E$17:E56),""))</f>
        <v>166666666.66666666</v>
      </c>
      <c r="F57" s="43">
        <f>IF(C56&lt;$D$7,D56*$D$8/360*30,IF(C56=$D$7,SUM(F$17:F56),""))</f>
        <v>64166666.666666806</v>
      </c>
      <c r="G57" s="43">
        <f t="shared" si="3"/>
        <v>230833333.33333346</v>
      </c>
      <c r="O57" s="43">
        <f>IF(C56&lt;$D$7,D56*0.5%,IF(C56=$D$7,SUM(O$17:O56),0))</f>
        <v>36666666.666666754</v>
      </c>
    </row>
    <row r="58" spans="2:15">
      <c r="B58" s="42">
        <f t="shared" si="1"/>
        <v>45312</v>
      </c>
      <c r="C58" s="43">
        <f t="shared" si="2"/>
        <v>42</v>
      </c>
      <c r="D58" s="43">
        <f t="shared" si="4"/>
        <v>7000000000.0000172</v>
      </c>
      <c r="E58" s="43">
        <f>IF(C57&lt;$D$7,$D$16/$D$7, IF(C57=$D$7,SUM(E$17:E57),""))</f>
        <v>166666666.66666666</v>
      </c>
      <c r="F58" s="43">
        <f>IF(C57&lt;$D$7,D57*$D$8/360*30,IF(C57=$D$7,SUM(F$17:F57),""))</f>
        <v>62708333.333333477</v>
      </c>
      <c r="G58" s="43">
        <f t="shared" si="3"/>
        <v>229375000.00000012</v>
      </c>
      <c r="O58" s="43">
        <f>IF(C57&lt;$D$7,D57*0.5%,IF(C57=$D$7,SUM(O$17:O57),0))</f>
        <v>35833333.333333425</v>
      </c>
    </row>
    <row r="59" spans="2:15">
      <c r="B59" s="42">
        <f t="shared" si="1"/>
        <v>45343</v>
      </c>
      <c r="C59" s="43">
        <f t="shared" si="2"/>
        <v>43</v>
      </c>
      <c r="D59" s="43">
        <f t="shared" si="4"/>
        <v>6833333333.3333502</v>
      </c>
      <c r="E59" s="43">
        <f>IF(C58&lt;$D$7,$D$16/$D$7, IF(C58=$D$7,SUM(E$17:E58),""))</f>
        <v>166666666.66666666</v>
      </c>
      <c r="F59" s="43">
        <f>IF(C58&lt;$D$7,D58*$D$8/360*30,IF(C58=$D$7,SUM(F$17:F58),""))</f>
        <v>61250000.000000149</v>
      </c>
      <c r="G59" s="43">
        <f t="shared" si="3"/>
        <v>227916666.66666681</v>
      </c>
      <c r="O59" s="43">
        <f>IF(C58&lt;$D$7,D58*0.5%,IF(C58=$D$7,SUM(O$17:O58),0))</f>
        <v>35000000.000000089</v>
      </c>
    </row>
    <row r="60" spans="2:15">
      <c r="B60" s="42">
        <f t="shared" si="1"/>
        <v>45372</v>
      </c>
      <c r="C60" s="43">
        <f t="shared" si="2"/>
        <v>44</v>
      </c>
      <c r="D60" s="43">
        <f t="shared" si="4"/>
        <v>6666666666.6666832</v>
      </c>
      <c r="E60" s="43">
        <f>IF(C59&lt;$D$7,$D$16/$D$7, IF(C59=$D$7,SUM(E$17:E59),""))</f>
        <v>166666666.66666666</v>
      </c>
      <c r="F60" s="43">
        <f>IF(C59&lt;$D$7,D59*$D$8/360*30,IF(C59=$D$7,SUM(F$17:F59),""))</f>
        <v>59791666.666666821</v>
      </c>
      <c r="G60" s="43">
        <f t="shared" si="3"/>
        <v>226458333.33333349</v>
      </c>
      <c r="O60" s="43">
        <f>IF(C59&lt;$D$7,D59*0.5%,IF(C59=$D$7,SUM(O$17:O59),0))</f>
        <v>34166666.666666754</v>
      </c>
    </row>
    <row r="61" spans="2:15">
      <c r="B61" s="42">
        <f t="shared" si="1"/>
        <v>45403</v>
      </c>
      <c r="C61" s="43">
        <f t="shared" si="2"/>
        <v>45</v>
      </c>
      <c r="D61" s="43">
        <f t="shared" si="4"/>
        <v>6500000000.0000162</v>
      </c>
      <c r="E61" s="43">
        <f>IF(C60&lt;$D$7,$D$16/$D$7, IF(C60=$D$7,SUM(E$17:E60),""))</f>
        <v>166666666.66666666</v>
      </c>
      <c r="F61" s="43">
        <f>IF(C60&lt;$D$7,D60*$D$8/360*30,IF(C60=$D$7,SUM(F$17:F60),""))</f>
        <v>58333333.333333477</v>
      </c>
      <c r="G61" s="43">
        <f t="shared" si="3"/>
        <v>225000000.00000012</v>
      </c>
      <c r="O61" s="43">
        <f>IF(C60&lt;$D$7,D60*0.5%,IF(C60=$D$7,SUM(O$17:O60),0))</f>
        <v>33333333.333333418</v>
      </c>
    </row>
    <row r="62" spans="2:15">
      <c r="B62" s="42">
        <f t="shared" si="1"/>
        <v>45433</v>
      </c>
      <c r="C62" s="43">
        <f t="shared" si="2"/>
        <v>46</v>
      </c>
      <c r="D62" s="43">
        <f t="shared" si="4"/>
        <v>6333333333.3333492</v>
      </c>
      <c r="E62" s="43">
        <f>IF(C61&lt;$D$7,$D$16/$D$7, IF(C61=$D$7,SUM(E$17:E61),""))</f>
        <v>166666666.66666666</v>
      </c>
      <c r="F62" s="43">
        <f>IF(C61&lt;$D$7,D61*$D$8/360*30,IF(C61=$D$7,SUM(F$17:F61),""))</f>
        <v>56875000.000000134</v>
      </c>
      <c r="G62" s="43">
        <f t="shared" si="3"/>
        <v>223541666.66666681</v>
      </c>
      <c r="O62" s="43">
        <f>IF(C61&lt;$D$7,D61*0.5%,IF(C61=$D$7,SUM(O$17:O61),0))</f>
        <v>32500000.000000082</v>
      </c>
    </row>
    <row r="63" spans="2:15">
      <c r="B63" s="42">
        <f t="shared" si="1"/>
        <v>45464</v>
      </c>
      <c r="C63" s="43">
        <f t="shared" si="2"/>
        <v>47</v>
      </c>
      <c r="D63" s="43">
        <f t="shared" si="4"/>
        <v>6166666666.6666822</v>
      </c>
      <c r="E63" s="43">
        <f>IF(C62&lt;$D$7,$D$16/$D$7, IF(C62=$D$7,SUM(E$17:E62),""))</f>
        <v>166666666.66666666</v>
      </c>
      <c r="F63" s="43">
        <f>IF(C62&lt;$D$7,D62*$D$8/360*30,IF(C62=$D$7,SUM(F$17:F62),""))</f>
        <v>55416666.666666806</v>
      </c>
      <c r="G63" s="43">
        <f t="shared" si="3"/>
        <v>222083333.33333346</v>
      </c>
      <c r="O63" s="43">
        <f>IF(C62&lt;$D$7,D62*0.5%,IF(C62=$D$7,SUM(O$17:O62),0))</f>
        <v>31666666.666666746</v>
      </c>
    </row>
    <row r="64" spans="2:15">
      <c r="B64" s="42">
        <f t="shared" si="1"/>
        <v>45494</v>
      </c>
      <c r="C64" s="43">
        <f t="shared" si="2"/>
        <v>48</v>
      </c>
      <c r="D64" s="43">
        <f t="shared" si="4"/>
        <v>6000000000.0000153</v>
      </c>
      <c r="E64" s="43">
        <f>IF(C63&lt;$D$7,$D$16/$D$7, IF(C63=$D$7,SUM(E$17:E63),""))</f>
        <v>166666666.66666666</v>
      </c>
      <c r="F64" s="43">
        <f>IF(C63&lt;$D$7,D63*$D$8/360*30,IF(C63=$D$7,SUM(F$17:F63),""))</f>
        <v>53958333.33333347</v>
      </c>
      <c r="G64" s="43">
        <f t="shared" si="3"/>
        <v>220625000.00000012</v>
      </c>
      <c r="O64" s="43">
        <f>IF(C63&lt;$D$7,D63*0.5%,IF(C63=$D$7,SUM(O$17:O63),0))</f>
        <v>30833333.33333341</v>
      </c>
    </row>
    <row r="65" spans="1:15">
      <c r="B65" s="42">
        <f t="shared" si="1"/>
        <v>45525</v>
      </c>
      <c r="C65" s="43">
        <f t="shared" si="2"/>
        <v>49</v>
      </c>
      <c r="D65" s="43">
        <f>IF(C65&lt;=$D$7,D64-E65,"")</f>
        <v>5833333333.3333483</v>
      </c>
      <c r="E65" s="43">
        <f>IF(C64&lt;$D$7,$D$16/$D$7, IF(C64=$D$7,SUM(E$17:E64),""))</f>
        <v>166666666.66666666</v>
      </c>
      <c r="F65" s="43">
        <f>IF(C64&lt;$D$7,D64*$D$8/360*30,IF(C64=$D$7,SUM(F$17:F64),""))</f>
        <v>52500000.000000127</v>
      </c>
      <c r="G65" s="43">
        <f t="shared" si="3"/>
        <v>219166666.66666678</v>
      </c>
      <c r="O65" s="43">
        <f>IF(C64&lt;$D$7,D64*0.5%,IF(C64=$D$7,SUM(O$17:O64),0))</f>
        <v>30000000.000000078</v>
      </c>
    </row>
    <row r="66" spans="1:15">
      <c r="B66" s="42">
        <f t="shared" si="1"/>
        <v>45556</v>
      </c>
      <c r="C66" s="43">
        <f t="shared" si="2"/>
        <v>50</v>
      </c>
      <c r="D66" s="43">
        <f t="shared" si="4"/>
        <v>5666666666.6666813</v>
      </c>
      <c r="E66" s="43">
        <f>IF(C65&lt;$D$7,$D$16/$D$7, IF(C65=$D$7,SUM(E$17:E65),""))</f>
        <v>166666666.66666666</v>
      </c>
      <c r="F66" s="43">
        <f>IF(C65&lt;$D$7,D65*$D$8/360*30,IF(C65=$D$7,SUM(F$17:F65),""))</f>
        <v>51041666.666666798</v>
      </c>
      <c r="G66" s="43">
        <f t="shared" si="3"/>
        <v>217708333.33333346</v>
      </c>
      <c r="O66" s="43"/>
    </row>
    <row r="67" spans="1:15">
      <c r="B67" s="42">
        <f t="shared" si="1"/>
        <v>45586</v>
      </c>
      <c r="C67" s="43">
        <f t="shared" si="2"/>
        <v>51</v>
      </c>
      <c r="D67" s="43">
        <f t="shared" si="4"/>
        <v>5500000000.0000143</v>
      </c>
      <c r="E67" s="43">
        <f>IF(C66&lt;$D$7,$D$16/$D$7, IF(C66=$D$7,SUM(E$17:E66),""))</f>
        <v>166666666.66666666</v>
      </c>
      <c r="F67" s="43">
        <f>IF(C66&lt;$D$7,D66*$D$8/360*30,IF(C66=$D$7,SUM(F$17:F66),""))</f>
        <v>49583333.333333462</v>
      </c>
      <c r="G67" s="43">
        <f t="shared" si="3"/>
        <v>216250000.00000012</v>
      </c>
      <c r="O67" s="43"/>
    </row>
    <row r="68" spans="1:15">
      <c r="B68" s="42">
        <f t="shared" si="1"/>
        <v>45617</v>
      </c>
      <c r="C68" s="43">
        <f t="shared" si="2"/>
        <v>52</v>
      </c>
      <c r="D68" s="43">
        <f t="shared" si="4"/>
        <v>5333333333.3333473</v>
      </c>
      <c r="E68" s="43">
        <f>IF(C67&lt;$D$7,$D$16/$D$7, IF(C67=$D$7,SUM(E$17:E67),""))</f>
        <v>166666666.66666666</v>
      </c>
      <c r="F68" s="43">
        <f>IF(C67&lt;$D$7,D67*$D$8/360*30,IF(C67=$D$7,SUM(F$17:F67),""))</f>
        <v>48125000.000000119</v>
      </c>
      <c r="G68" s="43">
        <f t="shared" si="3"/>
        <v>214791666.66666678</v>
      </c>
      <c r="O68" s="43"/>
    </row>
    <row r="69" spans="1:15">
      <c r="B69" s="42">
        <f t="shared" si="1"/>
        <v>45647</v>
      </c>
      <c r="C69" s="43">
        <f t="shared" si="2"/>
        <v>53</v>
      </c>
      <c r="D69" s="43">
        <f t="shared" si="4"/>
        <v>5166666666.6666803</v>
      </c>
      <c r="E69" s="43">
        <f>IF(C68&lt;$D$7,$D$16/$D$7, IF(C68=$D$7,SUM(E$17:E68),""))</f>
        <v>166666666.66666666</v>
      </c>
      <c r="F69" s="43">
        <f>IF(C68&lt;$D$7,D68*$D$8/360*30,IF(C68=$D$7,SUM(F$17:F68),""))</f>
        <v>46666666.666666783</v>
      </c>
      <c r="G69" s="43">
        <f t="shared" si="3"/>
        <v>213333333.33333343</v>
      </c>
      <c r="O69" s="43"/>
    </row>
    <row r="70" spans="1:15">
      <c r="B70" s="42">
        <f>IF(C69&lt;$D$7,DATE(YEAR(B69),MONTH(B69)+1,DAY(B69)),IF(C69=$D$7,"Tổng",""))</f>
        <v>45678</v>
      </c>
      <c r="C70" s="43">
        <f t="shared" si="2"/>
        <v>54</v>
      </c>
      <c r="D70" s="43">
        <f>IF(C70&lt;=$D$7,D69-E70,"")</f>
        <v>5000000000.0000134</v>
      </c>
      <c r="E70" s="43">
        <f>IF(C69&lt;$D$7,$D$16/$D$7, IF(C69=$D$7,SUM(E$17:E69),""))</f>
        <v>166666666.66666666</v>
      </c>
      <c r="F70" s="43">
        <f>IF(C69&lt;$D$7,D69*$D$8/360*30,IF(C69=$D$7,SUM(F$17:F69),""))</f>
        <v>45208333.333333455</v>
      </c>
      <c r="G70" s="43">
        <f>IF(C69&lt;$D$7,F70+E70,IF(C69=$D$7,SUM(E70:F70),""))</f>
        <v>211875000.00000012</v>
      </c>
      <c r="O70" s="43"/>
    </row>
    <row r="71" spans="1:15">
      <c r="B71" s="42">
        <f t="shared" ref="B71:B134" si="5">IF(C70&lt;$D$7,DATE(YEAR(B70),MONTH(B70)+1,DAY(B70)),IF(C70=$D$7,"Tổng",""))</f>
        <v>45709</v>
      </c>
      <c r="C71" s="43">
        <f t="shared" si="2"/>
        <v>55</v>
      </c>
      <c r="D71" s="43">
        <f t="shared" ref="D71:D134" si="6">IF(C71&lt;=$D$7,D70-E71,"")</f>
        <v>4833333333.3333464</v>
      </c>
      <c r="E71" s="43">
        <f>IF(C70&lt;$D$7,$D$16/$D$7, IF(C70=$D$7,SUM(E$17:E70),""))</f>
        <v>166666666.66666666</v>
      </c>
      <c r="F71" s="43">
        <f>IF(C70&lt;$D$7,D70*$D$8/360*30,IF(C70=$D$7,SUM(F$17:F70),""))</f>
        <v>43750000.000000119</v>
      </c>
      <c r="G71" s="43">
        <f t="shared" ref="G71:G134" si="7">IF(C70&lt;$D$7,F71+E71,IF(C70=$D$7,SUM(E71:F71),""))</f>
        <v>210416666.66666678</v>
      </c>
      <c r="O71" s="43"/>
    </row>
    <row r="72" spans="1:15">
      <c r="B72" s="42">
        <f t="shared" si="5"/>
        <v>45737</v>
      </c>
      <c r="C72" s="43">
        <f t="shared" si="2"/>
        <v>56</v>
      </c>
      <c r="D72" s="43">
        <f t="shared" si="6"/>
        <v>4666666666.6666794</v>
      </c>
      <c r="E72" s="43">
        <f>IF(C71&lt;$D$7,$D$16/$D$7, IF(C71=$D$7,SUM(E$17:E71),""))</f>
        <v>166666666.66666666</v>
      </c>
      <c r="F72" s="43">
        <f>IF(C71&lt;$D$7,D71*$D$8/360*30,IF(C71=$D$7,SUM(F$17:F71),""))</f>
        <v>42291666.666666776</v>
      </c>
      <c r="G72" s="43">
        <f t="shared" si="7"/>
        <v>208958333.33333343</v>
      </c>
      <c r="O72" s="43"/>
    </row>
    <row r="73" spans="1:15">
      <c r="B73" s="42">
        <f t="shared" si="5"/>
        <v>45768</v>
      </c>
      <c r="C73" s="43">
        <f t="shared" si="2"/>
        <v>57</v>
      </c>
      <c r="D73" s="43">
        <f t="shared" si="6"/>
        <v>4500000000.0000124</v>
      </c>
      <c r="E73" s="43">
        <f>IF(C72&lt;$D$7,$D$16/$D$7, IF(C72=$D$7,SUM(E$17:E72),""))</f>
        <v>166666666.66666666</v>
      </c>
      <c r="F73" s="43">
        <f>IF(C72&lt;$D$7,D72*$D$8/360*30,IF(C72=$D$7,SUM(F$17:F72),""))</f>
        <v>40833333.33333344</v>
      </c>
      <c r="G73" s="43">
        <f t="shared" si="7"/>
        <v>207500000.00000009</v>
      </c>
      <c r="O73" s="43"/>
    </row>
    <row r="74" spans="1:15">
      <c r="B74" s="42">
        <f t="shared" si="5"/>
        <v>45798</v>
      </c>
      <c r="C74" s="43">
        <f t="shared" si="2"/>
        <v>58</v>
      </c>
      <c r="D74" s="43">
        <f t="shared" si="6"/>
        <v>4333333333.3333454</v>
      </c>
      <c r="E74" s="43">
        <f>IF(C73&lt;$D$7,$D$16/$D$7, IF(C73=$D$7,SUM(E$17:E73),""))</f>
        <v>166666666.66666666</v>
      </c>
      <c r="F74" s="43">
        <f>IF(C73&lt;$D$7,D73*$D$8/360*30,IF(C73=$D$7,SUM(F$17:F73),""))</f>
        <v>39375000.000000112</v>
      </c>
      <c r="G74" s="43">
        <f t="shared" si="7"/>
        <v>206041666.66666678</v>
      </c>
      <c r="O74" s="43"/>
    </row>
    <row r="75" spans="1:15">
      <c r="B75" s="42">
        <f t="shared" si="5"/>
        <v>45829</v>
      </c>
      <c r="C75" s="43">
        <f t="shared" si="2"/>
        <v>59</v>
      </c>
      <c r="D75" s="43">
        <f t="shared" si="6"/>
        <v>4166666666.6666789</v>
      </c>
      <c r="E75" s="43">
        <f>IF(C74&lt;$D$7,$D$16/$D$7, IF(C74=$D$7,SUM(E$17:E74),""))</f>
        <v>166666666.66666666</v>
      </c>
      <c r="F75" s="43">
        <f>IF(C74&lt;$D$7,D74*$D$8/360*30,IF(C74=$D$7,SUM(F$17:F74),""))</f>
        <v>37916666.666666768</v>
      </c>
      <c r="G75" s="43">
        <f t="shared" si="7"/>
        <v>204583333.33333343</v>
      </c>
      <c r="O75" s="43"/>
    </row>
    <row r="76" spans="1:15">
      <c r="B76" s="42">
        <f t="shared" si="5"/>
        <v>45859</v>
      </c>
      <c r="C76" s="43">
        <f t="shared" si="2"/>
        <v>60</v>
      </c>
      <c r="D76" s="43">
        <f t="shared" si="6"/>
        <v>4000000000.0000124</v>
      </c>
      <c r="E76" s="43">
        <f>IF(C75&lt;$D$7,$D$16/$D$7, IF(C75=$D$7,SUM(E$17:E75),""))</f>
        <v>166666666.66666666</v>
      </c>
      <c r="F76" s="43">
        <f>IF(C75&lt;$D$7,D75*$D$8/360*30,IF(C75=$D$7,SUM(F$17:F75),""))</f>
        <v>36458333.33333344</v>
      </c>
      <c r="G76" s="43">
        <f t="shared" si="7"/>
        <v>203125000.00000009</v>
      </c>
      <c r="O76" s="43"/>
    </row>
    <row r="77" spans="1:15">
      <c r="B77" s="42">
        <f t="shared" si="5"/>
        <v>45890</v>
      </c>
      <c r="C77" s="43">
        <f t="shared" si="2"/>
        <v>61</v>
      </c>
      <c r="D77" s="43">
        <f t="shared" si="6"/>
        <v>3833333333.3333459</v>
      </c>
      <c r="E77" s="43">
        <f>IF(C76&lt;$D$7,$D$16/$D$7, IF(C76=$D$7,SUM(E$17:E76),""))</f>
        <v>166666666.66666666</v>
      </c>
      <c r="F77" s="43">
        <f>IF(C76&lt;$D$7,D76*$D$8/360*30,IF(C76=$D$7,SUM(F$17:F76),""))</f>
        <v>35000000.000000104</v>
      </c>
      <c r="G77" s="43">
        <f t="shared" si="7"/>
        <v>201666666.66666675</v>
      </c>
      <c r="O77" s="43"/>
    </row>
    <row r="78" spans="1:15">
      <c r="A78" s="13" t="s">
        <v>45</v>
      </c>
      <c r="B78" s="42">
        <f t="shared" si="5"/>
        <v>45921</v>
      </c>
      <c r="C78" s="43">
        <f t="shared" si="2"/>
        <v>62</v>
      </c>
      <c r="D78" s="43">
        <f t="shared" si="6"/>
        <v>3666666666.6666794</v>
      </c>
      <c r="E78" s="43">
        <f>IF(C77&lt;$D$7,$D$16/$D$7, IF(C77=$D$7,SUM(E$17:E77),""))</f>
        <v>166666666.66666666</v>
      </c>
      <c r="F78" s="43">
        <f>IF(C77&lt;$D$7,D77*$D$8/360*30,IF(C77=$D$7,SUM(F$17:F77),""))</f>
        <v>33541666.666666776</v>
      </c>
      <c r="G78" s="43">
        <f t="shared" si="7"/>
        <v>200208333.33333343</v>
      </c>
      <c r="O78" s="43"/>
    </row>
    <row r="79" spans="1:15">
      <c r="B79" s="42">
        <f t="shared" si="5"/>
        <v>45951</v>
      </c>
      <c r="C79" s="43">
        <f t="shared" si="2"/>
        <v>63</v>
      </c>
      <c r="D79" s="43">
        <f t="shared" si="6"/>
        <v>3500000000.0000129</v>
      </c>
      <c r="E79" s="43">
        <f>IF(C78&lt;$D$7,$D$16/$D$7, IF(C78=$D$7,SUM(E$17:E78),""))</f>
        <v>166666666.66666666</v>
      </c>
      <c r="F79" s="43">
        <f>IF(C78&lt;$D$7,D78*$D$8/360*30,IF(C78=$D$7,SUM(F$17:F78),""))</f>
        <v>32083333.33333344</v>
      </c>
      <c r="G79" s="43">
        <f t="shared" si="7"/>
        <v>198750000.00000009</v>
      </c>
      <c r="O79" s="43"/>
    </row>
    <row r="80" spans="1:15">
      <c r="B80" s="42">
        <f t="shared" si="5"/>
        <v>45982</v>
      </c>
      <c r="C80" s="43">
        <f t="shared" si="2"/>
        <v>64</v>
      </c>
      <c r="D80" s="43">
        <f t="shared" si="6"/>
        <v>3333333333.3333464</v>
      </c>
      <c r="E80" s="43">
        <f>IF(C79&lt;$D$7,$D$16/$D$7, IF(C79=$D$7,SUM(E$17:E79),""))</f>
        <v>166666666.66666666</v>
      </c>
      <c r="F80" s="43">
        <f>IF(C79&lt;$D$7,D79*$D$8/360*30,IF(C79=$D$7,SUM(F$17:F79),""))</f>
        <v>30625000.000000108</v>
      </c>
      <c r="G80" s="43">
        <f t="shared" si="7"/>
        <v>197291666.66666678</v>
      </c>
      <c r="O80" s="43"/>
    </row>
    <row r="81" spans="2:15">
      <c r="B81" s="42">
        <f t="shared" si="5"/>
        <v>46012</v>
      </c>
      <c r="C81" s="43">
        <f t="shared" si="2"/>
        <v>65</v>
      </c>
      <c r="D81" s="43">
        <f t="shared" si="6"/>
        <v>3166666666.6666799</v>
      </c>
      <c r="E81" s="43">
        <f>IF(C80&lt;$D$7,$D$16/$D$7, IF(C80=$D$7,SUM(E$17:E80),""))</f>
        <v>166666666.66666666</v>
      </c>
      <c r="F81" s="43">
        <f>IF(C80&lt;$D$7,D80*$D$8/360*30,IF(C80=$D$7,SUM(F$17:F80),""))</f>
        <v>29166666.66666678</v>
      </c>
      <c r="G81" s="43">
        <f t="shared" si="7"/>
        <v>195833333.33333343</v>
      </c>
      <c r="O81" s="43"/>
    </row>
    <row r="82" spans="2:15">
      <c r="B82" s="42">
        <f t="shared" si="5"/>
        <v>46043</v>
      </c>
      <c r="C82" s="43">
        <f t="shared" ref="C82:C137" si="8">IF(C81&lt;$D$7,C81+1,"")</f>
        <v>66</v>
      </c>
      <c r="D82" s="43">
        <f t="shared" si="6"/>
        <v>3000000000.0000134</v>
      </c>
      <c r="E82" s="43">
        <f>IF(C81&lt;$D$7,$D$16/$D$7, IF(C81=$D$7,SUM(E$17:E81),""))</f>
        <v>166666666.66666666</v>
      </c>
      <c r="F82" s="43">
        <f>IF(C81&lt;$D$7,D81*$D$8/360*30,IF(C81=$D$7,SUM(F$17:F81),""))</f>
        <v>27708333.333333448</v>
      </c>
      <c r="G82" s="43">
        <f t="shared" si="7"/>
        <v>194375000.00000012</v>
      </c>
      <c r="O82" s="43"/>
    </row>
    <row r="83" spans="2:15">
      <c r="B83" s="42">
        <f t="shared" si="5"/>
        <v>46074</v>
      </c>
      <c r="C83" s="43">
        <f t="shared" si="8"/>
        <v>67</v>
      </c>
      <c r="D83" s="43">
        <f t="shared" si="6"/>
        <v>2833333333.3333468</v>
      </c>
      <c r="E83" s="43">
        <f>IF(C82&lt;$D$7,$D$16/$D$7, IF(C82=$D$7,SUM(E$17:E82),""))</f>
        <v>166666666.66666666</v>
      </c>
      <c r="F83" s="43">
        <f>IF(C82&lt;$D$7,D82*$D$8/360*30,IF(C82=$D$7,SUM(F$17:F82),""))</f>
        <v>26250000.000000115</v>
      </c>
      <c r="G83" s="43">
        <f t="shared" si="7"/>
        <v>192916666.66666678</v>
      </c>
      <c r="O83" s="43"/>
    </row>
    <row r="84" spans="2:15">
      <c r="B84" s="42">
        <f t="shared" si="5"/>
        <v>46102</v>
      </c>
      <c r="C84" s="43">
        <f t="shared" si="8"/>
        <v>68</v>
      </c>
      <c r="D84" s="43">
        <f t="shared" si="6"/>
        <v>2666666666.6666803</v>
      </c>
      <c r="E84" s="43">
        <f>IF(C83&lt;$D$7,$D$16/$D$7, IF(C83=$D$7,SUM(E$17:E83),""))</f>
        <v>166666666.66666666</v>
      </c>
      <c r="F84" s="43">
        <f>IF(C83&lt;$D$7,D83*$D$8/360*30,IF(C83=$D$7,SUM(F$17:F83),""))</f>
        <v>24791666.666666783</v>
      </c>
      <c r="G84" s="43">
        <f t="shared" si="7"/>
        <v>191458333.33333343</v>
      </c>
      <c r="O84" s="43"/>
    </row>
    <row r="85" spans="2:15">
      <c r="B85" s="42">
        <f t="shared" si="5"/>
        <v>46133</v>
      </c>
      <c r="C85" s="43">
        <f t="shared" si="8"/>
        <v>69</v>
      </c>
      <c r="D85" s="43">
        <f t="shared" si="6"/>
        <v>2500000000.0000138</v>
      </c>
      <c r="E85" s="43">
        <f>IF(C84&lt;$D$7,$D$16/$D$7, IF(C84=$D$7,SUM(E$17:E84),""))</f>
        <v>166666666.66666666</v>
      </c>
      <c r="F85" s="43">
        <f>IF(C84&lt;$D$7,D84*$D$8/360*30,IF(C84=$D$7,SUM(F$17:F84),""))</f>
        <v>23333333.333333451</v>
      </c>
      <c r="G85" s="43">
        <f t="shared" si="7"/>
        <v>190000000.00000012</v>
      </c>
      <c r="O85" s="43"/>
    </row>
    <row r="86" spans="2:15">
      <c r="B86" s="42">
        <f t="shared" si="5"/>
        <v>46163</v>
      </c>
      <c r="C86" s="43">
        <f t="shared" si="8"/>
        <v>70</v>
      </c>
      <c r="D86" s="43">
        <f t="shared" si="6"/>
        <v>2333333333.3333473</v>
      </c>
      <c r="E86" s="43">
        <f>IF(C85&lt;$D$7,$D$16/$D$7, IF(C85=$D$7,SUM(E$17:E85),""))</f>
        <v>166666666.66666666</v>
      </c>
      <c r="F86" s="43">
        <f>IF(C85&lt;$D$7,D85*$D$8/360*30,IF(C85=$D$7,SUM(F$17:F85),""))</f>
        <v>21875000.000000119</v>
      </c>
      <c r="G86" s="43">
        <f t="shared" si="7"/>
        <v>188541666.66666678</v>
      </c>
      <c r="O86" s="43"/>
    </row>
    <row r="87" spans="2:15">
      <c r="B87" s="42">
        <f t="shared" si="5"/>
        <v>46194</v>
      </c>
      <c r="C87" s="43">
        <f t="shared" si="8"/>
        <v>71</v>
      </c>
      <c r="D87" s="43">
        <f t="shared" si="6"/>
        <v>2166666666.6666808</v>
      </c>
      <c r="E87" s="43">
        <f>IF(C86&lt;$D$7,$D$16/$D$7, IF(C86=$D$7,SUM(E$17:E86),""))</f>
        <v>166666666.66666666</v>
      </c>
      <c r="F87" s="43">
        <f>IF(C86&lt;$D$7,D86*$D$8/360*30,IF(C86=$D$7,SUM(F$17:F86),""))</f>
        <v>20416666.666666787</v>
      </c>
      <c r="G87" s="43">
        <f t="shared" si="7"/>
        <v>187083333.33333343</v>
      </c>
      <c r="O87" s="43"/>
    </row>
    <row r="88" spans="2:15">
      <c r="B88" s="42">
        <f t="shared" si="5"/>
        <v>46224</v>
      </c>
      <c r="C88" s="43">
        <f t="shared" si="8"/>
        <v>72</v>
      </c>
      <c r="D88" s="43">
        <f t="shared" si="6"/>
        <v>2000000000.0000141</v>
      </c>
      <c r="E88" s="43">
        <f>IF(C87&lt;$D$7,$D$16/$D$7, IF(C87=$D$7,SUM(E$17:E87),""))</f>
        <v>166666666.66666666</v>
      </c>
      <c r="F88" s="43">
        <f>IF(C87&lt;$D$7,D87*$D$8/360*30,IF(C87=$D$7,SUM(F$17:F87),""))</f>
        <v>18958333.333333459</v>
      </c>
      <c r="G88" s="43">
        <f t="shared" si="7"/>
        <v>185625000.00000012</v>
      </c>
      <c r="O88" s="43"/>
    </row>
    <row r="89" spans="2:15">
      <c r="B89" s="42">
        <f t="shared" si="5"/>
        <v>46255</v>
      </c>
      <c r="C89" s="43">
        <f t="shared" si="8"/>
        <v>73</v>
      </c>
      <c r="D89" s="43">
        <f t="shared" si="6"/>
        <v>1833333333.3333473</v>
      </c>
      <c r="E89" s="43">
        <f>IF(C88&lt;$D$7,$D$16/$D$7, IF(C88=$D$7,SUM(E$17:E88),""))</f>
        <v>166666666.66666666</v>
      </c>
      <c r="F89" s="43">
        <f>IF(C88&lt;$D$7,D88*$D$8/360*30,IF(C88=$D$7,SUM(F$17:F88),""))</f>
        <v>17500000.000000123</v>
      </c>
      <c r="G89" s="43">
        <f t="shared" si="7"/>
        <v>184166666.66666678</v>
      </c>
      <c r="O89" s="43"/>
    </row>
    <row r="90" spans="2:15">
      <c r="B90" s="42">
        <f t="shared" si="5"/>
        <v>46286</v>
      </c>
      <c r="C90" s="43">
        <f t="shared" si="8"/>
        <v>74</v>
      </c>
      <c r="D90" s="43">
        <f t="shared" si="6"/>
        <v>1666666666.6666806</v>
      </c>
      <c r="E90" s="43">
        <f>IF(C89&lt;$D$7,$D$16/$D$7, IF(C89=$D$7,SUM(E$17:E89),""))</f>
        <v>166666666.66666666</v>
      </c>
      <c r="F90" s="43">
        <f>IF(C89&lt;$D$7,D89*$D$8/360*30,IF(C89=$D$7,SUM(F$17:F89),""))</f>
        <v>16041666.666666789</v>
      </c>
      <c r="G90" s="43">
        <f t="shared" si="7"/>
        <v>182708333.33333343</v>
      </c>
      <c r="O90" s="43"/>
    </row>
    <row r="91" spans="2:15">
      <c r="B91" s="42">
        <f t="shared" si="5"/>
        <v>46316</v>
      </c>
      <c r="C91" s="43">
        <f t="shared" si="8"/>
        <v>75</v>
      </c>
      <c r="D91" s="43">
        <f t="shared" si="6"/>
        <v>1500000000.0000138</v>
      </c>
      <c r="E91" s="43">
        <f>IF(C90&lt;$D$7,$D$16/$D$7, IF(C90=$D$7,SUM(E$17:E90),""))</f>
        <v>166666666.66666666</v>
      </c>
      <c r="F91" s="43">
        <f>IF(C90&lt;$D$7,D90*$D$8/360*30,IF(C90=$D$7,SUM(F$17:F90),""))</f>
        <v>14583333.333333455</v>
      </c>
      <c r="G91" s="43">
        <f t="shared" si="7"/>
        <v>181250000.00000012</v>
      </c>
      <c r="O91" s="43"/>
    </row>
    <row r="92" spans="2:15">
      <c r="B92" s="42">
        <f t="shared" si="5"/>
        <v>46347</v>
      </c>
      <c r="C92" s="43">
        <f t="shared" si="8"/>
        <v>76</v>
      </c>
      <c r="D92" s="43">
        <f t="shared" si="6"/>
        <v>1333333333.3333471</v>
      </c>
      <c r="E92" s="43">
        <f>IF(C91&lt;$D$7,$D$16/$D$7, IF(C91=$D$7,SUM(E$17:E91),""))</f>
        <v>166666666.66666666</v>
      </c>
      <c r="F92" s="43">
        <f>IF(C91&lt;$D$7,D91*$D$8/360*30,IF(C91=$D$7,SUM(F$17:F91),""))</f>
        <v>13125000.000000123</v>
      </c>
      <c r="G92" s="43">
        <f t="shared" si="7"/>
        <v>179791666.66666678</v>
      </c>
      <c r="O92" s="43"/>
    </row>
    <row r="93" spans="2:15">
      <c r="B93" s="42">
        <f t="shared" si="5"/>
        <v>46377</v>
      </c>
      <c r="C93" s="43">
        <f t="shared" si="8"/>
        <v>77</v>
      </c>
      <c r="D93" s="43">
        <f t="shared" si="6"/>
        <v>1166666666.6666803</v>
      </c>
      <c r="E93" s="43">
        <f>IF(C92&lt;$D$7,$D$16/$D$7, IF(C92=$D$7,SUM(E$17:E92),""))</f>
        <v>166666666.66666666</v>
      </c>
      <c r="F93" s="43">
        <f>IF(C92&lt;$D$7,D92*$D$8/360*30,IF(C92=$D$7,SUM(F$17:F92),""))</f>
        <v>11666666.666666785</v>
      </c>
      <c r="G93" s="43">
        <f t="shared" si="7"/>
        <v>178333333.33333343</v>
      </c>
      <c r="O93" s="43"/>
    </row>
    <row r="94" spans="2:15">
      <c r="B94" s="42">
        <f t="shared" si="5"/>
        <v>46408</v>
      </c>
      <c r="C94" s="43">
        <f t="shared" si="8"/>
        <v>78</v>
      </c>
      <c r="D94" s="43">
        <f t="shared" si="6"/>
        <v>1000000000.0000137</v>
      </c>
      <c r="E94" s="43">
        <f>IF(C93&lt;$D$7,$D$16/$D$7, IF(C93=$D$7,SUM(E$17:E93),""))</f>
        <v>166666666.66666666</v>
      </c>
      <c r="F94" s="43">
        <f>IF(C93&lt;$D$7,D93*$D$8/360*30,IF(C93=$D$7,SUM(F$17:F93),""))</f>
        <v>10208333.333333453</v>
      </c>
      <c r="G94" s="43">
        <f t="shared" si="7"/>
        <v>176875000.00000012</v>
      </c>
      <c r="O94" s="43"/>
    </row>
    <row r="95" spans="2:15">
      <c r="B95" s="42">
        <f t="shared" si="5"/>
        <v>46439</v>
      </c>
      <c r="C95" s="43">
        <f t="shared" si="8"/>
        <v>79</v>
      </c>
      <c r="D95" s="43">
        <f t="shared" si="6"/>
        <v>833333333.33334708</v>
      </c>
      <c r="E95" s="43">
        <f>IF(C94&lt;$D$7,$D$16/$D$7, IF(C94=$D$7,SUM(E$17:E94),""))</f>
        <v>166666666.66666666</v>
      </c>
      <c r="F95" s="43">
        <f>IF(C94&lt;$D$7,D94*$D$8/360*30,IF(C94=$D$7,SUM(F$17:F94),""))</f>
        <v>8750000.0000001192</v>
      </c>
      <c r="G95" s="43">
        <f t="shared" si="7"/>
        <v>175416666.66666678</v>
      </c>
      <c r="O95" s="43"/>
    </row>
    <row r="96" spans="2:15">
      <c r="B96" s="42">
        <f t="shared" si="5"/>
        <v>46467</v>
      </c>
      <c r="C96" s="43">
        <f t="shared" si="8"/>
        <v>80</v>
      </c>
      <c r="D96" s="43">
        <f t="shared" si="6"/>
        <v>666666666.66668046</v>
      </c>
      <c r="E96" s="43">
        <f>IF(C95&lt;$D$7,$D$16/$D$7, IF(C95=$D$7,SUM(E$17:E95),""))</f>
        <v>166666666.66666666</v>
      </c>
      <c r="F96" s="43">
        <f>IF(C95&lt;$D$7,D95*$D$8/360*30,IF(C95=$D$7,SUM(F$17:F95),""))</f>
        <v>7291666.6666667871</v>
      </c>
      <c r="G96" s="43">
        <f t="shared" si="7"/>
        <v>173958333.33333343</v>
      </c>
      <c r="O96" s="43"/>
    </row>
    <row r="97" spans="1:15">
      <c r="B97" s="42">
        <f t="shared" si="5"/>
        <v>46498</v>
      </c>
      <c r="C97" s="43">
        <f t="shared" si="8"/>
        <v>81</v>
      </c>
      <c r="D97" s="43">
        <f t="shared" si="6"/>
        <v>500000000.00001383</v>
      </c>
      <c r="E97" s="43">
        <f>IF(C96&lt;$D$7,$D$16/$D$7, IF(C96=$D$7,SUM(E$17:E96),""))</f>
        <v>166666666.66666666</v>
      </c>
      <c r="F97" s="43">
        <f>IF(C96&lt;$D$7,D96*$D$8/360*30,IF(C96=$D$7,SUM(F$17:F96),""))</f>
        <v>5833333.3333334532</v>
      </c>
      <c r="G97" s="43">
        <f t="shared" si="7"/>
        <v>172500000.00000012</v>
      </c>
      <c r="O97" s="43"/>
    </row>
    <row r="98" spans="1:15">
      <c r="B98" s="42">
        <f t="shared" si="5"/>
        <v>46528</v>
      </c>
      <c r="C98" s="43">
        <f t="shared" si="8"/>
        <v>82</v>
      </c>
      <c r="D98" s="43">
        <f t="shared" si="6"/>
        <v>333333333.3333472</v>
      </c>
      <c r="E98" s="43">
        <f>IF(C97&lt;$D$7,$D$16/$D$7, IF(C97=$D$7,SUM(E$17:E97),""))</f>
        <v>166666666.66666666</v>
      </c>
      <c r="F98" s="43">
        <f>IF(C97&lt;$D$7,D97*$D$8/360*30,IF(C97=$D$7,SUM(F$17:F97),""))</f>
        <v>4375000.0000001211</v>
      </c>
      <c r="G98" s="43">
        <f t="shared" si="7"/>
        <v>171041666.66666678</v>
      </c>
      <c r="O98" s="43"/>
    </row>
    <row r="99" spans="1:15">
      <c r="B99" s="42">
        <f t="shared" si="5"/>
        <v>46559</v>
      </c>
      <c r="C99" s="43">
        <f t="shared" si="8"/>
        <v>83</v>
      </c>
      <c r="D99" s="43">
        <f t="shared" si="6"/>
        <v>166666666.66668054</v>
      </c>
      <c r="E99" s="43">
        <f>IF(C98&lt;$D$7,$D$16/$D$7, IF(C98=$D$7,SUM(E$17:E98),""))</f>
        <v>166666666.66666666</v>
      </c>
      <c r="F99" s="43">
        <f>IF(C98&lt;$D$7,D98*$D$8/360*30,IF(C98=$D$7,SUM(F$17:F98),""))</f>
        <v>2916666.666666788</v>
      </c>
      <c r="G99" s="43">
        <f t="shared" si="7"/>
        <v>169583333.33333343</v>
      </c>
      <c r="O99" s="43"/>
    </row>
    <row r="100" spans="1:15">
      <c r="B100" s="42">
        <f t="shared" si="5"/>
        <v>46589</v>
      </c>
      <c r="C100" s="43">
        <f t="shared" si="8"/>
        <v>84</v>
      </c>
      <c r="D100" s="43">
        <f t="shared" si="6"/>
        <v>1.3887882232666016E-5</v>
      </c>
      <c r="E100" s="43">
        <f>IF(C99&lt;$D$7,$D$16/$D$7, IF(C99=$D$7,SUM(E$17:E99),""))</f>
        <v>166666666.66666666</v>
      </c>
      <c r="F100" s="43">
        <f>IF(C99&lt;$D$7,D99*$D$8/360*30,IF(C99=$D$7,SUM(F$17:F99),""))</f>
        <v>1458333.3333334546</v>
      </c>
      <c r="G100" s="43">
        <f t="shared" si="7"/>
        <v>168125000.00000012</v>
      </c>
      <c r="O100" s="43"/>
    </row>
    <row r="101" spans="1:15">
      <c r="B101" s="42" t="str">
        <f t="shared" si="5"/>
        <v>Tổng</v>
      </c>
      <c r="C101" s="43" t="str">
        <f t="shared" si="8"/>
        <v/>
      </c>
      <c r="D101" s="43" t="str">
        <f t="shared" si="6"/>
        <v/>
      </c>
      <c r="E101" s="43">
        <f>IF(C100&lt;$D$7,$D$16/$D$7, IF(C100=$D$7,SUM(E$17:E100),""))</f>
        <v>13999999999.999987</v>
      </c>
      <c r="F101" s="43">
        <f>IF(C100&lt;$D$7,D100*$D$8/360*30,IF(C100=$D$7,SUM(F$17:F100),""))</f>
        <v>5206250000.0000057</v>
      </c>
      <c r="G101" s="43">
        <f t="shared" si="7"/>
        <v>19206249999.999992</v>
      </c>
      <c r="O101" s="43"/>
    </row>
    <row r="102" spans="1:15">
      <c r="B102" s="42" t="str">
        <f t="shared" si="5"/>
        <v/>
      </c>
      <c r="C102" s="43" t="str">
        <f t="shared" si="8"/>
        <v/>
      </c>
      <c r="D102" s="43" t="str">
        <f t="shared" si="6"/>
        <v/>
      </c>
      <c r="E102" s="43" t="str">
        <f>IF(C101&lt;$D$7,$D$16/$D$7, IF(C101=$D$7,SUM(E$17:E101),""))</f>
        <v/>
      </c>
      <c r="F102" s="43" t="str">
        <f>IF(C101&lt;$D$7,D101*$D$8/360*30,IF(C101=$D$7,SUM(F$17:F101),""))</f>
        <v/>
      </c>
      <c r="G102" s="43" t="str">
        <f t="shared" si="7"/>
        <v/>
      </c>
      <c r="O102" s="43"/>
    </row>
    <row r="103" spans="1:15">
      <c r="B103" s="42" t="str">
        <f t="shared" si="5"/>
        <v/>
      </c>
      <c r="C103" s="43" t="str">
        <f t="shared" si="8"/>
        <v/>
      </c>
      <c r="D103" s="43" t="str">
        <f t="shared" si="6"/>
        <v/>
      </c>
      <c r="E103" s="43" t="str">
        <f>IF(C102&lt;$D$7,$D$16/$D$7, IF(C102=$D$7,SUM(E$17:E102),""))</f>
        <v/>
      </c>
      <c r="F103" s="43" t="str">
        <f>IF(C102&lt;$D$7,D102*$D$8/360*30,IF(C102=$D$7,SUM(F$17:F102),""))</f>
        <v/>
      </c>
      <c r="G103" s="43" t="str">
        <f t="shared" si="7"/>
        <v/>
      </c>
      <c r="O103" s="43"/>
    </row>
    <row r="104" spans="1:15">
      <c r="B104" s="42" t="str">
        <f t="shared" si="5"/>
        <v/>
      </c>
      <c r="C104" s="43" t="str">
        <f t="shared" si="8"/>
        <v/>
      </c>
      <c r="D104" s="43" t="str">
        <f t="shared" si="6"/>
        <v/>
      </c>
      <c r="E104" s="43" t="str">
        <f>IF(C103&lt;$D$7,$D$16/$D$7, IF(C103=$D$7,SUM(E$17:E103),""))</f>
        <v/>
      </c>
      <c r="F104" s="43" t="str">
        <f>IF(C103&lt;$D$7,D103*$D$8/360*30,IF(C103=$D$7,SUM(F$17:F103),""))</f>
        <v/>
      </c>
      <c r="G104" s="43" t="str">
        <f t="shared" si="7"/>
        <v/>
      </c>
      <c r="O104" s="43"/>
    </row>
    <row r="105" spans="1:15">
      <c r="B105" s="42" t="str">
        <f t="shared" si="5"/>
        <v/>
      </c>
      <c r="C105" s="43" t="str">
        <f t="shared" si="8"/>
        <v/>
      </c>
      <c r="D105" s="43" t="str">
        <f t="shared" si="6"/>
        <v/>
      </c>
      <c r="E105" s="43" t="str">
        <f>IF(C104&lt;$D$7,$D$16/$D$7, IF(C104=$D$7,SUM(E$17:E104),""))</f>
        <v/>
      </c>
      <c r="F105" s="43" t="str">
        <f>IF(C104&lt;$D$7,D104*$D$8/360*30,IF(C104=$D$7,SUM(F$17:F104),""))</f>
        <v/>
      </c>
      <c r="G105" s="43" t="str">
        <f t="shared" si="7"/>
        <v/>
      </c>
      <c r="O105" s="43"/>
    </row>
    <row r="106" spans="1:15">
      <c r="B106" s="42" t="str">
        <f t="shared" si="5"/>
        <v/>
      </c>
      <c r="C106" s="43" t="str">
        <f t="shared" si="8"/>
        <v/>
      </c>
      <c r="D106" s="43" t="str">
        <f t="shared" si="6"/>
        <v/>
      </c>
      <c r="E106" s="43" t="str">
        <f>IF(C105&lt;$D$7,$D$16/$D$7, IF(C105=$D$7,SUM(E$17:E105),""))</f>
        <v/>
      </c>
      <c r="F106" s="43" t="str">
        <f>IF(C105&lt;$D$7,D105*$D$8/360*30,IF(C105=$D$7,SUM(F$17:F105),""))</f>
        <v/>
      </c>
      <c r="G106" s="43" t="str">
        <f t="shared" si="7"/>
        <v/>
      </c>
      <c r="O106" s="43"/>
    </row>
    <row r="107" spans="1:15">
      <c r="B107" s="42" t="str">
        <f t="shared" si="5"/>
        <v/>
      </c>
      <c r="C107" s="43" t="str">
        <f t="shared" si="8"/>
        <v/>
      </c>
      <c r="D107" s="43" t="str">
        <f t="shared" si="6"/>
        <v/>
      </c>
      <c r="E107" s="43" t="str">
        <f>IF(C106&lt;$D$7,$D$16/$D$7, IF(C106=$D$7,SUM(E$17:E106),""))</f>
        <v/>
      </c>
      <c r="F107" s="43" t="str">
        <f>IF(C106&lt;$D$7,D106*$D$8/360*30,IF(C106=$D$7,SUM(F$17:F106),""))</f>
        <v/>
      </c>
      <c r="G107" s="43" t="str">
        <f t="shared" si="7"/>
        <v/>
      </c>
      <c r="O107" s="43"/>
    </row>
    <row r="108" spans="1:15">
      <c r="A108" s="13" t="s">
        <v>45</v>
      </c>
      <c r="B108" s="42" t="str">
        <f t="shared" si="5"/>
        <v/>
      </c>
      <c r="C108" s="43" t="str">
        <f t="shared" si="8"/>
        <v/>
      </c>
      <c r="D108" s="43" t="str">
        <f t="shared" si="6"/>
        <v/>
      </c>
      <c r="E108" s="43" t="str">
        <f>IF(C107&lt;$D$7,$D$16/$D$7, IF(C107=$D$7,SUM(E$17:E107),""))</f>
        <v/>
      </c>
      <c r="F108" s="43" t="str">
        <f>IF(C107&lt;$D$7,D107*$D$8/360*30,IF(C107=$D$7,SUM(F$17:F107),""))</f>
        <v/>
      </c>
      <c r="G108" s="43" t="str">
        <f t="shared" si="7"/>
        <v/>
      </c>
      <c r="O108" s="43"/>
    </row>
    <row r="109" spans="1:15">
      <c r="B109" s="42" t="str">
        <f t="shared" si="5"/>
        <v/>
      </c>
      <c r="C109" s="43" t="str">
        <f t="shared" si="8"/>
        <v/>
      </c>
      <c r="D109" s="43" t="str">
        <f t="shared" si="6"/>
        <v/>
      </c>
      <c r="E109" s="43" t="str">
        <f>IF(C108&lt;$D$7,$D$16/$D$7, IF(C108=$D$7,SUM(E$17:E108),""))</f>
        <v/>
      </c>
      <c r="F109" s="43" t="str">
        <f>IF(C108&lt;$D$7,D108*$D$8/360*30,IF(C108=$D$7,SUM(F$17:F108),""))</f>
        <v/>
      </c>
      <c r="G109" s="43" t="str">
        <f t="shared" si="7"/>
        <v/>
      </c>
      <c r="O109" s="43"/>
    </row>
    <row r="110" spans="1:15">
      <c r="B110" s="42" t="str">
        <f t="shared" si="5"/>
        <v/>
      </c>
      <c r="C110" s="43" t="str">
        <f t="shared" si="8"/>
        <v/>
      </c>
      <c r="D110" s="43" t="str">
        <f t="shared" si="6"/>
        <v/>
      </c>
      <c r="E110" s="43" t="str">
        <f>IF(C109&lt;$D$7,$D$16/$D$7, IF(C109=$D$7,SUM(E$17:E109),""))</f>
        <v/>
      </c>
      <c r="F110" s="43" t="str">
        <f>IF(C109&lt;$D$7,D109*$D$8/360*30,IF(C109=$D$7,SUM(F$17:F109),""))</f>
        <v/>
      </c>
      <c r="G110" s="43" t="str">
        <f t="shared" si="7"/>
        <v/>
      </c>
      <c r="O110" s="43"/>
    </row>
    <row r="111" spans="1:15">
      <c r="B111" s="42" t="str">
        <f t="shared" si="5"/>
        <v/>
      </c>
      <c r="C111" s="43" t="str">
        <f t="shared" si="8"/>
        <v/>
      </c>
      <c r="D111" s="43" t="str">
        <f t="shared" si="6"/>
        <v/>
      </c>
      <c r="E111" s="43" t="str">
        <f>IF(C110&lt;$D$7,$D$16/$D$7, IF(C110=$D$7,SUM(E$17:E110),""))</f>
        <v/>
      </c>
      <c r="F111" s="43" t="str">
        <f>IF(C110&lt;$D$7,D110*$D$8/360*30,IF(C110=$D$7,SUM(F$17:F110),""))</f>
        <v/>
      </c>
      <c r="G111" s="43" t="str">
        <f t="shared" si="7"/>
        <v/>
      </c>
      <c r="O111" s="43"/>
    </row>
    <row r="112" spans="1:15">
      <c r="B112" s="42" t="str">
        <f t="shared" si="5"/>
        <v/>
      </c>
      <c r="C112" s="43" t="str">
        <f t="shared" si="8"/>
        <v/>
      </c>
      <c r="D112" s="43" t="str">
        <f t="shared" si="6"/>
        <v/>
      </c>
      <c r="E112" s="43" t="str">
        <f>IF(C111&lt;$D$7,$D$16/$D$7, IF(C111=$D$7,SUM(E$17:E111),""))</f>
        <v/>
      </c>
      <c r="F112" s="43" t="str">
        <f>IF(C111&lt;$D$7,D111*$D$8/360*30,IF(C111=$D$7,SUM(F$17:F111),""))</f>
        <v/>
      </c>
      <c r="G112" s="43" t="str">
        <f t="shared" si="7"/>
        <v/>
      </c>
      <c r="O112" s="43"/>
    </row>
    <row r="113" spans="2:15">
      <c r="B113" s="42" t="str">
        <f t="shared" si="5"/>
        <v/>
      </c>
      <c r="C113" s="43" t="str">
        <f t="shared" si="8"/>
        <v/>
      </c>
      <c r="D113" s="43" t="str">
        <f t="shared" si="6"/>
        <v/>
      </c>
      <c r="E113" s="43" t="str">
        <f>IF(C112&lt;$D$7,$D$16/$D$7, IF(C112=$D$7,SUM(E$17:E112),""))</f>
        <v/>
      </c>
      <c r="F113" s="43" t="str">
        <f>IF(C112&lt;$D$7,D112*$D$8/360*30,IF(C112=$D$7,SUM(F$17:F112),""))</f>
        <v/>
      </c>
      <c r="G113" s="43" t="str">
        <f t="shared" si="7"/>
        <v/>
      </c>
      <c r="O113" s="43"/>
    </row>
    <row r="114" spans="2:15">
      <c r="B114" s="42" t="str">
        <f t="shared" si="5"/>
        <v/>
      </c>
      <c r="C114" s="43" t="str">
        <f t="shared" si="8"/>
        <v/>
      </c>
      <c r="D114" s="43" t="str">
        <f t="shared" si="6"/>
        <v/>
      </c>
      <c r="E114" s="43" t="str">
        <f>IF(C113&lt;$D$7,$D$16/$D$7, IF(C113=$D$7,SUM(E$17:E113),""))</f>
        <v/>
      </c>
      <c r="F114" s="43" t="str">
        <f>IF(C113&lt;$D$7,D113*$D$8/360*30,IF(C113=$D$7,SUM(F$17:F113),""))</f>
        <v/>
      </c>
      <c r="G114" s="43" t="str">
        <f t="shared" si="7"/>
        <v/>
      </c>
      <c r="O114" s="43"/>
    </row>
    <row r="115" spans="2:15">
      <c r="B115" s="42" t="str">
        <f t="shared" si="5"/>
        <v/>
      </c>
      <c r="C115" s="43" t="str">
        <f t="shared" si="8"/>
        <v/>
      </c>
      <c r="D115" s="43" t="str">
        <f t="shared" si="6"/>
        <v/>
      </c>
      <c r="E115" s="43" t="str">
        <f>IF(C114&lt;$D$7,$D$16/$D$7, IF(C114=$D$7,SUM(E$17:E114),""))</f>
        <v/>
      </c>
      <c r="F115" s="43" t="str">
        <f>IF(C114&lt;$D$7,D114*$D$8/360*30,IF(C114=$D$7,SUM(F$17:F114),""))</f>
        <v/>
      </c>
      <c r="G115" s="43" t="str">
        <f t="shared" si="7"/>
        <v/>
      </c>
      <c r="O115" s="43"/>
    </row>
    <row r="116" spans="2:15">
      <c r="B116" s="42" t="str">
        <f t="shared" si="5"/>
        <v/>
      </c>
      <c r="C116" s="43" t="str">
        <f t="shared" si="8"/>
        <v/>
      </c>
      <c r="D116" s="43" t="str">
        <f t="shared" si="6"/>
        <v/>
      </c>
      <c r="E116" s="43" t="str">
        <f>IF(C115&lt;$D$7,$D$16/$D$7, IF(C115=$D$7,SUM(E$17:E115),""))</f>
        <v/>
      </c>
      <c r="F116" s="43" t="str">
        <f>IF(C115&lt;$D$7,D115*$D$8/360*30,IF(C115=$D$7,SUM(F$17:F115),""))</f>
        <v/>
      </c>
      <c r="G116" s="43" t="str">
        <f t="shared" si="7"/>
        <v/>
      </c>
      <c r="O116" s="43"/>
    </row>
    <row r="117" spans="2:15">
      <c r="B117" s="42" t="str">
        <f t="shared" si="5"/>
        <v/>
      </c>
      <c r="C117" s="43" t="str">
        <f t="shared" si="8"/>
        <v/>
      </c>
      <c r="D117" s="43" t="str">
        <f t="shared" si="6"/>
        <v/>
      </c>
      <c r="E117" s="43" t="str">
        <f>IF(C116&lt;$D$7,$D$16/$D$7, IF(C116=$D$7,SUM(E$17:E116),""))</f>
        <v/>
      </c>
      <c r="F117" s="43" t="str">
        <f>IF(C116&lt;$D$7,D116*$D$8/360*30,IF(C116=$D$7,SUM(F$17:F116),""))</f>
        <v/>
      </c>
      <c r="G117" s="43" t="str">
        <f t="shared" si="7"/>
        <v/>
      </c>
      <c r="O117" s="43"/>
    </row>
    <row r="118" spans="2:15">
      <c r="B118" s="42" t="str">
        <f t="shared" si="5"/>
        <v/>
      </c>
      <c r="C118" s="43" t="str">
        <f t="shared" si="8"/>
        <v/>
      </c>
      <c r="D118" s="43" t="str">
        <f t="shared" si="6"/>
        <v/>
      </c>
      <c r="E118" s="43" t="str">
        <f>IF(C117&lt;$D$7,$D$16/$D$7, IF(C117=$D$7,SUM(E$17:E117),""))</f>
        <v/>
      </c>
      <c r="F118" s="43" t="str">
        <f>IF(C117&lt;$D$7,D117*$D$8/360*30,IF(C117=$D$7,SUM(F$17:F117),""))</f>
        <v/>
      </c>
      <c r="G118" s="43" t="str">
        <f t="shared" si="7"/>
        <v/>
      </c>
      <c r="O118" s="43"/>
    </row>
    <row r="119" spans="2:15">
      <c r="B119" s="42" t="str">
        <f t="shared" si="5"/>
        <v/>
      </c>
      <c r="C119" s="43" t="str">
        <f t="shared" si="8"/>
        <v/>
      </c>
      <c r="D119" s="43" t="str">
        <f t="shared" si="6"/>
        <v/>
      </c>
      <c r="E119" s="43" t="str">
        <f>IF(C118&lt;$D$7,$D$16/$D$7, IF(C118=$D$7,SUM(E$17:E118),""))</f>
        <v/>
      </c>
      <c r="F119" s="43" t="str">
        <f>IF(C118&lt;$D$7,D118*$D$8/360*30,IF(C118=$D$7,SUM(F$17:F118),""))</f>
        <v/>
      </c>
      <c r="G119" s="43" t="str">
        <f t="shared" si="7"/>
        <v/>
      </c>
      <c r="O119" s="43"/>
    </row>
    <row r="120" spans="2:15">
      <c r="B120" s="42" t="str">
        <f t="shared" si="5"/>
        <v/>
      </c>
      <c r="C120" s="43" t="str">
        <f t="shared" si="8"/>
        <v/>
      </c>
      <c r="D120" s="43" t="str">
        <f t="shared" si="6"/>
        <v/>
      </c>
      <c r="E120" s="43" t="str">
        <f>IF(C119&lt;$D$7,$D$16/$D$7, IF(C119=$D$7,SUM(E$17:E119),""))</f>
        <v/>
      </c>
      <c r="F120" s="43" t="str">
        <f>IF(C119&lt;$D$7,D119*$D$8/360*30,IF(C119=$D$7,SUM(F$17:F119),""))</f>
        <v/>
      </c>
      <c r="G120" s="43" t="str">
        <f t="shared" si="7"/>
        <v/>
      </c>
      <c r="O120" s="43"/>
    </row>
    <row r="121" spans="2:15">
      <c r="B121" s="42" t="str">
        <f t="shared" si="5"/>
        <v/>
      </c>
      <c r="C121" s="43" t="str">
        <f t="shared" si="8"/>
        <v/>
      </c>
      <c r="D121" s="43" t="str">
        <f t="shared" si="6"/>
        <v/>
      </c>
      <c r="E121" s="43" t="str">
        <f>IF(C120&lt;$D$7,$D$16/$D$7, IF(C120=$D$7,SUM(E$17:E120),""))</f>
        <v/>
      </c>
      <c r="F121" s="43" t="str">
        <f>IF(C120&lt;$D$7,D120*$D$8/360*30,IF(C120=$D$7,SUM(F$17:F120),""))</f>
        <v/>
      </c>
      <c r="G121" s="43" t="str">
        <f t="shared" si="7"/>
        <v/>
      </c>
      <c r="O121" s="43"/>
    </row>
    <row r="122" spans="2:15">
      <c r="B122" s="42" t="str">
        <f t="shared" si="5"/>
        <v/>
      </c>
      <c r="C122" s="43" t="str">
        <f t="shared" si="8"/>
        <v/>
      </c>
      <c r="D122" s="43" t="str">
        <f t="shared" si="6"/>
        <v/>
      </c>
      <c r="E122" s="43" t="str">
        <f>IF(C121&lt;$D$7,$D$16/$D$7, IF(C121=$D$7,SUM(E$17:E121),""))</f>
        <v/>
      </c>
      <c r="F122" s="43" t="str">
        <f>IF(C121&lt;$D$7,D121*$D$8/360*30,IF(C121=$D$7,SUM(F$17:F121),""))</f>
        <v/>
      </c>
      <c r="G122" s="43" t="str">
        <f t="shared" si="7"/>
        <v/>
      </c>
      <c r="O122" s="43"/>
    </row>
    <row r="123" spans="2:15">
      <c r="B123" s="42" t="str">
        <f t="shared" si="5"/>
        <v/>
      </c>
      <c r="C123" s="43" t="str">
        <f t="shared" si="8"/>
        <v/>
      </c>
      <c r="D123" s="43" t="str">
        <f t="shared" si="6"/>
        <v/>
      </c>
      <c r="E123" s="43" t="str">
        <f>IF(C122&lt;$D$7,$D$16/$D$7, IF(C122=$D$7,SUM(E$17:E122),""))</f>
        <v/>
      </c>
      <c r="F123" s="43" t="str">
        <f>IF(C122&lt;$D$7,D122*$D$8/360*30,IF(C122=$D$7,SUM(F$17:F122),""))</f>
        <v/>
      </c>
      <c r="G123" s="43" t="str">
        <f t="shared" si="7"/>
        <v/>
      </c>
      <c r="O123" s="43"/>
    </row>
    <row r="124" spans="2:15">
      <c r="B124" s="42" t="str">
        <f t="shared" si="5"/>
        <v/>
      </c>
      <c r="C124" s="43" t="str">
        <f t="shared" si="8"/>
        <v/>
      </c>
      <c r="D124" s="43" t="str">
        <f t="shared" si="6"/>
        <v/>
      </c>
      <c r="E124" s="43" t="str">
        <f>IF(C123&lt;$D$7,$D$16/$D$7, IF(C123=$D$7,SUM(E$17:E123),""))</f>
        <v/>
      </c>
      <c r="F124" s="43" t="str">
        <f>IF(C123&lt;$D$7,D123*$D$8/360*30,IF(C123=$D$7,SUM(F$17:F123),""))</f>
        <v/>
      </c>
      <c r="G124" s="43" t="str">
        <f t="shared" si="7"/>
        <v/>
      </c>
      <c r="O124" s="43"/>
    </row>
    <row r="125" spans="2:15">
      <c r="B125" s="42" t="str">
        <f t="shared" si="5"/>
        <v/>
      </c>
      <c r="C125" s="43" t="str">
        <f t="shared" si="8"/>
        <v/>
      </c>
      <c r="D125" s="43" t="str">
        <f t="shared" si="6"/>
        <v/>
      </c>
      <c r="E125" s="43" t="str">
        <f>IF(C124&lt;$D$7,$D$16/$D$7, IF(C124=$D$7,SUM(E$17:E124),""))</f>
        <v/>
      </c>
      <c r="F125" s="43" t="str">
        <f>IF(C124&lt;$D$7,D124*$D$8/360*30,IF(C124=$D$7,SUM(F$17:F124),""))</f>
        <v/>
      </c>
      <c r="G125" s="43" t="str">
        <f t="shared" si="7"/>
        <v/>
      </c>
      <c r="O125" s="43"/>
    </row>
    <row r="126" spans="2:15">
      <c r="B126" s="42" t="str">
        <f t="shared" si="5"/>
        <v/>
      </c>
      <c r="C126" s="43" t="str">
        <f t="shared" si="8"/>
        <v/>
      </c>
      <c r="D126" s="43" t="str">
        <f t="shared" si="6"/>
        <v/>
      </c>
      <c r="E126" s="43" t="str">
        <f>IF(C125&lt;$D$7,$D$16/$D$7, IF(C125=$D$7,SUM(E$17:E125),""))</f>
        <v/>
      </c>
      <c r="F126" s="43" t="str">
        <f>IF(C125&lt;$D$7,D125*$D$8/360*30,IF(C125=$D$7,SUM(F$17:F125),""))</f>
        <v/>
      </c>
      <c r="G126" s="43" t="str">
        <f t="shared" si="7"/>
        <v/>
      </c>
      <c r="O126" s="43"/>
    </row>
    <row r="127" spans="2:15">
      <c r="B127" s="42" t="str">
        <f t="shared" si="5"/>
        <v/>
      </c>
      <c r="C127" s="43" t="str">
        <f t="shared" si="8"/>
        <v/>
      </c>
      <c r="D127" s="43" t="str">
        <f t="shared" si="6"/>
        <v/>
      </c>
      <c r="E127" s="43" t="str">
        <f>IF(C126&lt;$D$7,$D$16/$D$7, IF(C126=$D$7,SUM(E$17:E126),""))</f>
        <v/>
      </c>
      <c r="F127" s="43" t="str">
        <f>IF(C126&lt;$D$7,D126*$D$8/360*30,IF(C126=$D$7,SUM(F$17:F126),""))</f>
        <v/>
      </c>
      <c r="G127" s="43" t="str">
        <f t="shared" si="7"/>
        <v/>
      </c>
      <c r="O127" s="43"/>
    </row>
    <row r="128" spans="2:15">
      <c r="B128" s="42" t="str">
        <f t="shared" si="5"/>
        <v/>
      </c>
      <c r="C128" s="43" t="str">
        <f t="shared" si="8"/>
        <v/>
      </c>
      <c r="D128" s="43" t="str">
        <f t="shared" si="6"/>
        <v/>
      </c>
      <c r="E128" s="43" t="str">
        <f>IF(C127&lt;$D$7,$D$16/$D$7, IF(C127=$D$7,SUM(E$17:E127),""))</f>
        <v/>
      </c>
      <c r="F128" s="43" t="str">
        <f>IF(C127&lt;$D$7,D127*$D$8/360*30,IF(C127=$D$7,SUM(F$17:F127),""))</f>
        <v/>
      </c>
      <c r="G128" s="43" t="str">
        <f t="shared" si="7"/>
        <v/>
      </c>
      <c r="O128" s="43"/>
    </row>
    <row r="129" spans="2:15">
      <c r="B129" s="42" t="str">
        <f t="shared" si="5"/>
        <v/>
      </c>
      <c r="C129" s="43" t="str">
        <f t="shared" si="8"/>
        <v/>
      </c>
      <c r="D129" s="43" t="str">
        <f t="shared" si="6"/>
        <v/>
      </c>
      <c r="E129" s="43" t="str">
        <f>IF(C128&lt;$D$7,$D$16/$D$7, IF(C128=$D$7,SUM(E$17:E128),""))</f>
        <v/>
      </c>
      <c r="F129" s="43" t="str">
        <f>IF(C128&lt;$D$7,D128*$D$8/360*30,IF(C128=$D$7,SUM(F$17:F128),""))</f>
        <v/>
      </c>
      <c r="G129" s="43" t="str">
        <f t="shared" si="7"/>
        <v/>
      </c>
      <c r="O129" s="43"/>
    </row>
    <row r="130" spans="2:15">
      <c r="B130" s="42" t="str">
        <f t="shared" si="5"/>
        <v/>
      </c>
      <c r="C130" s="43" t="str">
        <f t="shared" si="8"/>
        <v/>
      </c>
      <c r="D130" s="43" t="str">
        <f t="shared" si="6"/>
        <v/>
      </c>
      <c r="E130" s="43" t="str">
        <f>IF(C129&lt;$D$7,$D$16/$D$7, IF(C129=$D$7,SUM(E$17:E129),""))</f>
        <v/>
      </c>
      <c r="F130" s="43" t="str">
        <f>IF(C129&lt;$D$7,D129*$D$8/360*30,IF(C129=$D$7,SUM(F$17:F129),""))</f>
        <v/>
      </c>
      <c r="G130" s="43" t="str">
        <f t="shared" si="7"/>
        <v/>
      </c>
      <c r="O130" s="43"/>
    </row>
    <row r="131" spans="2:15">
      <c r="B131" s="42" t="str">
        <f t="shared" si="5"/>
        <v/>
      </c>
      <c r="C131" s="43" t="str">
        <f t="shared" si="8"/>
        <v/>
      </c>
      <c r="D131" s="43" t="str">
        <f t="shared" si="6"/>
        <v/>
      </c>
      <c r="E131" s="43" t="str">
        <f>IF(C130&lt;$D$7,$D$16/$D$7, IF(C130=$D$7,SUM(E$17:E130),""))</f>
        <v/>
      </c>
      <c r="F131" s="43" t="str">
        <f>IF(C130&lt;$D$7,D130*$D$8/360*30,IF(C130=$D$7,SUM(F$17:F130),""))</f>
        <v/>
      </c>
      <c r="G131" s="43" t="str">
        <f t="shared" si="7"/>
        <v/>
      </c>
      <c r="O131" s="43"/>
    </row>
    <row r="132" spans="2:15">
      <c r="B132" s="42" t="str">
        <f t="shared" si="5"/>
        <v/>
      </c>
      <c r="C132" s="43" t="str">
        <f t="shared" si="8"/>
        <v/>
      </c>
      <c r="D132" s="43" t="str">
        <f t="shared" si="6"/>
        <v/>
      </c>
      <c r="E132" s="43" t="str">
        <f>IF(C131&lt;$D$7,$D$16/$D$7, IF(C131=$D$7,SUM(E$17:E131),""))</f>
        <v/>
      </c>
      <c r="F132" s="43" t="str">
        <f>IF(C131&lt;$D$7,D131*$D$8/360*30,IF(C131=$D$7,SUM(F$17:F131),""))</f>
        <v/>
      </c>
      <c r="G132" s="43" t="str">
        <f t="shared" si="7"/>
        <v/>
      </c>
      <c r="O132" s="43"/>
    </row>
    <row r="133" spans="2:15">
      <c r="B133" s="42" t="str">
        <f t="shared" si="5"/>
        <v/>
      </c>
      <c r="C133" s="43" t="str">
        <f t="shared" si="8"/>
        <v/>
      </c>
      <c r="D133" s="43" t="str">
        <f t="shared" si="6"/>
        <v/>
      </c>
      <c r="E133" s="43" t="str">
        <f>IF(C132&lt;$D$7,$D$16/$D$7, IF(C132=$D$7,SUM(E$17:E132),""))</f>
        <v/>
      </c>
      <c r="F133" s="43" t="str">
        <f>IF(C132&lt;$D$7,D132*$D$8/360*30,IF(C132=$D$7,SUM(F$17:F132),""))</f>
        <v/>
      </c>
      <c r="G133" s="43" t="str">
        <f t="shared" si="7"/>
        <v/>
      </c>
      <c r="O133" s="43"/>
    </row>
    <row r="134" spans="2:15">
      <c r="B134" s="42" t="str">
        <f t="shared" si="5"/>
        <v/>
      </c>
      <c r="C134" s="43" t="str">
        <f t="shared" si="8"/>
        <v/>
      </c>
      <c r="D134" s="43" t="str">
        <f t="shared" si="6"/>
        <v/>
      </c>
      <c r="E134" s="43" t="str">
        <f>IF(C133&lt;$D$7,$D$16/$D$7, IF(C133=$D$7,SUM(E$17:E133),""))</f>
        <v/>
      </c>
      <c r="F134" s="43" t="str">
        <f>IF(C133&lt;$D$7,D133*$D$8/360*30,IF(C133=$D$7,SUM(F$17:F133),""))</f>
        <v/>
      </c>
      <c r="G134" s="43" t="str">
        <f t="shared" si="7"/>
        <v/>
      </c>
      <c r="O134" s="43"/>
    </row>
    <row r="135" spans="2:15">
      <c r="B135" s="42" t="str">
        <f t="shared" ref="B135:B136" si="9">IF(C134&lt;$D$7,DATE(YEAR(B134),MONTH(B134)+1,DAY(B134)),IF(C134=$D$7,"Tổng",""))</f>
        <v/>
      </c>
      <c r="C135" s="43" t="str">
        <f t="shared" si="8"/>
        <v/>
      </c>
      <c r="D135" s="43" t="str">
        <f t="shared" ref="D135:D136" si="10">IF(C135&lt;=$D$7,D134-E135,"")</f>
        <v/>
      </c>
      <c r="E135" s="43" t="str">
        <f>IF(C134&lt;$D$7,$D$16/$D$7, IF(C134=$D$7,SUM(E$17:E134),""))</f>
        <v/>
      </c>
      <c r="F135" s="43" t="str">
        <f>IF(C134&lt;$D$7,D134*$D$8/360*30,IF(C134=$D$7,SUM(F$17:F134),""))</f>
        <v/>
      </c>
      <c r="G135" s="43" t="str">
        <f t="shared" ref="G135:G136" si="11">IF(C134&lt;$D$7,F135+E135,IF(C134=$D$7,SUM(E135:F135),""))</f>
        <v/>
      </c>
      <c r="O135" s="43"/>
    </row>
    <row r="136" spans="2:15">
      <c r="B136" s="42" t="str">
        <f t="shared" si="9"/>
        <v/>
      </c>
      <c r="C136" s="43" t="str">
        <f t="shared" si="8"/>
        <v/>
      </c>
      <c r="D136" s="43" t="str">
        <f t="shared" si="10"/>
        <v/>
      </c>
      <c r="E136" s="43" t="str">
        <f>IF(C135&lt;$D$7,$D$16/$D$7, IF(C135=$D$7,SUM(E$17:E135),""))</f>
        <v/>
      </c>
      <c r="F136" s="43" t="str">
        <f>IF(C135&lt;$D$7,D135*$D$8/360*30,IF(C135=$D$7,SUM(F$17:F135),""))</f>
        <v/>
      </c>
      <c r="G136" s="43" t="str">
        <f t="shared" si="11"/>
        <v/>
      </c>
      <c r="O136" s="43"/>
    </row>
    <row r="137" spans="2:15">
      <c r="B137" s="42" t="str">
        <f>IF(C136&lt;$D$7,DATE(YEAR(B136),MONTH(B136)+1,DAY(B136)),IF(C136=$D$7,"Tổng",""))</f>
        <v/>
      </c>
      <c r="C137" s="43" t="str">
        <f t="shared" si="8"/>
        <v/>
      </c>
      <c r="D137" s="43" t="str">
        <f>IF(C137&lt;=$D$7,D136-E137,"")</f>
        <v/>
      </c>
      <c r="E137" s="43" t="str">
        <f>IF(C136&lt;$D$7,$D$16/$D$7, IF(C136=$D$7,SUM(E$17:E136),""))</f>
        <v/>
      </c>
      <c r="F137" s="43" t="str">
        <f>IF(C136&lt;$D$7,D136*$D$8/360*30,IF(C136=$D$7,SUM(F$17:F136),""))</f>
        <v/>
      </c>
      <c r="G137" s="43" t="str">
        <f>IF(C136&lt;$D$7,F137+E137,IF(C136=$D$7,SUM(E137:F137),""))</f>
        <v/>
      </c>
      <c r="O137" s="43"/>
    </row>
    <row r="138" spans="2:15">
      <c r="G138" s="14">
        <f>SUM(G17:G137)</f>
        <v>38412499999.999992</v>
      </c>
      <c r="O138" s="43"/>
    </row>
    <row r="139" spans="2:15">
      <c r="O139" s="43"/>
    </row>
    <row r="140" spans="2:15">
      <c r="D140" s="57"/>
      <c r="E140" s="57"/>
      <c r="F140" s="43"/>
      <c r="O140" s="43"/>
    </row>
    <row r="141" spans="2:15">
      <c r="D141" s="57"/>
      <c r="E141" s="57"/>
      <c r="F141" s="43"/>
      <c r="O141" s="43"/>
    </row>
    <row r="142" spans="2:15">
      <c r="D142" s="57"/>
      <c r="E142" s="57"/>
      <c r="F142" s="43"/>
      <c r="O142" s="43"/>
    </row>
    <row r="143" spans="2:15">
      <c r="O143" s="43"/>
    </row>
    <row r="144" spans="2:15">
      <c r="O144" s="43"/>
    </row>
    <row r="145" spans="15:15">
      <c r="O145" s="43"/>
    </row>
    <row r="146" spans="15:15">
      <c r="O146" s="43"/>
    </row>
    <row r="147" spans="15:15">
      <c r="O147" s="43"/>
    </row>
    <row r="148" spans="15:15">
      <c r="O148" s="43"/>
    </row>
    <row r="149" spans="15:15">
      <c r="O149" s="43"/>
    </row>
    <row r="150" spans="15:15">
      <c r="O150" s="43"/>
    </row>
    <row r="151" spans="15:15">
      <c r="O151" s="43"/>
    </row>
    <row r="152" spans="15:15">
      <c r="O152" s="43"/>
    </row>
    <row r="153" spans="15:15">
      <c r="O153" s="43"/>
    </row>
    <row r="154" spans="15:15">
      <c r="O154" s="43"/>
    </row>
    <row r="155" spans="15:15">
      <c r="O155" s="43"/>
    </row>
    <row r="156" spans="15:15">
      <c r="O156" s="43"/>
    </row>
  </sheetData>
  <protectedRanges>
    <protectedRange password="9690" sqref="B34:B69 B15:B16 B18 B20 B22 B24 B26 B28 B30 B32 I17:I33 O16:O156 B70:G137 C15:G69" name="Range1"/>
    <protectedRange password="9690" sqref="B17 B19 B21 B23 B25 B27 B29 B31 B33 H17" name="Range1_1_1"/>
  </protectedRanges>
  <mergeCells count="6">
    <mergeCell ref="B15:C15"/>
    <mergeCell ref="B2:G2"/>
    <mergeCell ref="B4:C4"/>
    <mergeCell ref="B8:C8"/>
    <mergeCell ref="B9:C9"/>
    <mergeCell ref="B10:C10"/>
  </mergeCells>
  <conditionalFormatting sqref="H17 I17:I33 O144:O156 O16:O78 O139:O142 B16:G137">
    <cfRule type="expression" dxfId="115" priority="1" stopIfTrue="1">
      <formula>$C15=$D$7</formula>
    </cfRule>
    <cfRule type="expression" dxfId="114" priority="2" stopIfTrue="1">
      <formula>$C15&lt;=$D$7</formula>
    </cfRule>
  </conditionalFormatting>
  <conditionalFormatting sqref="O107:O108 B107:G137">
    <cfRule type="expression" dxfId="113" priority="3" stopIfTrue="1">
      <formula>$C77=$D$7</formula>
    </cfRule>
    <cfRule type="expression" dxfId="112" priority="4" stopIfTrue="1">
      <formula>$C77&lt;=$D$7</formula>
    </cfRule>
  </conditionalFormatting>
  <conditionalFormatting sqref="O106 B106:G106">
    <cfRule type="expression" dxfId="111" priority="5" stopIfTrue="1">
      <formula>$C77=$D$7</formula>
    </cfRule>
    <cfRule type="expression" dxfId="110" priority="6" stopIfTrue="1">
      <formula>$C77&lt;=$D$7</formula>
    </cfRule>
  </conditionalFormatting>
  <conditionalFormatting sqref="O105 B105:G105 B136:G137">
    <cfRule type="expression" dxfId="109" priority="7" stopIfTrue="1">
      <formula>$C77=$D$7</formula>
    </cfRule>
    <cfRule type="expression" dxfId="108" priority="8" stopIfTrue="1">
      <formula>$C77&lt;=$D$7</formula>
    </cfRule>
  </conditionalFormatting>
  <conditionalFormatting sqref="O104 B104:G104 B135:G135">
    <cfRule type="expression" dxfId="107" priority="9" stopIfTrue="1">
      <formula>$C77=$D$7</formula>
    </cfRule>
    <cfRule type="expression" dxfId="106" priority="10" stopIfTrue="1">
      <formula>$C77&lt;=$D$7</formula>
    </cfRule>
  </conditionalFormatting>
  <conditionalFormatting sqref="O103 B103:G103 B134:G134">
    <cfRule type="expression" dxfId="105" priority="11" stopIfTrue="1">
      <formula>$C77=$D$7</formula>
    </cfRule>
    <cfRule type="expression" dxfId="104" priority="12" stopIfTrue="1">
      <formula>$C77&lt;=$D$7</formula>
    </cfRule>
  </conditionalFormatting>
  <conditionalFormatting sqref="O102 B102:G102 B133:G133">
    <cfRule type="expression" dxfId="103" priority="13" stopIfTrue="1">
      <formula>$C77=$D$7</formula>
    </cfRule>
    <cfRule type="expression" dxfId="102" priority="14" stopIfTrue="1">
      <formula>$C77&lt;=$D$7</formula>
    </cfRule>
  </conditionalFormatting>
  <conditionalFormatting sqref="O101 B101:G101 B132:G132">
    <cfRule type="expression" dxfId="101" priority="15" stopIfTrue="1">
      <formula>$C77=$D$7</formula>
    </cfRule>
    <cfRule type="expression" dxfId="100" priority="16" stopIfTrue="1">
      <formula>$C77&lt;=$D$7</formula>
    </cfRule>
  </conditionalFormatting>
  <conditionalFormatting sqref="O100 B100:G100 B130:G137">
    <cfRule type="expression" dxfId="99" priority="17" stopIfTrue="1">
      <formula>$C77=$D$7</formula>
    </cfRule>
    <cfRule type="expression" dxfId="98" priority="18" stopIfTrue="1">
      <formula>$C77&lt;=$D$7</formula>
    </cfRule>
  </conditionalFormatting>
  <conditionalFormatting sqref="O99 B99:G99 B129:G129">
    <cfRule type="expression" dxfId="97" priority="19" stopIfTrue="1">
      <formula>$C77=$D$7</formula>
    </cfRule>
    <cfRule type="expression" dxfId="96" priority="20" stopIfTrue="1">
      <formula>$C77&lt;=$D$7</formula>
    </cfRule>
  </conditionalFormatting>
  <conditionalFormatting sqref="O98 B98:G98 B128:G128">
    <cfRule type="expression" dxfId="95" priority="21" stopIfTrue="1">
      <formula>$C77=$D$7</formula>
    </cfRule>
    <cfRule type="expression" dxfId="94" priority="22" stopIfTrue="1">
      <formula>$C77&lt;=$D$7</formula>
    </cfRule>
  </conditionalFormatting>
  <conditionalFormatting sqref="O97 B97:G97 B127:G127">
    <cfRule type="expression" dxfId="93" priority="23" stopIfTrue="1">
      <formula>$C77=$D$7</formula>
    </cfRule>
    <cfRule type="expression" dxfId="92" priority="24" stopIfTrue="1">
      <formula>$C77&lt;=$D$7</formula>
    </cfRule>
  </conditionalFormatting>
  <conditionalFormatting sqref="O96 B96:G96 B126:G126">
    <cfRule type="expression" dxfId="91" priority="25" stopIfTrue="1">
      <formula>$C77=$D$7</formula>
    </cfRule>
    <cfRule type="expression" dxfId="90" priority="26" stopIfTrue="1">
      <formula>$C77&lt;=$D$7</formula>
    </cfRule>
  </conditionalFormatting>
  <conditionalFormatting sqref="O95 B95:G95 B125:G125">
    <cfRule type="expression" dxfId="89" priority="27" stopIfTrue="1">
      <formula>$C77=$D$7</formula>
    </cfRule>
    <cfRule type="expression" dxfId="88" priority="28" stopIfTrue="1">
      <formula>$C77&lt;=$D$7</formula>
    </cfRule>
  </conditionalFormatting>
  <conditionalFormatting sqref="O94 B94:G94 B124:G124">
    <cfRule type="expression" dxfId="87" priority="29" stopIfTrue="1">
      <formula>$C77=$D$7</formula>
    </cfRule>
    <cfRule type="expression" dxfId="86" priority="30" stopIfTrue="1">
      <formula>$C77&lt;=$D$7</formula>
    </cfRule>
  </conditionalFormatting>
  <conditionalFormatting sqref="O93 B93:G93 B123:G123">
    <cfRule type="expression" dxfId="85" priority="31" stopIfTrue="1">
      <formula>$C77=$D$7</formula>
    </cfRule>
    <cfRule type="expression" dxfId="84" priority="32" stopIfTrue="1">
      <formula>$C77&lt;=$D$7</formula>
    </cfRule>
  </conditionalFormatting>
  <conditionalFormatting sqref="O92 B92:G92 B122:G122">
    <cfRule type="expression" dxfId="83" priority="33" stopIfTrue="1">
      <formula>$C77=$D$7</formula>
    </cfRule>
    <cfRule type="expression" dxfId="82" priority="34" stopIfTrue="1">
      <formula>$C77&lt;=$D$7</formula>
    </cfRule>
  </conditionalFormatting>
  <conditionalFormatting sqref="O91 B91:G91 B121:G121">
    <cfRule type="expression" dxfId="81" priority="35" stopIfTrue="1">
      <formula>$C77=$D$7</formula>
    </cfRule>
    <cfRule type="expression" dxfId="80" priority="36" stopIfTrue="1">
      <formula>$C77&lt;=$D$7</formula>
    </cfRule>
  </conditionalFormatting>
  <conditionalFormatting sqref="O90 B90:G90 B120:G120">
    <cfRule type="expression" dxfId="79" priority="37" stopIfTrue="1">
      <formula>$C77=$D$7</formula>
    </cfRule>
    <cfRule type="expression" dxfId="78" priority="38" stopIfTrue="1">
      <formula>$C77&lt;=$D$7</formula>
    </cfRule>
  </conditionalFormatting>
  <conditionalFormatting sqref="O89 B89:G89 B119:G119">
    <cfRule type="expression" dxfId="77" priority="39" stopIfTrue="1">
      <formula>$C77=$D$7</formula>
    </cfRule>
    <cfRule type="expression" dxfId="76" priority="40" stopIfTrue="1">
      <formula>$C77&lt;=$D$7</formula>
    </cfRule>
  </conditionalFormatting>
  <conditionalFormatting sqref="O88 B88:G88 B118:G118">
    <cfRule type="expression" dxfId="75" priority="41" stopIfTrue="1">
      <formula>$C77=$D$7</formula>
    </cfRule>
    <cfRule type="expression" dxfId="74" priority="42" stopIfTrue="1">
      <formula>$C77&lt;=$D$7</formula>
    </cfRule>
  </conditionalFormatting>
  <conditionalFormatting sqref="O87 B87:G87 B117:G117">
    <cfRule type="expression" dxfId="73" priority="43" stopIfTrue="1">
      <formula>$C77=$D$7</formula>
    </cfRule>
    <cfRule type="expression" dxfId="72" priority="44" stopIfTrue="1">
      <formula>$C77&lt;=$D$7</formula>
    </cfRule>
  </conditionalFormatting>
  <conditionalFormatting sqref="O86 B86:G86 B116:G116">
    <cfRule type="expression" dxfId="71" priority="45" stopIfTrue="1">
      <formula>$C77=$D$7</formula>
    </cfRule>
    <cfRule type="expression" dxfId="70" priority="46" stopIfTrue="1">
      <formula>$C77&lt;=$D$7</formula>
    </cfRule>
  </conditionalFormatting>
  <conditionalFormatting sqref="O85 B85:G85 B115:G115">
    <cfRule type="expression" dxfId="69" priority="47" stopIfTrue="1">
      <formula>$C77=$D$7</formula>
    </cfRule>
    <cfRule type="expression" dxfId="68" priority="48" stopIfTrue="1">
      <formula>$C77&lt;=$D$7</formula>
    </cfRule>
  </conditionalFormatting>
  <conditionalFormatting sqref="O84 B84:G84 B114:G114">
    <cfRule type="expression" dxfId="67" priority="49" stopIfTrue="1">
      <formula>$C77=$D$7</formula>
    </cfRule>
    <cfRule type="expression" dxfId="66" priority="50" stopIfTrue="1">
      <formula>$C77&lt;=$D$7</formula>
    </cfRule>
  </conditionalFormatting>
  <conditionalFormatting sqref="O83 B83:G83 B113:G113 B136:G137">
    <cfRule type="expression" dxfId="65" priority="51" stopIfTrue="1">
      <formula>$C77=$D$7</formula>
    </cfRule>
    <cfRule type="expression" dxfId="64" priority="52" stopIfTrue="1">
      <formula>$C77&lt;=$D$7</formula>
    </cfRule>
  </conditionalFormatting>
  <conditionalFormatting sqref="O82 B82:G82 B112:G112 B135:G135">
    <cfRule type="expression" dxfId="63" priority="53" stopIfTrue="1">
      <formula>$C77=$D$7</formula>
    </cfRule>
    <cfRule type="expression" dxfId="62" priority="54" stopIfTrue="1">
      <formula>$C77&lt;=$D$7</formula>
    </cfRule>
  </conditionalFormatting>
  <conditionalFormatting sqref="O81 B81:G81 B111:G111 B134:G134">
    <cfRule type="expression" dxfId="61" priority="55" stopIfTrue="1">
      <formula>$C77=$D$7</formula>
    </cfRule>
    <cfRule type="expression" dxfId="60" priority="56" stopIfTrue="1">
      <formula>$C77&lt;=$D$7</formula>
    </cfRule>
  </conditionalFormatting>
  <conditionalFormatting sqref="O80 B80:G80 B110:G110 B133:G133">
    <cfRule type="expression" dxfId="59" priority="57" stopIfTrue="1">
      <formula>$C77=$D$7</formula>
    </cfRule>
    <cfRule type="expression" dxfId="58" priority="58" stopIfTrue="1">
      <formula>$C77&lt;=$D$7</formula>
    </cfRule>
  </conditionalFormatting>
  <conditionalFormatting sqref="O79 B79:G79 B109:G109 B132:G132">
    <cfRule type="expression" dxfId="57" priority="59" stopIfTrue="1">
      <formula>$C77=$D$7</formula>
    </cfRule>
    <cfRule type="expression" dxfId="56" priority="60" stopIfTrue="1">
      <formula>$C77&lt;=$D$7</formula>
    </cfRule>
  </conditionalFormatting>
  <conditionalFormatting sqref="O130:O131 B130:G137">
    <cfRule type="expression" dxfId="55" priority="61" stopIfTrue="1">
      <formula>$C78=$D$7</formula>
    </cfRule>
    <cfRule type="expression" dxfId="54" priority="62" stopIfTrue="1">
      <formula>$C78&lt;=$D$7</formula>
    </cfRule>
  </conditionalFormatting>
  <conditionalFormatting sqref="O129 B129:G129">
    <cfRule type="expression" dxfId="53" priority="63" stopIfTrue="1">
      <formula>$C78=$D$7</formula>
    </cfRule>
    <cfRule type="expression" dxfId="52" priority="64" stopIfTrue="1">
      <formula>$C78&lt;=$D$7</formula>
    </cfRule>
  </conditionalFormatting>
  <conditionalFormatting sqref="O128 B128:G128">
    <cfRule type="expression" dxfId="51" priority="65" stopIfTrue="1">
      <formula>$C78=$D$7</formula>
    </cfRule>
    <cfRule type="expression" dxfId="50" priority="66" stopIfTrue="1">
      <formula>$C78&lt;=$D$7</formula>
    </cfRule>
  </conditionalFormatting>
  <conditionalFormatting sqref="O127 B127:G127">
    <cfRule type="expression" dxfId="49" priority="67" stopIfTrue="1">
      <formula>$C78=$D$7</formula>
    </cfRule>
    <cfRule type="expression" dxfId="48" priority="68" stopIfTrue="1">
      <formula>$C78&lt;=$D$7</formula>
    </cfRule>
  </conditionalFormatting>
  <conditionalFormatting sqref="O126 B126:G126">
    <cfRule type="expression" dxfId="47" priority="69" stopIfTrue="1">
      <formula>$C78=$D$7</formula>
    </cfRule>
    <cfRule type="expression" dxfId="46" priority="70" stopIfTrue="1">
      <formula>$C78&lt;=$D$7</formula>
    </cfRule>
  </conditionalFormatting>
  <conditionalFormatting sqref="O125 B125:G125">
    <cfRule type="expression" dxfId="45" priority="71" stopIfTrue="1">
      <formula>$C78=$D$7</formula>
    </cfRule>
    <cfRule type="expression" dxfId="44" priority="72" stopIfTrue="1">
      <formula>$C78&lt;=$D$7</formula>
    </cfRule>
  </conditionalFormatting>
  <conditionalFormatting sqref="O124 B124:G124">
    <cfRule type="expression" dxfId="43" priority="73" stopIfTrue="1">
      <formula>$C78=$D$7</formula>
    </cfRule>
    <cfRule type="expression" dxfId="42" priority="74" stopIfTrue="1">
      <formula>$C78&lt;=$D$7</formula>
    </cfRule>
  </conditionalFormatting>
  <conditionalFormatting sqref="O123 B123:G123">
    <cfRule type="expression" dxfId="41" priority="75" stopIfTrue="1">
      <formula>$C78=$D$7</formula>
    </cfRule>
    <cfRule type="expression" dxfId="40" priority="76" stopIfTrue="1">
      <formula>$C78&lt;=$D$7</formula>
    </cfRule>
  </conditionalFormatting>
  <conditionalFormatting sqref="O122 B122:G122">
    <cfRule type="expression" dxfId="39" priority="77" stopIfTrue="1">
      <formula>$C78=$D$7</formula>
    </cfRule>
    <cfRule type="expression" dxfId="38" priority="78" stopIfTrue="1">
      <formula>$C78&lt;=$D$7</formula>
    </cfRule>
  </conditionalFormatting>
  <conditionalFormatting sqref="O121 B121:G121">
    <cfRule type="expression" dxfId="37" priority="79" stopIfTrue="1">
      <formula>$C78=$D$7</formula>
    </cfRule>
    <cfRule type="expression" dxfId="36" priority="80" stopIfTrue="1">
      <formula>$C78&lt;=$D$7</formula>
    </cfRule>
  </conditionalFormatting>
  <conditionalFormatting sqref="O120 B120:G120">
    <cfRule type="expression" dxfId="35" priority="81" stopIfTrue="1">
      <formula>$C78=$D$7</formula>
    </cfRule>
    <cfRule type="expression" dxfId="34" priority="82" stopIfTrue="1">
      <formula>$C78&lt;=$D$7</formula>
    </cfRule>
  </conditionalFormatting>
  <conditionalFormatting sqref="O119 B119:G119">
    <cfRule type="expression" dxfId="33" priority="83" stopIfTrue="1">
      <formula>$C78=$D$7</formula>
    </cfRule>
    <cfRule type="expression" dxfId="32" priority="84" stopIfTrue="1">
      <formula>$C78&lt;=$D$7</formula>
    </cfRule>
  </conditionalFormatting>
  <conditionalFormatting sqref="O118 B118:G118">
    <cfRule type="expression" dxfId="31" priority="85" stopIfTrue="1">
      <formula>$C78=$D$7</formula>
    </cfRule>
    <cfRule type="expression" dxfId="30" priority="86" stopIfTrue="1">
      <formula>$C78&lt;=$D$7</formula>
    </cfRule>
  </conditionalFormatting>
  <conditionalFormatting sqref="O117 B117:G117">
    <cfRule type="expression" dxfId="29" priority="87" stopIfTrue="1">
      <formula>$C78=$D$7</formula>
    </cfRule>
    <cfRule type="expression" dxfId="28" priority="88" stopIfTrue="1">
      <formula>$C78&lt;=$D$7</formula>
    </cfRule>
  </conditionalFormatting>
  <conditionalFormatting sqref="O116 B116:G116">
    <cfRule type="expression" dxfId="27" priority="89" stopIfTrue="1">
      <formula>$C78=$D$7</formula>
    </cfRule>
    <cfRule type="expression" dxfId="26" priority="90" stopIfTrue="1">
      <formula>$C78&lt;=$D$7</formula>
    </cfRule>
  </conditionalFormatting>
  <conditionalFormatting sqref="O115 B115:G115">
    <cfRule type="expression" dxfId="25" priority="91" stopIfTrue="1">
      <formula>$C78=$D$7</formula>
    </cfRule>
    <cfRule type="expression" dxfId="24" priority="92" stopIfTrue="1">
      <formula>$C78&lt;=$D$7</formula>
    </cfRule>
  </conditionalFormatting>
  <conditionalFormatting sqref="O114 B114:G114">
    <cfRule type="expression" dxfId="23" priority="93" stopIfTrue="1">
      <formula>$C78=$D$7</formula>
    </cfRule>
    <cfRule type="expression" dxfId="22" priority="94" stopIfTrue="1">
      <formula>$C78&lt;=$D$7</formula>
    </cfRule>
  </conditionalFormatting>
  <conditionalFormatting sqref="O113 B113:G113 B136:G137">
    <cfRule type="expression" dxfId="21" priority="95" stopIfTrue="1">
      <formula>$C78=$D$7</formula>
    </cfRule>
    <cfRule type="expression" dxfId="20" priority="96" stopIfTrue="1">
      <formula>$C78&lt;=$D$7</formula>
    </cfRule>
  </conditionalFormatting>
  <conditionalFormatting sqref="O112 B112:G112 B135:G135">
    <cfRule type="expression" dxfId="19" priority="97" stopIfTrue="1">
      <formula>$C78=$D$7</formula>
    </cfRule>
    <cfRule type="expression" dxfId="18" priority="98" stopIfTrue="1">
      <formula>$C78&lt;=$D$7</formula>
    </cfRule>
  </conditionalFormatting>
  <conditionalFormatting sqref="O111 B111:G111 B134:G134">
    <cfRule type="expression" dxfId="17" priority="99" stopIfTrue="1">
      <formula>$C78=$D$7</formula>
    </cfRule>
    <cfRule type="expression" dxfId="16" priority="100" stopIfTrue="1">
      <formula>$C78&lt;=$D$7</formula>
    </cfRule>
  </conditionalFormatting>
  <conditionalFormatting sqref="O110 B110:G110 B133:G133">
    <cfRule type="expression" dxfId="15" priority="101" stopIfTrue="1">
      <formula>$C78=$D$7</formula>
    </cfRule>
    <cfRule type="expression" dxfId="14" priority="102" stopIfTrue="1">
      <formula>$C78&lt;=$D$7</formula>
    </cfRule>
  </conditionalFormatting>
  <conditionalFormatting sqref="O109 B109:G109 B132:G132">
    <cfRule type="expression" dxfId="13" priority="103" stopIfTrue="1">
      <formula>$C78=$D$7</formula>
    </cfRule>
    <cfRule type="expression" dxfId="12" priority="104" stopIfTrue="1">
      <formula>$C78&lt;=$D$7</formula>
    </cfRule>
  </conditionalFormatting>
  <conditionalFormatting sqref="O136:O137 B136:G137">
    <cfRule type="expression" dxfId="11" priority="105" stopIfTrue="1">
      <formula>$C79=$D$7</formula>
    </cfRule>
    <cfRule type="expression" dxfId="10" priority="106" stopIfTrue="1">
      <formula>$C79&lt;=$D$7</formula>
    </cfRule>
  </conditionalFormatting>
  <conditionalFormatting sqref="O135 B135:G135">
    <cfRule type="expression" dxfId="9" priority="107" stopIfTrue="1">
      <formula>$C79=$D$7</formula>
    </cfRule>
    <cfRule type="expression" dxfId="8" priority="108" stopIfTrue="1">
      <formula>$C79&lt;=$D$7</formula>
    </cfRule>
  </conditionalFormatting>
  <conditionalFormatting sqref="O134 B134:G134">
    <cfRule type="expression" dxfId="7" priority="109" stopIfTrue="1">
      <formula>$C79=$D$7</formula>
    </cfRule>
    <cfRule type="expression" dxfId="6" priority="110" stopIfTrue="1">
      <formula>$C79&lt;=$D$7</formula>
    </cfRule>
  </conditionalFormatting>
  <conditionalFormatting sqref="O133 B133:G133">
    <cfRule type="expression" dxfId="5" priority="111" stopIfTrue="1">
      <formula>$C79=$D$7</formula>
    </cfRule>
    <cfRule type="expression" dxfId="4" priority="112" stopIfTrue="1">
      <formula>$C79&lt;=$D$7</formula>
    </cfRule>
  </conditionalFormatting>
  <conditionalFormatting sqref="O132 B132:G132">
    <cfRule type="expression" dxfId="3" priority="113" stopIfTrue="1">
      <formula>$C79=$D$7</formula>
    </cfRule>
    <cfRule type="expression" dxfId="2" priority="114" stopIfTrue="1">
      <formula>$C79&lt;=$D$7</formula>
    </cfRule>
  </conditionalFormatting>
  <conditionalFormatting sqref="O143 O138">
    <cfRule type="expression" dxfId="1" priority="115" stopIfTrue="1">
      <formula>#REF!=$D$7</formula>
    </cfRule>
    <cfRule type="expression" dxfId="0" priority="116" stopIfTrue="1">
      <formula>#REF!&lt;=$D$7</formula>
    </cfRule>
  </conditionalFormatting>
  <pageMargins left="0.75" right="0.75" top="1" bottom="1" header="0.5" footer="0.5"/>
  <pageSetup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4CBD9A-CDED-4729-BAA1-46776663063E}">
  <dimension ref="A2:C4"/>
  <sheetViews>
    <sheetView workbookViewId="0">
      <selection activeCell="A2" sqref="A2:C4"/>
    </sheetView>
  </sheetViews>
  <sheetFormatPr baseColWidth="10" defaultColWidth="8.83203125" defaultRowHeight="15"/>
  <sheetData>
    <row r="2" spans="1:3">
      <c r="A2" t="s">
        <v>51</v>
      </c>
      <c r="B2">
        <v>6.468</v>
      </c>
      <c r="C2">
        <v>8.3800000000000008</v>
      </c>
    </row>
    <row r="3" spans="1:3">
      <c r="A3" t="s">
        <v>52</v>
      </c>
      <c r="B3">
        <v>6.468</v>
      </c>
      <c r="C3">
        <v>7.09</v>
      </c>
    </row>
    <row r="4" spans="1:3">
      <c r="A4" t="s">
        <v>53</v>
      </c>
      <c r="B4">
        <v>6.468</v>
      </c>
      <c r="C4">
        <v>7.69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CALCULATION</vt:lpstr>
      <vt:lpstr>ĐiệnNăng_Input</vt:lpstr>
      <vt:lpstr>VayMB</vt:lpstr>
      <vt:lpstr>PARAMETER</vt:lpstr>
      <vt:lpstr>fit_price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Microsoft Office User</cp:lastModifiedBy>
  <dcterms:created xsi:type="dcterms:W3CDTF">2020-07-02T15:43:11Z</dcterms:created>
  <dcterms:modified xsi:type="dcterms:W3CDTF">2020-07-06T06:00:22Z</dcterms:modified>
</cp:coreProperties>
</file>